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chartsheets/sheet1.xml" ContentType="application/vnd.openxmlformats-officedocument.spreadsheetml.chart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5.xml" ContentType="application/vnd.openxmlformats-officedocument.drawing+xml"/>
  <Override PartName="/xl/comments16.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7.xml" ContentType="application/vnd.openxmlformats-officedocument.spreadsheetml.comments+xml"/>
  <Override PartName="/xl/drawings/drawing6.xml" ContentType="application/vnd.openxmlformats-officedocument.drawing+xml"/>
  <Override PartName="/xl/comments18.xml" ContentType="application/vnd.openxmlformats-officedocument.spreadsheetml.comments+xml"/>
  <Override PartName="/xl/threadedComments/threadedComment4.xml" ContentType="application/vnd.ms-excel.threadedcomments+xml"/>
  <Override PartName="/xl/pivotTables/pivotTable2.xml" ContentType="application/vnd.openxmlformats-officedocument.spreadsheetml.pivotTable+xml"/>
  <Override PartName="/xl/comments19.xml" ContentType="application/vnd.openxmlformats-officedocument.spreadsheetml.comments+xml"/>
  <Override PartName="/xl/pivotTables/pivotTable3.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0.xml" ContentType="application/vnd.openxmlformats-officedocument.spreadsheetml.comments+xml"/>
  <Override PartName="/xl/pivotTables/pivotTable4.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comments21.xml" ContentType="application/vnd.openxmlformats-officedocument.spreadsheetml.comments+xml"/>
  <Override PartName="/xl/comments22.xml" ContentType="application/vnd.openxmlformats-officedocument.spreadsheetml.comments+xml"/>
  <Override PartName="/xl/drawings/drawing9.xml" ContentType="application/vnd.openxmlformats-officedocument.drawing+xml"/>
  <Override PartName="/xl/comments23.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4.xml" ContentType="application/vnd.openxmlformats-officedocument.spreadsheetml.comments+xml"/>
  <Override PartName="/xl/drawings/drawing10.xml" ContentType="application/vnd.openxmlformats-officedocument.drawing+xml"/>
  <Override PartName="/xl/comments25.xml" ContentType="application/vnd.openxmlformats-officedocument.spreadsheetml.comments+xml"/>
  <Override PartName="/xl/comments26.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7.xml" ContentType="application/vnd.openxmlformats-officedocument.spreadsheetml.comments+xml"/>
  <Override PartName="/xl/pivotTables/pivotTable7.xml" ContentType="application/vnd.openxmlformats-officedocument.spreadsheetml.pivotTable+xml"/>
  <Override PartName="/xl/comments28.xml" ContentType="application/vnd.openxmlformats-officedocument.spreadsheetml.comments+xml"/>
  <Override PartName="/xl/drawings/drawing12.xml" ContentType="application/vnd.openxmlformats-officedocument.drawing+xml"/>
  <Override PartName="/xl/comments29.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0.xml" ContentType="application/vnd.openxmlformats-officedocument.spreadsheetml.comments+xml"/>
  <Override PartName="/xl/comments3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
    </mc:Choice>
  </mc:AlternateContent>
  <xr:revisionPtr revIDLastSave="0" documentId="13_ncr:1_{3F5DCAD8-586C-471D-8E87-3D16390494B8}" xr6:coauthVersionLast="47" xr6:coauthVersionMax="47" xr10:uidLastSave="{00000000-0000-0000-0000-000000000000}"/>
  <bookViews>
    <workbookView xWindow="-108" yWindow="-108" windowWidth="23256" windowHeight="13176" tabRatio="877" firstSheet="1" activeTab="3"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Adult Returns Data" sheetId="9" r:id="rId7"/>
    <sheet name="Smolt to Adult Survival" sheetId="4" r:id="rId8"/>
    <sheet name="Age Composition 221113" sheetId="25" state="hidden" r:id="rId9"/>
    <sheet name="ExportSurvival" sheetId="13" state="hidden" r:id="rId10"/>
    <sheet name="Adult Age Composition 230117" sheetId="27" r:id="rId11"/>
    <sheet name="Compare" sheetId="15" state="hidden" r:id="rId12"/>
    <sheet name="Forecast 2023" sheetId="28" state="hidden" r:id="rId13"/>
    <sheet name="Data at Age" sheetId="17" r:id="rId14"/>
    <sheet name="FW Age" sheetId="59" r:id="rId15"/>
    <sheet name="Forecast 2024" sheetId="53" state="hidden" r:id="rId16"/>
    <sheet name="Joint Staff Rprt 2022 Table 15" sheetId="41" r:id="rId17"/>
    <sheet name="USACE vs CBR FPC JSR" sheetId="60" r:id="rId18"/>
    <sheet name="Sockeye Returns Data" sheetId="16" r:id="rId19"/>
    <sheet name="recruits_deterministic (240212)" sheetId="57" r:id="rId20"/>
    <sheet name="recruits_deterministic (240124)" sheetId="55" state="hidden" r:id="rId21"/>
    <sheet name="OSO_NO_returns (PT240119)" sheetId="54" state="hidden" r:id="rId22"/>
    <sheet name="Stray Rates" sheetId="52" r:id="rId23"/>
    <sheet name="OK AUC and Deadpitch Results" sheetId="37" r:id="rId24"/>
    <sheet name="PIVOT Lake &amp; Spawning Ground" sheetId="38" r:id="rId25"/>
    <sheet name="Spawning Ground Ratios" sheetId="48" r:id="rId26"/>
    <sheet name="Spawn Grounds Sumry by Substock" sheetId="50" r:id="rId27"/>
    <sheet name="OSO_Sar_Report_Table_1" sheetId="45" state="hidden" r:id="rId28"/>
    <sheet name="Spawn Grounds Sumry by Origin1" sheetId="39" r:id="rId29"/>
    <sheet name="Spawn Grounds Sumry by Origin2" sheetId="51" r:id="rId30"/>
    <sheet name="Hatchery releases Pivot" sheetId="36" r:id="rId31"/>
    <sheet name="Hatchery releases" sheetId="35" r:id="rId32"/>
    <sheet name="BON Count Adjustments" sheetId="34" r:id="rId33"/>
    <sheet name="BON-WELLS Survival" sheetId="44" r:id="rId34"/>
    <sheet name="OSO_Sar_Report_Table_3" sheetId="46" r:id="rId35"/>
    <sheet name="Zosel 2006-2017" sheetId="43" r:id="rId36"/>
    <sheet name="AUC ESC Data" sheetId="30" r:id="rId37"/>
    <sheet name="OSO Spawners PC (Scott A)" sheetId="42" r:id="rId38"/>
    <sheet name="PIT - CRITFC 2022 Table 4" sheetId="33" state="hidden" r:id="rId39"/>
    <sheet name="total sox below bonn csv (CB)" sheetId="32" state="hidden" r:id="rId40"/>
    <sheet name="Survival Plot" sheetId="26" state="hidden" r:id="rId41"/>
    <sheet name="Desc Stats" sheetId="22" state="hidden" r:id="rId42"/>
    <sheet name="Annual Returns by Return Yr" sheetId="18" state="hidden" r:id="rId43"/>
    <sheet name="Annual Returns by Smolt Yr" sheetId="19" state="hidden" r:id="rId44"/>
    <sheet name="Hatchery Releases (old)" sheetId="24" state="hidden" r:id="rId45"/>
    <sheet name="Hatchery-Origin Returns (old)" sheetId="31" r:id="rId46"/>
    <sheet name="ATS Equivalents Calculation" sheetId="20" state="hidden" r:id="rId47"/>
    <sheet name="Williams 2014 SAR" sheetId="14" state="hidden" r:id="rId48"/>
    <sheet name="Lookup" sheetId="12" state="hidden" r:id="rId49"/>
  </sheets>
  <externalReferences>
    <externalReference r:id="rId50"/>
  </externalReferences>
  <definedNames>
    <definedName name="_xlnm._FilterDatabase" localSheetId="10" hidden="1">'Adult Age Composition 230117'!$A$1:$E$44</definedName>
    <definedName name="_xlnm._FilterDatabase" localSheetId="6" hidden="1">'Adult Returns Data'!$A$1:$AX$52</definedName>
    <definedName name="_xlnm._FilterDatabase" localSheetId="8" hidden="1">'Age Composition 221113'!$A$1:$E$44</definedName>
    <definedName name="_xlnm._FilterDatabase" localSheetId="13" hidden="1">'Data at Age'!$A$1:$AI$243</definedName>
    <definedName name="_xlnm._FilterDatabase" localSheetId="9" hidden="1">ExportSurvival!$A$1:$E$49</definedName>
    <definedName name="_xlnm._FilterDatabase" localSheetId="31" hidden="1">'Hatchery releases'!$A$2:$I$29</definedName>
    <definedName name="_xlnm._FilterDatabase" localSheetId="16" hidden="1">'Joint Staff Rprt 2022 Table 15'!$A$1:$K$43</definedName>
    <definedName name="_xlnm._FilterDatabase" localSheetId="23" hidden="1">'OK AUC and Deadpitch Results'!$A$1:$L$65</definedName>
    <definedName name="_xlnm._FilterDatabase" localSheetId="27" hidden="1">OSO_Sar_Report_Table_1!$N$1:$O$38</definedName>
    <definedName name="_xlnm._FilterDatabase" localSheetId="1" hidden="1">'READ ME'!$A$2:$C$45</definedName>
    <definedName name="_xlnm._FilterDatabase" localSheetId="7" hidden="1">'Smolt to Adult Survival'!$M$3:$N$3</definedName>
    <definedName name="_xlnm._FilterDatabase" localSheetId="18" hidden="1">'Sockeye Returns Data'!$A$1:$BI$48</definedName>
    <definedName name="AdultAgeComp">'Adult Age Composition 230117'!$A$1:$O$49</definedName>
    <definedName name="AdultReturns" localSheetId="42">#REF!</definedName>
    <definedName name="AdultReturns" localSheetId="43">#REF!</definedName>
    <definedName name="AdultReturns" localSheetId="47">#REF!</definedName>
    <definedName name="AdultReturns">'Adult Returns Data'!$B$4:$AX$52</definedName>
    <definedName name="AdultReturnsAUC" localSheetId="36">'AUC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Data'!$O$50</definedName>
    <definedName name="BoostBonDamCounts">'Sockeye Returns Data'!$D$50</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2">#REF!</definedName>
    <definedName name="JuvAbund" localSheetId="43">#REF!</definedName>
    <definedName name="JuvAbund" localSheetId="47">#REF!</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Data'!$A$1:$AW$50</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2">#REF!</definedName>
    <definedName name="OtherAge" localSheetId="43">#REF!</definedName>
    <definedName name="OtherAge" localSheetId="47">#REF!</definedName>
    <definedName name="OtherAge">'Adult Returns Data'!$J$3</definedName>
    <definedName name="OtherAgeAUC" localSheetId="36">'AUC ESC Data'!$J$3</definedName>
    <definedName name="Rec_Harvest_Above_Wells">'Sockeye Returns Data'!$BE$2</definedName>
    <definedName name="ReduceRISdamCounts">'Sockeye Returns Data'!$D$53</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2">'[1]Ok Sockeye Returns Data'!$A$1:$AA$48</definedName>
    <definedName name="SockeyeReturnsData" localSheetId="43">'[1]Ok Sockeye Returns Data'!$A$1:$AA$48</definedName>
    <definedName name="SockeyeReturnsData">'Sockeye Returns Data'!$A$1:$CK$51</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0" r:id="rId51"/>
    <pivotCache cacheId="1" r:id="rId52"/>
    <pivotCache cacheId="2" r:id="rId53"/>
    <pivotCache cacheId="3" r:id="rId54"/>
    <pivotCache cacheId="4" r:id="rId55"/>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35" l="1"/>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6" i="16"/>
  <c r="AR46" i="16" s="1"/>
  <c r="AP45" i="16"/>
  <c r="AP44" i="16"/>
  <c r="AP43" i="16"/>
  <c r="AP42" i="16"/>
  <c r="AP41" i="16"/>
  <c r="AP40" i="16"/>
  <c r="AP39" i="16"/>
  <c r="AP38" i="16"/>
  <c r="AP37" i="16"/>
  <c r="AP36" i="16"/>
  <c r="AP35" i="16"/>
  <c r="AP34" i="16"/>
  <c r="AP33" i="16"/>
  <c r="AP32" i="16"/>
  <c r="AP31" i="16"/>
  <c r="AP29" i="16"/>
  <c r="AQ46" i="16"/>
  <c r="L61" i="16"/>
  <c r="L62" i="16" s="1"/>
  <c r="L58" i="16"/>
  <c r="L59"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C47" i="10"/>
  <c r="D47" i="10"/>
  <c r="E47"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G4" i="54" l="1"/>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H29" i="48"/>
  <c r="I29" i="48"/>
  <c r="C30" i="48"/>
  <c r="D30" i="48"/>
  <c r="E30" i="48"/>
  <c r="F30" i="48"/>
  <c r="G30" i="48"/>
  <c r="B30" i="48"/>
  <c r="C29" i="48"/>
  <c r="D29" i="48"/>
  <c r="B29" i="48"/>
  <c r="H26" i="48"/>
  <c r="H25" i="48"/>
  <c r="H24" i="48"/>
  <c r="H23" i="48"/>
  <c r="H22" i="48"/>
  <c r="H21" i="48"/>
  <c r="H20" i="48"/>
  <c r="H19" i="48"/>
  <c r="H18" i="48"/>
  <c r="H17" i="48"/>
  <c r="H16" i="48"/>
  <c r="H30" i="48" s="1"/>
  <c r="H15" i="48"/>
  <c r="H14" i="48"/>
  <c r="H13" i="48"/>
  <c r="H12" i="48"/>
  <c r="H11" i="48"/>
  <c r="H10" i="48"/>
  <c r="H9" i="48"/>
  <c r="H8" i="48"/>
  <c r="H7" i="48"/>
  <c r="H6" i="48"/>
  <c r="H5"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6" i="48"/>
  <c r="P25" i="48"/>
  <c r="I25" i="48"/>
  <c r="P24" i="48"/>
  <c r="I24" i="48"/>
  <c r="P23" i="48"/>
  <c r="I23" i="48"/>
  <c r="P22" i="48"/>
  <c r="I22" i="48"/>
  <c r="P21" i="48"/>
  <c r="I21" i="48"/>
  <c r="P20" i="48"/>
  <c r="I20" i="48"/>
  <c r="P19" i="48"/>
  <c r="I19" i="48"/>
  <c r="P18" i="48"/>
  <c r="I18" i="48"/>
  <c r="P17" i="48"/>
  <c r="I17" i="48"/>
  <c r="P16" i="48"/>
  <c r="I16" i="48"/>
  <c r="I30" i="48" s="1"/>
  <c r="P15" i="48"/>
  <c r="I15" i="48"/>
  <c r="P14" i="48"/>
  <c r="I14" i="48"/>
  <c r="P13" i="48"/>
  <c r="I13" i="48"/>
  <c r="P12" i="48"/>
  <c r="I12" i="48"/>
  <c r="P11" i="48"/>
  <c r="I11" i="48"/>
  <c r="P10" i="48"/>
  <c r="I10" i="48"/>
  <c r="P9" i="48"/>
  <c r="I9" i="48"/>
  <c r="P8" i="48"/>
  <c r="I8" i="48"/>
  <c r="P7" i="48"/>
  <c r="I7" i="48"/>
  <c r="P6" i="48"/>
  <c r="I6" i="48"/>
  <c r="P5" i="48"/>
  <c r="I5" i="48"/>
  <c r="B21" i="39"/>
  <c r="B16" i="39"/>
  <c r="B24" i="39"/>
  <c r="B11" i="39"/>
  <c r="B23" i="39"/>
  <c r="B9" i="39"/>
  <c r="B8" i="39"/>
  <c r="B14" i="39"/>
  <c r="B7" i="39"/>
  <c r="B20" i="39"/>
  <c r="B5" i="39"/>
  <c r="B15" i="39"/>
  <c r="B22" i="39"/>
  <c r="B25" i="39"/>
  <c r="B18" i="39"/>
  <c r="B4" i="39"/>
  <c r="B10" i="39"/>
  <c r="B19" i="39"/>
  <c r="B17" i="39"/>
  <c r="B12" i="39"/>
  <c r="B13" i="39"/>
  <c r="B6" i="39"/>
  <c r="F7" i="39" l="1"/>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BI47" i="16"/>
  <c r="K48" i="16"/>
  <c r="BI48" i="16" s="1"/>
  <c r="AW48" i="16"/>
  <c r="I48" i="16"/>
  <c r="P48" i="16" s="1"/>
  <c r="V48" i="16" s="1"/>
  <c r="U48" i="16" s="1"/>
  <c r="CC48" i="16" s="1"/>
  <c r="N48" i="16"/>
  <c r="R48" i="16"/>
  <c r="E46" i="16"/>
  <c r="E30" i="16"/>
  <c r="J241" i="17" l="1"/>
  <c r="J238" i="17"/>
  <c r="J243" i="17"/>
  <c r="J240" i="17"/>
  <c r="J242" i="17"/>
  <c r="J239" i="17"/>
  <c r="H227" i="17"/>
  <c r="H226" i="17"/>
  <c r="H229" i="17"/>
  <c r="H231" i="17"/>
  <c r="H230" i="17"/>
  <c r="H228" i="17"/>
  <c r="H139" i="17"/>
  <c r="H138" i="17"/>
  <c r="H141" i="17"/>
  <c r="H143" i="17"/>
  <c r="H142" i="17"/>
  <c r="H140" i="17"/>
  <c r="P23" i="55"/>
  <c r="P23" i="57"/>
  <c r="P39" i="55"/>
  <c r="P39" i="57"/>
  <c r="AV48" i="16"/>
  <c r="W48" i="16"/>
  <c r="AH48" i="16"/>
  <c r="CG46" i="16" l="1"/>
  <c r="CG45" i="16"/>
  <c r="CG44" i="16"/>
  <c r="CG43" i="16"/>
  <c r="CG42" i="16"/>
  <c r="CG41" i="16"/>
  <c r="CG40" i="16"/>
  <c r="CG39" i="16"/>
  <c r="CG38" i="16"/>
  <c r="CG37" i="16"/>
  <c r="CG36" i="16"/>
  <c r="CG35" i="16"/>
  <c r="CG34" i="16"/>
  <c r="CG33" i="16"/>
  <c r="BI4" i="16"/>
  <c r="BI3" i="16"/>
  <c r="E45" i="16" l="1"/>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M52" i="37"/>
  <c r="P52" i="37" s="1"/>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1"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X14" i="16"/>
  <c r="X15" i="16"/>
  <c r="X16" i="16"/>
  <c r="X17" i="16"/>
  <c r="X18" i="16"/>
  <c r="X19" i="16"/>
  <c r="AR47" i="16" l="1"/>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O24" i="37"/>
  <c r="N24" i="37"/>
  <c r="P24" i="37" s="1"/>
  <c r="M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BT46" i="16" s="1"/>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2" i="16" l="1"/>
  <c r="BV46" i="16"/>
  <c r="G40" i="54" s="1"/>
  <c r="H40" i="54" s="1"/>
  <c r="L30" i="31"/>
  <c r="BV53"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AW47" i="16"/>
  <c r="G47" i="44" s="1"/>
  <c r="D36" i="31" l="1"/>
  <c r="D35" i="31"/>
  <c r="D34" i="31"/>
  <c r="D33" i="31"/>
  <c r="D32" i="31"/>
  <c r="D31" i="31"/>
  <c r="D30" i="31"/>
  <c r="D29" i="31"/>
  <c r="D28" i="31"/>
  <c r="D27" i="31"/>
  <c r="D26" i="31"/>
  <c r="D25" i="31"/>
  <c r="D24" i="31"/>
  <c r="D23" i="31"/>
  <c r="D22" i="31"/>
  <c r="D21" i="31"/>
  <c r="AV47" i="16" l="1"/>
  <c r="P29" i="16"/>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J47" i="44" s="1"/>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CC44" i="16" l="1"/>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29" i="16"/>
  <c r="CH29" i="16" s="1"/>
  <c r="CI29" i="16" s="1"/>
  <c r="CF46" i="16"/>
  <c r="CH46" i="16" s="1"/>
  <c r="CI46"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X47" i="16" l="1"/>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L234"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0" i="16"/>
  <c r="G24" i="16" s="1"/>
  <c r="O51"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BA19" i="16" s="1"/>
  <c r="BC19" i="16" s="1"/>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AE5" i="57" l="1"/>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BW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K23" i="9"/>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D17" i="27" l="1"/>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8" i="9"/>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approximation till we get 2022 data… 2023-01-23</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V48" authorId="1" shapeId="0" xr:uid="{B068AB06-5D9B-4CED-B29F-31B9F2386471}">
      <text>
        <r>
          <rPr>
            <sz val="9"/>
            <color indexed="81"/>
            <rFont val="Tahoma"/>
            <family val="2"/>
          </rPr>
          <t>proportion OSO:SKA from spawning ground data [AO 2024-03-22]</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39,000 SKAHA according to Chad Fuller presentation [2023-05-03]</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<sst xmlns="http://schemas.openxmlformats.org/spreadsheetml/2006/main" count="4133" uniqueCount="1334">
  <si>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</si>
  <si>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</si>
  <si>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</si>
  <si>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</si>
  <si>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</si>
  <si>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</si>
  <si>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</si>
  <si>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</si>
  <si>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</si>
  <si>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</si>
  <si>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</si>
  <si>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</si>
  <si>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</si>
  <si>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</si>
  <si>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</si>
  <si>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</si>
  <si>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</si>
  <si>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</si>
  <si>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</si>
  <si>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</si>
  <si>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</si>
  <si>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</si>
  <si>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</si>
  <si>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</si>
  <si>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</si>
  <si>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</si>
  <si>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</si>
  <si>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</si>
  <si>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</si>
  <si>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</si>
  <si>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</si>
  <si>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</si>
  <si>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</si>
  <si>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</si>
  <si>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</si>
  <si>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</si>
  <si>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</si>
  <si>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</si>
  <si>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</si>
  <si>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</si>
  <si>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</si>
  <si>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</si>
  <si>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</si>
  <si>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</si>
  <si>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</si>
  <si>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</si>
  <si>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</si>
  <si>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</si>
  <si>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</si>
  <si>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</si>
  <si>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</si>
  <si>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</si>
  <si>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</si>
  <si>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</si>
  <si>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</si>
  <si>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</si>
  <si>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</si>
  <si>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</si>
  <si>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</si>
  <si>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</si>
  <si>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</si>
  <si>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</si>
  <si>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</si>
  <si>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</si>
  <si>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</si>
  <si>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</si>
  <si>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</si>
  <si>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</si>
  <si>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</si>
  <si>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</si>
  <si>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</si>
  <si>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</si>
  <si>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</si>
  <si>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</si>
  <si>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</si>
  <si>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</si>
  <si>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</si>
  <si>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</si>
  <si>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</si>
  <si>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</si>
  <si>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</si>
  <si>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</si>
  <si>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</si>
  <si>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</si>
  <si>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</si>
  <si>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</si>
  <si>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</si>
  <si>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</si>
  <si>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</si>
  <si>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</si>
  <si>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</si>
  <si>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</si>
  <si>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</si>
  <si>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</si>
  <si>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</si>
  <si>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</si>
  <si>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</si>
  <si>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</si>
  <si>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</si>
  <si>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</si>
  <si>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</si>
  <si>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</si>
  <si>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</si>
  <si>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</si>
  <si>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</si>
  <si>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</si>
  <si>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</si>
  <si>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</si>
  <si>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</si>
  <si>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</si>
  <si>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</si>
  <si>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</si>
  <si>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</si>
  <si>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</si>
  <si>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</si>
  <si>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</si>
  <si>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</si>
  <si>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</si>
  <si>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</si>
  <si>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</si>
  <si>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</si>
  <si>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</si>
  <si>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</si>
  <si>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</si>
  <si>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</si>
  <si>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</si>
  <si>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</si>
  <si>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</si>
  <si>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</si>
  <si>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</si>
  <si>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</si>
  <si>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</si>
  <si>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</si>
  <si>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</si>
  <si>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</si>
  <si>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</si>
  <si>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</si>
  <si>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</si>
  <si>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</si>
  <si>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</si>
  <si>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</si>
  <si>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</si>
  <si>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</si>
  <si>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</si>
  <si>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</si>
  <si>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</si>
  <si>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</si>
  <si>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</si>
  <si>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</si>
  <si>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</si>
  <si>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</si>
  <si>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</si>
  <si>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</si>
  <si>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</si>
  <si>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</si>
  <si>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</si>
  <si>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</si>
  <si>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</si>
  <si>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</si>
  <si>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</si>
  <si>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</si>
  <si>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</si>
  <si>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</si>
  <si>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</si>
  <si>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</si>
  <si>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</si>
  <si>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</si>
  <si>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</si>
  <si>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</si>
  <si>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</si>
  <si>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</si>
  <si>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</si>
  <si>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</si>
  <si>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</si>
  <si>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</si>
  <si>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</si>
  <si>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</si>
  <si>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</si>
  <si>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</si>
  <si>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</si>
  <si>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</si>
  <si>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</si>
  <si>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</si>
  <si>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</si>
  <si>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</si>
  <si>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</si>
  <si>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</si>
  <si>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</si>
  <si>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</si>
  <si>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</si>
  <si>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</si>
  <si>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</si>
  <si>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</si>
  <si>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</si>
  <si>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</si>
  <si>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</si>
  <si>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</si>
  <si>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</si>
  <si>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</si>
  <si>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</si>
  <si>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</si>
  <si>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</si>
  <si>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</si>
  <si>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</si>
  <si>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</si>
  <si>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</si>
  <si>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</si>
  <si>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</si>
  <si>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</si>
  <si>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</si>
  <si>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</si>
  <si>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</si>
  <si>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</si>
  <si>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</si>
  <si>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</si>
  <si>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</si>
  <si>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</si>
  <si>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</si>
  <si>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</si>
  <si>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</si>
  <si>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</si>
  <si>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</si>
  <si>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</si>
  <si>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</si>
  <si>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</si>
  <si>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</si>
  <si>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</si>
  <si>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</si>
  <si>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</si>
  <si>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</si>
  <si>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</si>
  <si>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</si>
  <si>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</si>
  <si>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</si>
  <si>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</si>
  <si>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</si>
  <si>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</si>
  <si>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</si>
  <si>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</si>
  <si>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</si>
  <si>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</si>
  <si>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</si>
  <si>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</si>
  <si>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</si>
  <si>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</si>
  <si>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</si>
  <si>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</si>
  <si>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</si>
  <si>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</si>
  <si>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</si>
  <si>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</si>
  <si>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</si>
  <si>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</si>
  <si>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</si>
  <si>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</si>
  <si>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</si>
  <si>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</si>
  <si>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</si>
  <si>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May Aug Sep 99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</si>
  <si>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</si>
  <si>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</si>
  <si>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</si>
  <si>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</si>
  <si>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</si>
  <si>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</si>
  <si>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</si>
  <si>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</si>
  <si>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</si>
  <si>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Nov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</si>
  <si>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</si>
  <si>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</si>
  <si>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r>
      <rPr>
        <sz val="11"/>
        <color rgb="FFFF0000"/>
        <rFont val="Calibri"/>
        <family val="2"/>
      </rPr>
      <t>H-O fish released in Osoyoos</t>
    </r>
    <r>
      <rPr>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</si>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</sst>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69"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664">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59" fillId="38" borderId="38" xfId="22" applyNumberForma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3" fontId="3" fillId="44" borderId="38" xfId="26" applyNumberFormat="1" applyFill="1" applyBorder="1"/>
    <xf numFmtId="0" fontId="3" fillId="44" borderId="0" xfId="26" applyFill="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0" fontId="0" fillId="0" borderId="0" xfId="0" applyAlignment="1">
      <alignment horizontal="left" vertical="top"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2" xfId="7"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62" fillId="38" borderId="0" xfId="22" applyFont="1" applyAlignment="1">
      <alignment horizontal="left"/>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externalLink" Target="externalLinks/externalLink1.xml"/><Relationship Id="rId55" Type="http://schemas.openxmlformats.org/officeDocument/2006/relationships/pivotCacheDefinition" Target="pivotCache/pivotCacheDefinition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chartsheet" Target="chartsheets/sheet1.xml"/><Relationship Id="rId54" Type="http://schemas.openxmlformats.org/officeDocument/2006/relationships/pivotCacheDefinition" Target="pivotCache/pivotCacheDefinition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pivotCacheDefinition" Target="pivotCache/pivotCacheDefinition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C5699A01-DEAB-46EE-95E8-139BC295BF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4619100A-88CF-43D6-BC02-5ED792BDA2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6DAB1413-0253-4819-933F-0F2B003823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313454B5-125A-4D78-A200-0D994C991B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1154FE7F-7F99-443A-8206-57B148A70B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4BCD5C4A-B2B1-4996-9DB3-D7744110EC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3C6257CB-D28D-4608-8896-93E4C4FF26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526411F9-A3FD-41F9-8063-2095F27A70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31B8BF8A-6AE9-47EA-BF00-2B866AC83B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15EF1543-BAA7-4D15-B3C9-BA529816E2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6E94B755-5650-449D-A5D5-7B3AAC634A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BAB0D9A6-6864-488E-BB10-9B61F4D155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43630B8E-8C9A-4737-8C3D-939459AC7F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A119AD2E-85BB-4A61-BA8D-18D31BBDFA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744B728D-D8C8-4869-983C-28A7A9353E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0EF36751-4E20-41A7-9918-71A9992CA7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00D6BFEF-2306-4770-B278-070E638336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01E92404-CECD-4D17-888F-06A5F99B9B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41524045-E6F9-4CEF-962B-49F23663CF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FE111CB8-1418-4B9F-BA4A-0CCBBD9E6C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0C55239F-658A-45BD-AD96-E518DF5311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58B86656-FEB8-4E59-96DF-79394AF0D7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85C0412C-22CE-4561-977F-A19728D173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AA069AC3-D6FB-4981-89F0-38D6127946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419C0984-BD7A-46B5-844B-FDE9A2C0BB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19C2BE39-64EB-4F58-8C3C-B2F2544545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B73E50B0-C677-4EBC-8A8B-E361BE0F75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7E861D82-9F8E-4DD1-87AD-9F08156CAD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5784DFDE-879F-47AE-AA53-7BF92E85C8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DF9A6663-2240-4EFE-8739-03896D72C9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AEC38179-7E2F-4EB0-8E3A-500DFF9F3D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064DE2B7-C84D-4971-92A5-2404C7A88B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A127B8C7-4BE3-4D57-AD20-7886E926BD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4F7B656B-2E19-4233-A60B-3F45303A2B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1A46D56A-1818-40FA-A6F1-EF0A008DC3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0F9F5AE7-D02D-4E6B-91E8-E31EC0907B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C90A97D0-4978-4D49-9484-5F50657286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C1CB457C-82F2-4E3B-B554-CBA07FE74E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16098382-CBFB-4BDD-90B0-65EF32E9B6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633C3384-25B8-44D8-8779-7A974B7462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6.0882312691828123E-2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94736.166193369922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- 24.05.17.xlsx]Spawn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- 24.05.17.xlsx]Spawn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627D902C-4A67-4A36-915B-EABCAF521B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0B01ADB9-A711-49E3-9F89-8B22CA281B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2C869FD1-00A0-4F97-98A1-EA8B3F155D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67DB8408-1371-463E-B9AA-7EA1DBD2EE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F06FFFF6-CC9B-407E-BD6B-A529A1AEC2F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A600AF84-3D0E-4491-B7B8-38C2CAD021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D6CDA561-98C1-4E41-A1A1-14BAF213F7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B6A38C2B-854D-4EF4-83D0-73192D37946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F72CF649-A5EF-4241-9AA4-BCA6A0CC63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3CFC334A-C661-4B0A-9EF1-80930F7CF4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135A0275-E99D-4CDD-ABD1-A52B8A299A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B4EED5BA-1618-41DB-88A8-B209A7CFB7C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7A547C45-B76D-447E-9514-176E3DF4B2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9F8F487C-26CC-4655-B5C0-BDFD62590F4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646CC555-67E0-41D2-82E9-AA05412BE47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01BAA496-F9C5-4248-B16B-E77EF71BFE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CF3CE8FA-53E4-4764-95C9-26EF71F8A4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E9298DBD-02B1-4B4F-BCEB-604F783D14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6.0882312691828123E-2</c:v>
                </c:pt>
                <c:pt idx="35">
                  <c:v>0.14862255402625357</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997CD03D-7530-4D30-9322-E34B24FB8A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4B79962C-3BF1-4893-9522-8E41B241E7A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851709EA-B3C8-4EEC-8E9E-64BFE2ADD57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A03122F3-B4C5-40C9-820B-603FDB5CBAD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DC3A6860-252E-42AF-A9DC-DC1ABC04EC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82CF410F-4343-4D29-B2BB-B05CF407998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99776969-70C8-43C6-893C-B40387B9C0E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F9C54895-C9D7-49FA-9293-22D7E4E2995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ABCEEEC8-E926-4464-93C2-AB0346B875D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DDDC7E08-E5E3-427C-A212-B480208F127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45B50445-E310-416F-95A3-98490DFB700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10758401-FD28-4825-BB65-45C92FEE19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85372AFB-C5D7-4BFE-B73D-2D04D40656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52</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52</xdr:row>
      <xdr:rowOff>0</xdr:rowOff>
    </xdr:from>
    <xdr:to>
      <xdr:col>101</xdr:col>
      <xdr:colOff>152400</xdr:colOff>
      <xdr:row>69</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52</xdr:row>
      <xdr:rowOff>0</xdr:rowOff>
    </xdr:from>
    <xdr:to>
      <xdr:col>111</xdr:col>
      <xdr:colOff>152400</xdr:colOff>
      <xdr:row>69</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71</xdr:row>
      <xdr:rowOff>0</xdr:rowOff>
    </xdr:from>
    <xdr:to>
      <xdr:col>101</xdr:col>
      <xdr:colOff>152400</xdr:colOff>
      <xdr:row>88</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71</xdr:row>
      <xdr:rowOff>0</xdr:rowOff>
    </xdr:from>
    <xdr:to>
      <xdr:col>111</xdr:col>
      <xdr:colOff>152400</xdr:colOff>
      <xdr:row>88</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737">
      <pivotArea field="21" dataOnly="0" labelOnly="1" grandCol="1" outline="0" axis="axisCol" fieldPosition="0">
        <references count="1">
          <reference field="4294967294" count="1" selected="0">
            <x v="0"/>
          </reference>
        </references>
      </pivotArea>
    </format>
    <format dxfId="736">
      <pivotArea field="21" dataOnly="0" labelOnly="1" grandCol="1" outline="0" axis="axisCol" fieldPosition="0">
        <references count="1">
          <reference field="4294967294" count="1" selected="0">
            <x v="1"/>
          </reference>
        </references>
      </pivotArea>
    </format>
    <format dxfId="735">
      <pivotArea dataOnly="0" labelOnly="1" fieldPosition="0">
        <references count="1">
          <reference field="21" count="0"/>
        </references>
      </pivotArea>
    </format>
    <format dxfId="734">
      <pivotArea dataOnly="0" labelOnly="1" outline="0" fieldPosition="0">
        <references count="2">
          <reference field="4294967294" count="2">
            <x v="0"/>
            <x v="1"/>
          </reference>
          <reference field="21" count="1" selected="0">
            <x v="0"/>
          </reference>
        </references>
      </pivotArea>
    </format>
    <format dxfId="733">
      <pivotArea dataOnly="0" labelOnly="1" outline="0" fieldPosition="0">
        <references count="2">
          <reference field="4294967294" count="2">
            <x v="0"/>
            <x v="1"/>
          </reference>
          <reference field="21" count="1" selected="0">
            <x v="1"/>
          </reference>
        </references>
      </pivotArea>
    </format>
    <format dxfId="732">
      <pivotArea dataOnly="0" labelOnly="1" outline="0" fieldPosition="0">
        <references count="2">
          <reference field="4294967294" count="2">
            <x v="0"/>
            <x v="1"/>
          </reference>
          <reference field="21" count="1" selected="0">
            <x v="2"/>
          </reference>
        </references>
      </pivotArea>
    </format>
    <format dxfId="731">
      <pivotArea dataOnly="0" labelOnly="1" outline="0" fieldPosition="0">
        <references count="2">
          <reference field="4294967294" count="2">
            <x v="0"/>
            <x v="1"/>
          </reference>
          <reference field="21" count="1" selected="0">
            <x v="3"/>
          </reference>
        </references>
      </pivotArea>
    </format>
    <format dxfId="730">
      <pivotArea outline="0" collapsedLevelsAreSubtotals="1" fieldPosition="0">
        <references count="2">
          <reference field="4294967294" count="2" selected="0">
            <x v="0"/>
            <x v="1"/>
          </reference>
          <reference field="21" count="4" selected="0">
            <x v="0"/>
            <x v="1"/>
            <x v="2"/>
            <x v="3"/>
          </reference>
        </references>
      </pivotArea>
    </format>
    <format dxfId="729">
      <pivotArea field="4" type="button" dataOnly="0" labelOnly="1" outline="0" axis="axisRow" fieldPosition="0"/>
    </format>
    <format dxfId="728">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727">
      <pivotArea dataOnly="0" labelOnly="1" outline="0" fieldPosition="0">
        <references count="2">
          <reference field="4294967294" count="2">
            <x v="0"/>
            <x v="1"/>
          </reference>
          <reference field="21" count="1" selected="0">
            <x v="0"/>
          </reference>
        </references>
      </pivotArea>
    </format>
    <format dxfId="726">
      <pivotArea dataOnly="0" labelOnly="1" outline="0" fieldPosition="0">
        <references count="2">
          <reference field="4294967294" count="2">
            <x v="0"/>
            <x v="1"/>
          </reference>
          <reference field="21" count="1" selected="0">
            <x v="1"/>
          </reference>
        </references>
      </pivotArea>
    </format>
    <format dxfId="725">
      <pivotArea dataOnly="0" labelOnly="1" outline="0" fieldPosition="0">
        <references count="2">
          <reference field="4294967294" count="2">
            <x v="0"/>
            <x v="1"/>
          </reference>
          <reference field="21" count="1" selected="0">
            <x v="2"/>
          </reference>
        </references>
      </pivotArea>
    </format>
    <format dxfId="724">
      <pivotArea dataOnly="0" labelOnly="1" outline="0" fieldPosition="0">
        <references count="2">
          <reference field="4294967294" count="2">
            <x v="0"/>
            <x v="1"/>
          </reference>
          <reference field="21" count="1" selected="0">
            <x v="3"/>
          </reference>
        </references>
      </pivotArea>
    </format>
    <format dxfId="723">
      <pivotArea field="21" dataOnly="0" labelOnly="1" grandCol="1" outline="0" axis="axisCol" fieldPosition="0">
        <references count="1">
          <reference field="4294967294" count="1" selected="0">
            <x v="0"/>
          </reference>
        </references>
      </pivotArea>
    </format>
    <format dxfId="722">
      <pivotArea field="21" dataOnly="0" labelOnly="1" grandCol="1" outline="0" axis="axisCol" fieldPosition="0">
        <references count="1">
          <reference field="4294967294" count="1" selected="0">
            <x v="1"/>
          </reference>
        </references>
      </pivotArea>
    </format>
    <format dxfId="721">
      <pivotArea field="21" grandCol="1" outline="0" collapsedLevelsAreSubtotals="1" axis="axisCol" fieldPosition="0">
        <references count="1">
          <reference field="4294967294" count="2" selected="0">
            <x v="0"/>
            <x v="1"/>
          </reference>
        </references>
      </pivotArea>
    </format>
    <format dxfId="720">
      <pivotArea dataOnly="0" labelOnly="1" fieldPosition="0">
        <references count="1">
          <reference field="21" count="4">
            <x v="0"/>
            <x v="1"/>
            <x v="2"/>
            <x v="3"/>
          </reference>
        </references>
      </pivotArea>
    </format>
    <format dxfId="719">
      <pivotArea dataOnly="0" labelOnly="1" fieldPosition="0">
        <references count="1">
          <reference field="21" count="1">
            <x v="1"/>
          </reference>
        </references>
      </pivotArea>
    </format>
    <format dxfId="718">
      <pivotArea dataOnly="0" labelOnly="1" fieldPosition="0">
        <references count="1">
          <reference field="21" count="1">
            <x v="2"/>
          </reference>
        </references>
      </pivotArea>
    </format>
    <format dxfId="717">
      <pivotArea field="0" type="button" dataOnly="0" labelOnly="1" outline="0" axis="axisPage" fieldPosition="0"/>
    </format>
    <format dxfId="716">
      <pivotArea type="origin" dataOnly="0" labelOnly="1" outline="0" fieldPosition="0"/>
    </format>
    <format dxfId="715">
      <pivotArea field="4" type="button" dataOnly="0" labelOnly="1" outline="0" axis="axisRow" fieldPosition="0"/>
    </format>
    <format dxfId="714">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711">
      <pivotArea dataOnly="0" labelOnly="1" outline="0" fieldPosition="0">
        <references count="1">
          <reference field="0" count="1">
            <x v="0"/>
          </reference>
        </references>
      </pivotArea>
    </format>
    <format dxfId="710">
      <pivotArea dataOnly="0" labelOnly="1" outline="0" fieldPosition="0">
        <references count="1">
          <reference field="0" count="1">
            <x v="1"/>
          </reference>
        </references>
      </pivotArea>
    </format>
    <format dxfId="709">
      <pivotArea dataOnly="0" labelOnly="1" outline="0" fieldPosition="0">
        <references count="2">
          <reference field="4294967294" count="1">
            <x v="2"/>
          </reference>
          <reference field="0" count="1" selected="0">
            <x v="0"/>
          </reference>
        </references>
      </pivotArea>
    </format>
    <format dxfId="708">
      <pivotArea dataOnly="0" labelOnly="1" outline="0" fieldPosition="0">
        <references count="2">
          <reference field="4294967294" count="1">
            <x v="2"/>
          </reference>
          <reference field="0" count="1" selected="0">
            <x v="1"/>
          </reference>
        </references>
      </pivotArea>
    </format>
    <format dxfId="707">
      <pivotArea field="0" outline="0" axis="axisCol" fieldPosition="0">
        <references count="1">
          <reference field="4294967294" count="1" selected="0">
            <x v="2"/>
          </reference>
        </references>
      </pivotArea>
    </format>
    <format dxfId="706">
      <pivotArea field="0" outline="0" axis="axisCol" fieldPosition="0">
        <references count="1">
          <reference field="4294967294" count="1" selected="0">
            <x v="2"/>
          </reference>
        </references>
      </pivotArea>
    </format>
    <format dxfId="705">
      <pivotArea field="0" dataOnly="0" labelOnly="1" outline="0" axis="axisCol" fieldPosition="0">
        <references count="1">
          <reference field="4294967294" count="1" selected="0">
            <x v="2"/>
          </reference>
        </references>
      </pivotArea>
    </format>
    <format dxfId="704">
      <pivotArea dataOnly="0" labelOnly="1" outline="0" fieldPosition="0">
        <references count="2">
          <reference field="4294967294" count="1">
            <x v="2"/>
          </reference>
          <reference field="0" count="1" selected="0">
            <x v="0"/>
          </reference>
        </references>
      </pivotArea>
    </format>
    <format dxfId="703">
      <pivotArea dataOnly="0" labelOnly="1" outline="0" fieldPosition="0">
        <references count="2">
          <reference field="4294967294" count="1">
            <x v="2"/>
          </reference>
          <reference field="0" count="1" selected="0">
            <x v="1"/>
          </reference>
        </references>
      </pivotArea>
    </format>
    <format dxfId="702">
      <pivotArea dataOnly="0" labelOnly="1" outline="0" fieldPosition="0">
        <references count="1">
          <reference field="2" count="0"/>
        </references>
      </pivotArea>
    </format>
    <format dxfId="701">
      <pivotArea outline="0" collapsedLevelsAreSubtotals="1" fieldPosition="0"/>
    </format>
    <format dxfId="700">
      <pivotArea grandRow="1" outline="0" collapsedLevelsAreSubtotals="1" fieldPosition="0"/>
    </format>
    <format dxfId="699">
      <pivotArea dataOnly="0" labelOnly="1" grandRow="1" outline="0" fieldPosition="0"/>
    </format>
    <format dxfId="698">
      <pivotArea type="all" dataOnly="0" outline="0" fieldPosition="0"/>
    </format>
    <format dxfId="697">
      <pivotArea outline="0" collapsedLevelsAreSubtotals="1" fieldPosition="0"/>
    </format>
    <format dxfId="696">
      <pivotArea type="origin" dataOnly="0" labelOnly="1" outline="0" fieldPosition="0"/>
    </format>
    <format dxfId="695">
      <pivotArea field="0" type="button" dataOnly="0" labelOnly="1" outline="0" axis="axisCol" fieldPosition="0"/>
    </format>
    <format dxfId="694">
      <pivotArea field="2" type="button" dataOnly="0" labelOnly="1" outline="0" axis="axisRow" fieldPosition="0"/>
    </format>
    <format dxfId="693">
      <pivotArea dataOnly="0" labelOnly="1" grandRow="1" outline="0" fieldPosition="0"/>
    </format>
    <format dxfId="692">
      <pivotArea dataOnly="0" labelOnly="1" outline="0" fieldPosition="0">
        <references count="1">
          <reference field="0" count="0"/>
        </references>
      </pivotArea>
    </format>
    <format dxfId="691">
      <pivotArea field="0" dataOnly="0" labelOnly="1" outline="0" axis="axisCol" fieldPosition="0">
        <references count="1">
          <reference field="4294967294" count="1" selected="0">
            <x v="2"/>
          </reference>
        </references>
      </pivotArea>
    </format>
    <format dxfId="690">
      <pivotArea dataOnly="0" labelOnly="1" outline="0" fieldPosition="0">
        <references count="2">
          <reference field="4294967294" count="1">
            <x v="2"/>
          </reference>
          <reference field="0" count="1" selected="0">
            <x v="0"/>
          </reference>
        </references>
      </pivotArea>
    </format>
    <format dxfId="689">
      <pivotArea dataOnly="0" labelOnly="1" outline="0" fieldPosition="0">
        <references count="2">
          <reference field="4294967294" count="1">
            <x v="2"/>
          </reference>
          <reference field="0" count="1" selected="0">
            <x v="1"/>
          </reference>
        </references>
      </pivotArea>
    </format>
    <format dxfId="688">
      <pivotArea field="0" outline="0" axis="axisCol" fieldPosition="0">
        <references count="1">
          <reference field="4294967294" count="1" selected="0">
            <x v="2"/>
          </reference>
        </references>
      </pivotArea>
    </format>
    <format dxfId="687">
      <pivotArea field="0" type="button" dataOnly="0" labelOnly="1" outline="0" axis="axisCol" fieldPosition="0"/>
    </format>
    <format dxfId="686">
      <pivotArea dataOnly="0" labelOnly="1" outline="0" fieldPosition="0">
        <references count="1">
          <reference field="0" count="0"/>
        </references>
      </pivotArea>
    </format>
    <format dxfId="685">
      <pivotArea field="1" type="button" dataOnly="0" labelOnly="1" outline="0" axis="axisCol" fieldPosition="1"/>
    </format>
    <format dxfId="684">
      <pivotArea outline="0" fieldPosition="0">
        <references count="1">
          <reference field="0" count="1" selected="0" defaultSubtotal="1">
            <x v="0"/>
          </reference>
        </references>
      </pivotArea>
    </format>
    <format dxfId="683">
      <pivotArea dataOnly="0" labelOnly="1" outline="0" fieldPosition="0">
        <references count="2">
          <reference field="4294967294" count="1" selected="0">
            <x v="2"/>
          </reference>
          <reference field="0" count="1" defaultSubtotal="1">
            <x v="0"/>
          </reference>
        </references>
      </pivotArea>
    </format>
    <format dxfId="682">
      <pivotArea dataOnly="0" labelOnly="1" outline="0" fieldPosition="0">
        <references count="2">
          <reference field="0" count="1" selected="0">
            <x v="0"/>
          </reference>
          <reference field="1" count="2">
            <x v="0"/>
            <x v="1"/>
          </reference>
        </references>
      </pivotArea>
    </format>
    <format dxfId="681">
      <pivotArea dataOnly="0" labelOnly="1" outline="0" fieldPosition="0">
        <references count="3">
          <reference field="4294967294" count="1">
            <x v="2"/>
          </reference>
          <reference field="0" count="1" selected="0">
            <x v="0"/>
          </reference>
          <reference field="1" count="1" selected="0">
            <x v="0"/>
          </reference>
        </references>
      </pivotArea>
    </format>
    <format dxfId="680">
      <pivotArea dataOnly="0" labelOnly="1" outline="0" fieldPosition="0">
        <references count="3">
          <reference field="4294967294" count="1">
            <x v="2"/>
          </reference>
          <reference field="0" count="1" selected="0">
            <x v="0"/>
          </reference>
          <reference field="1" count="1" selected="0">
            <x v="1"/>
          </reference>
        </references>
      </pivotArea>
    </format>
    <format dxfId="679">
      <pivotArea outline="0" fieldPosition="0">
        <references count="2">
          <reference field="4294967294" count="1" selected="0">
            <x v="2"/>
          </reference>
          <reference field="0" count="1" selected="0" defaultSubtotal="1">
            <x v="0"/>
          </reference>
        </references>
      </pivotArea>
    </format>
    <format dxfId="678">
      <pivotArea dataOnly="0" labelOnly="1" outline="0" fieldPosition="0">
        <references count="2">
          <reference field="4294967294" count="1" selected="0">
            <x v="2"/>
          </reference>
          <reference field="0" count="1" defaultSubtotal="1">
            <x v="0"/>
          </reference>
        </references>
      </pivotArea>
    </format>
    <format dxfId="677">
      <pivotArea outline="0" fieldPosition="0">
        <references count="1">
          <reference field="0" count="1" selected="0" defaultSubtotal="1">
            <x v="1"/>
          </reference>
        </references>
      </pivotArea>
    </format>
    <format dxfId="676">
      <pivotArea dataOnly="0" labelOnly="1" outline="0" fieldPosition="0">
        <references count="3">
          <reference field="4294967294" count="1">
            <x v="2"/>
          </reference>
          <reference field="0" count="1" selected="0">
            <x v="1"/>
          </reference>
          <reference field="1" count="1" selected="0">
            <x v="2"/>
          </reference>
        </references>
      </pivotArea>
    </format>
    <format dxfId="675">
      <pivotArea dataOnly="0" labelOnly="1" outline="0" fieldPosition="0">
        <references count="3">
          <reference field="4294967294" count="1">
            <x v="2"/>
          </reference>
          <reference field="0" count="1" selected="0">
            <x v="1"/>
          </reference>
          <reference field="1" count="1" selected="0">
            <x v="3"/>
          </reference>
        </references>
      </pivotArea>
    </format>
    <format dxfId="674">
      <pivotArea outline="0" fieldPosition="0">
        <references count="2">
          <reference field="4294967294" count="1" selected="0">
            <x v="2"/>
          </reference>
          <reference field="0" count="1" selected="0" defaultSubtotal="1">
            <x v="1"/>
          </reference>
        </references>
      </pivotArea>
    </format>
    <format dxfId="673">
      <pivotArea field="2" outline="0" axis="axisRow" fieldPosition="0">
        <references count="2">
          <reference field="4294967294" count="1" selected="0">
            <x v="2"/>
          </reference>
          <reference field="2" count="0" selected="0"/>
        </references>
      </pivotArea>
    </format>
    <format dxfId="672">
      <pivotArea field="0" outline="0" axis="axisCol" fieldPosition="0">
        <references count="1">
          <reference field="4294967294" count="1" selected="0">
            <x v="2"/>
          </reference>
        </references>
      </pivotArea>
    </format>
    <format dxfId="671">
      <pivotArea dataOnly="0" labelOnly="1" outline="0" fieldPosition="0">
        <references count="2">
          <reference field="0" count="1" selected="0">
            <x v="1"/>
          </reference>
          <reference field="1" count="2">
            <x v="2"/>
            <x v="3"/>
          </reference>
        </references>
      </pivotArea>
    </format>
    <format dxfId="670">
      <pivotArea dataOnly="0" labelOnly="1" outline="0" fieldPosition="0">
        <references count="2">
          <reference field="0" count="1" selected="0">
            <x v="0"/>
          </reference>
          <reference field="1" count="1">
            <x v="0"/>
          </reference>
        </references>
      </pivotArea>
    </format>
    <format dxfId="669">
      <pivotArea dataOnly="0" labelOnly="1" outline="0" fieldPosition="0">
        <references count="2">
          <reference field="0" count="1" selected="0">
            <x v="0"/>
          </reference>
          <reference field="1" count="1">
            <x v="1"/>
          </reference>
        </references>
      </pivotArea>
    </format>
    <format dxfId="668">
      <pivotArea dataOnly="0" labelOnly="1" outline="0" fieldPosition="0">
        <references count="2">
          <reference field="0" count="1" selected="0">
            <x v="1"/>
          </reference>
          <reference field="1" count="1">
            <x v="2"/>
          </reference>
        </references>
      </pivotArea>
    </format>
    <format dxfId="667">
      <pivotArea dataOnly="0" labelOnly="1" outline="0" fieldPosition="0">
        <references count="1">
          <reference field="0" count="1">
            <x v="0"/>
          </reference>
        </references>
      </pivotArea>
    </format>
    <format dxfId="666">
      <pivotArea dataOnly="0" labelOnly="1" outline="0" fieldPosition="0">
        <references count="1">
          <reference field="0" count="1">
            <x v="1"/>
          </reference>
        </references>
      </pivotArea>
    </format>
    <format dxfId="665">
      <pivotArea field="-2" type="button" dataOnly="0" labelOnly="1" outline="0" axis="axisCol" fieldPosition="2"/>
    </format>
    <format dxfId="664">
      <pivotArea type="topRight" dataOnly="0" labelOnly="1" outline="0" fieldPosition="0"/>
    </format>
    <format dxfId="663">
      <pivotArea type="origin" dataOnly="0" labelOnly="1" outline="0" fieldPosition="0"/>
    </format>
    <format dxfId="662">
      <pivotArea field="0" type="button" dataOnly="0" labelOnly="1" outline="0" axis="axisCol" fieldPosition="0"/>
    </format>
    <format dxfId="661">
      <pivotArea field="1" type="button" dataOnly="0" labelOnly="1" outline="0" axis="axisCol" fieldPosition="1"/>
    </format>
    <format dxfId="660">
      <pivotArea field="-2" type="button" dataOnly="0" labelOnly="1" outline="0" axis="axisCol" fieldPosition="2"/>
    </format>
    <format dxfId="659">
      <pivotArea type="topRight" dataOnly="0" labelOnly="1" outline="0" fieldPosition="0"/>
    </format>
    <format dxfId="658">
      <pivotArea field="2" type="button" dataOnly="0" labelOnly="1" outline="0" axis="axisRow" fieldPosition="0"/>
    </format>
    <format dxfId="657">
      <pivotArea dataOnly="0" labelOnly="1" outline="0" fieldPosition="0">
        <references count="1">
          <reference field="0" count="0"/>
        </references>
      </pivotArea>
    </format>
    <format dxfId="656">
      <pivotArea dataOnly="0" labelOnly="1" outline="0" fieldPosition="0">
        <references count="2">
          <reference field="4294967294" count="1" selected="0">
            <x v="2"/>
          </reference>
          <reference field="0" count="0" defaultSubtotal="1"/>
        </references>
      </pivotArea>
    </format>
    <format dxfId="655">
      <pivotArea field="0" dataOnly="0" labelOnly="1" outline="0" axis="axisCol" fieldPosition="0">
        <references count="1">
          <reference field="4294967294" count="1" selected="0">
            <x v="2"/>
          </reference>
        </references>
      </pivotArea>
    </format>
    <format dxfId="654">
      <pivotArea dataOnly="0" labelOnly="1" outline="0" fieldPosition="0">
        <references count="2">
          <reference field="0" count="1" selected="0">
            <x v="0"/>
          </reference>
          <reference field="1" count="2">
            <x v="0"/>
            <x v="1"/>
          </reference>
        </references>
      </pivotArea>
    </format>
    <format dxfId="653">
      <pivotArea dataOnly="0" labelOnly="1" outline="0" fieldPosition="0">
        <references count="2">
          <reference field="0" count="1" selected="0">
            <x v="1"/>
          </reference>
          <reference field="1" count="2">
            <x v="2"/>
            <x v="3"/>
          </reference>
        </references>
      </pivotArea>
    </format>
    <format dxfId="652">
      <pivotArea dataOnly="0" labelOnly="1" outline="0" fieldPosition="0">
        <references count="3">
          <reference field="4294967294" count="1">
            <x v="2"/>
          </reference>
          <reference field="0" count="1" selected="0">
            <x v="0"/>
          </reference>
          <reference field="1" count="1" selected="0">
            <x v="0"/>
          </reference>
        </references>
      </pivotArea>
    </format>
    <format dxfId="651">
      <pivotArea dataOnly="0" labelOnly="1" outline="0" fieldPosition="0">
        <references count="3">
          <reference field="4294967294" count="1">
            <x v="2"/>
          </reference>
          <reference field="0" count="1" selected="0">
            <x v="0"/>
          </reference>
          <reference field="1" count="1" selected="0">
            <x v="1"/>
          </reference>
        </references>
      </pivotArea>
    </format>
    <format dxfId="650">
      <pivotArea dataOnly="0" labelOnly="1" outline="0" fieldPosition="0">
        <references count="3">
          <reference field="4294967294" count="1">
            <x v="2"/>
          </reference>
          <reference field="0" count="1" selected="0">
            <x v="1"/>
          </reference>
          <reference field="1" count="1" selected="0">
            <x v="2"/>
          </reference>
        </references>
      </pivotArea>
    </format>
    <format dxfId="649">
      <pivotArea dataOnly="0" labelOnly="1" outline="0" fieldPosition="0">
        <references count="3">
          <reference field="4294967294" count="1">
            <x v="2"/>
          </reference>
          <reference field="0" count="1" selected="0">
            <x v="1"/>
          </reference>
          <reference field="1" count="1" selected="0">
            <x v="3"/>
          </reference>
        </references>
      </pivotArea>
    </format>
    <format dxfId="648">
      <pivotArea type="origin" dataOnly="0" labelOnly="1" outline="0" fieldPosition="0"/>
    </format>
    <format dxfId="647">
      <pivotArea field="0" type="button" dataOnly="0" labelOnly="1" outline="0" axis="axisCol" fieldPosition="0"/>
    </format>
    <format dxfId="646">
      <pivotArea field="1" type="button" dataOnly="0" labelOnly="1" outline="0" axis="axisCol" fieldPosition="1"/>
    </format>
    <format dxfId="645">
      <pivotArea field="-2" type="button" dataOnly="0" labelOnly="1" outline="0" axis="axisCol" fieldPosition="2"/>
    </format>
    <format dxfId="644">
      <pivotArea type="topRight" dataOnly="0" labelOnly="1" outline="0" fieldPosition="0"/>
    </format>
    <format dxfId="643">
      <pivotArea field="2" type="button" dataOnly="0" labelOnly="1" outline="0" axis="axisRow" fieldPosition="0"/>
    </format>
    <format dxfId="642">
      <pivotArea dataOnly="0" labelOnly="1" outline="0" fieldPosition="0">
        <references count="1">
          <reference field="0" count="0"/>
        </references>
      </pivotArea>
    </format>
    <format dxfId="641">
      <pivotArea dataOnly="0" labelOnly="1" outline="0" fieldPosition="0">
        <references count="2">
          <reference field="4294967294" count="1" selected="0">
            <x v="2"/>
          </reference>
          <reference field="0" count="0" defaultSubtotal="1"/>
        </references>
      </pivotArea>
    </format>
    <format dxfId="640">
      <pivotArea field="0" dataOnly="0" labelOnly="1" outline="0" axis="axisCol" fieldPosition="0">
        <references count="1">
          <reference field="4294967294" count="1" selected="0">
            <x v="2"/>
          </reference>
        </references>
      </pivotArea>
    </format>
    <format dxfId="639">
      <pivotArea dataOnly="0" labelOnly="1" outline="0" fieldPosition="0">
        <references count="2">
          <reference field="0" count="1" selected="0">
            <x v="0"/>
          </reference>
          <reference field="1" count="2">
            <x v="0"/>
            <x v="1"/>
          </reference>
        </references>
      </pivotArea>
    </format>
    <format dxfId="638">
      <pivotArea dataOnly="0" labelOnly="1" outline="0" fieldPosition="0">
        <references count="2">
          <reference field="0" count="1" selected="0">
            <x v="1"/>
          </reference>
          <reference field="1" count="2">
            <x v="2"/>
            <x v="3"/>
          </reference>
        </references>
      </pivotArea>
    </format>
    <format dxfId="637">
      <pivotArea dataOnly="0" labelOnly="1" outline="0" fieldPosition="0">
        <references count="3">
          <reference field="4294967294" count="1">
            <x v="2"/>
          </reference>
          <reference field="0" count="1" selected="0">
            <x v="0"/>
          </reference>
          <reference field="1" count="1" selected="0">
            <x v="0"/>
          </reference>
        </references>
      </pivotArea>
    </format>
    <format dxfId="636">
      <pivotArea dataOnly="0" labelOnly="1" outline="0" fieldPosition="0">
        <references count="3">
          <reference field="4294967294" count="1">
            <x v="2"/>
          </reference>
          <reference field="0" count="1" selected="0">
            <x v="0"/>
          </reference>
          <reference field="1" count="1" selected="0">
            <x v="1"/>
          </reference>
        </references>
      </pivotArea>
    </format>
    <format dxfId="635">
      <pivotArea dataOnly="0" labelOnly="1" outline="0" fieldPosition="0">
        <references count="3">
          <reference field="4294967294" count="1">
            <x v="2"/>
          </reference>
          <reference field="0" count="1" selected="0">
            <x v="1"/>
          </reference>
          <reference field="1" count="1" selected="0">
            <x v="2"/>
          </reference>
        </references>
      </pivotArea>
    </format>
    <format dxfId="634">
      <pivotArea dataOnly="0" labelOnly="1" outline="0" fieldPosition="0">
        <references count="3">
          <reference field="4294967294" count="1">
            <x v="2"/>
          </reference>
          <reference field="0" count="1" selected="0">
            <x v="1"/>
          </reference>
          <reference field="1" count="1" selected="0">
            <x v="3"/>
          </reference>
        </references>
      </pivotArea>
    </format>
    <format dxfId="633">
      <pivotArea dataOnly="0" labelOnly="1" outline="0" fieldPosition="0">
        <references count="2">
          <reference field="0" count="1" selected="0">
            <x v="1"/>
          </reference>
          <reference field="1" count="2">
            <x v="2"/>
            <x v="3"/>
          </reference>
        </references>
      </pivotArea>
    </format>
    <format dxfId="632">
      <pivotArea dataOnly="0" labelOnly="1" outline="0" fieldPosition="0">
        <references count="2">
          <reference field="0" count="1" selected="0">
            <x v="0"/>
          </reference>
          <reference field="1" count="2">
            <x v="0"/>
            <x v="1"/>
          </reference>
        </references>
      </pivotArea>
    </format>
    <format dxfId="631">
      <pivotArea dataOnly="0" outline="0" fieldPosition="0">
        <references count="1">
          <reference field="1" count="1">
            <x v="1"/>
          </reference>
        </references>
      </pivotArea>
    </format>
    <format dxfId="630">
      <pivotArea dataOnly="0" labelOnly="1" grandRow="1" outline="0" fieldPosition="0"/>
    </format>
    <format dxfId="629">
      <pivotArea outline="0" fieldPosition="0">
        <references count="1">
          <reference field="2" count="0" selected="0"/>
        </references>
      </pivotArea>
    </format>
    <format dxfId="628">
      <pivotArea dataOnly="0" labelOnly="1" outline="0" fieldPosition="0">
        <references count="1">
          <reference field="2" count="0"/>
        </references>
      </pivotArea>
    </format>
    <format dxfId="627">
      <pivotArea field="0" type="button" dataOnly="0" labelOnly="1" outline="0" axis="axisCol" fieldPosition="0"/>
    </format>
    <format dxfId="626">
      <pivotArea field="1" type="button" dataOnly="0" labelOnly="1" outline="0" axis="axisCol" fieldPosition="1"/>
    </format>
    <format dxfId="625">
      <pivotArea field="-2" type="button" dataOnly="0" labelOnly="1" outline="0" axis="axisCol" fieldPosition="2"/>
    </format>
    <format dxfId="624">
      <pivotArea type="topRight" dataOnly="0" labelOnly="1" outline="0" fieldPosition="0"/>
    </format>
    <format dxfId="623">
      <pivotArea dataOnly="0" labelOnly="1" outline="0" fieldPosition="0">
        <references count="1">
          <reference field="0" count="0"/>
        </references>
      </pivotArea>
    </format>
    <format dxfId="622">
      <pivotArea dataOnly="0" labelOnly="1" outline="0" fieldPosition="0">
        <references count="2">
          <reference field="4294967294" count="1" selected="0">
            <x v="2"/>
          </reference>
          <reference field="0" count="0" defaultSubtotal="1"/>
        </references>
      </pivotArea>
    </format>
    <format dxfId="621">
      <pivotArea dataOnly="0" labelOnly="1" outline="0" fieldPosition="0">
        <references count="2">
          <reference field="0" count="1" selected="0">
            <x v="0"/>
          </reference>
          <reference field="1" count="2">
            <x v="0"/>
            <x v="1"/>
          </reference>
        </references>
      </pivotArea>
    </format>
    <format dxfId="620">
      <pivotArea dataOnly="0" labelOnly="1" outline="0" fieldPosition="0">
        <references count="2">
          <reference field="0" count="1" selected="0">
            <x v="1"/>
          </reference>
          <reference field="1" count="2">
            <x v="2"/>
            <x v="3"/>
          </reference>
        </references>
      </pivotArea>
    </format>
    <format dxfId="619">
      <pivotArea dataOnly="0" labelOnly="1" outline="0" fieldPosition="0">
        <references count="2">
          <reference field="0" count="1" selected="0">
            <x v="0"/>
          </reference>
          <reference field="1" count="1">
            <x v="0"/>
          </reference>
        </references>
      </pivotArea>
    </format>
    <format dxfId="618">
      <pivotArea dataOnly="0" labelOnly="1" outline="0" fieldPosition="0">
        <references count="2">
          <reference field="0" count="1" selected="0">
            <x v="0"/>
          </reference>
          <reference field="1" count="1">
            <x v="1"/>
          </reference>
        </references>
      </pivotArea>
    </format>
    <format dxfId="617">
      <pivotArea dataOnly="0" labelOnly="1" outline="0" fieldPosition="0">
        <references count="2">
          <reference field="0" count="1" selected="0">
            <x v="1"/>
          </reference>
          <reference field="1" count="1">
            <x v="2"/>
          </reference>
        </references>
      </pivotArea>
    </format>
    <format dxfId="616">
      <pivotArea dataOnly="0" labelOnly="1" outline="0" fieldPosition="0">
        <references count="2">
          <reference field="0" count="1" selected="0">
            <x v="1"/>
          </reference>
          <reference field="1" count="1">
            <x v="3"/>
          </reference>
        </references>
      </pivotArea>
    </format>
    <format dxfId="615">
      <pivotArea dataOnly="0" labelOnly="1" outline="0" fieldPosition="0">
        <references count="3">
          <reference field="4294967294" count="1">
            <x v="2"/>
          </reference>
          <reference field="0" count="1" selected="0">
            <x v="0"/>
          </reference>
          <reference field="1" count="1" selected="0">
            <x v="0"/>
          </reference>
        </references>
      </pivotArea>
    </format>
    <format dxfId="614">
      <pivotArea dataOnly="0" labelOnly="1" outline="0" fieldPosition="0">
        <references count="3">
          <reference field="4294967294" count="1">
            <x v="2"/>
          </reference>
          <reference field="0" count="1" selected="0">
            <x v="0"/>
          </reference>
          <reference field="1" count="1" selected="0">
            <x v="1"/>
          </reference>
        </references>
      </pivotArea>
    </format>
    <format dxfId="613">
      <pivotArea dataOnly="0" labelOnly="1" outline="0" fieldPosition="0">
        <references count="3">
          <reference field="4294967294" count="1">
            <x v="2"/>
          </reference>
          <reference field="0" count="1" selected="0">
            <x v="1"/>
          </reference>
          <reference field="1" count="1" selected="0">
            <x v="2"/>
          </reference>
        </references>
      </pivotArea>
    </format>
    <format dxfId="612">
      <pivotArea dataOnly="0" labelOnly="1" outline="0" fieldPosition="0">
        <references count="3">
          <reference field="4294967294" count="1">
            <x v="2"/>
          </reference>
          <reference field="0" count="1" selected="0">
            <x v="1"/>
          </reference>
          <reference field="1" count="1" selected="0">
            <x v="3"/>
          </reference>
        </references>
      </pivotArea>
    </format>
    <format dxfId="611">
      <pivotArea type="origin" dataOnly="0" labelOnly="1" outline="0" fieldPosition="0"/>
    </format>
    <format dxfId="610">
      <pivotArea field="2" type="button" dataOnly="0" labelOnly="1" outline="0" axis="axisRow" fieldPosition="0"/>
    </format>
    <format dxfId="609">
      <pivotArea field="0" type="button" dataOnly="0" labelOnly="1" outline="0" axis="axisCol" fieldPosition="0"/>
    </format>
    <format dxfId="608">
      <pivotArea dataOnly="0" labelOnly="1" outline="0" fieldPosition="0">
        <references count="1">
          <reference field="0" count="1">
            <x v="0"/>
          </reference>
        </references>
      </pivotArea>
    </format>
    <format dxfId="607">
      <pivotArea dataOnly="0" labelOnly="1" outline="0" fieldPosition="0">
        <references count="2">
          <reference field="0" count="1" selected="0">
            <x v="0"/>
          </reference>
          <reference field="1" count="2">
            <x v="0"/>
            <x v="1"/>
          </reference>
        </references>
      </pivotArea>
    </format>
    <format dxfId="606">
      <pivotArea field="1" type="button" dataOnly="0" labelOnly="1" outline="0" axis="axisCol" fieldPosition="1"/>
    </format>
    <format dxfId="605">
      <pivotArea dataOnly="0" labelOnly="1" outline="0" fieldPosition="0">
        <references count="2">
          <reference field="0" count="1" selected="0">
            <x v="1"/>
          </reference>
          <reference field="1" count="2">
            <x v="2"/>
            <x v="3"/>
          </reference>
        </references>
      </pivotArea>
    </format>
    <format dxfId="604">
      <pivotArea field="0" dataOnly="0" labelOnly="1" outline="0" axis="axisCol" fieldPosition="0">
        <references count="1">
          <reference field="4294967294" count="1" selected="0">
            <x v="2"/>
          </reference>
        </references>
      </pivotArea>
    </format>
    <format dxfId="603">
      <pivotArea field="0" dataOnly="0" labelOnly="1" outline="0" axis="axisCol" fieldPosition="0">
        <references count="1">
          <reference field="4294967294" count="1" selected="0">
            <x v="2"/>
          </reference>
        </references>
      </pivotArea>
    </format>
    <format dxfId="602">
      <pivotArea dataOnly="0" labelOnly="1" outline="0" fieldPosition="0">
        <references count="1">
          <reference field="0" count="1">
            <x v="1"/>
          </reference>
        </references>
      </pivotArea>
    </format>
    <format dxfId="601">
      <pivotArea dataOnly="0" labelOnly="1" outline="0" fieldPosition="0">
        <references count="2">
          <reference field="0" count="1" selected="0">
            <x v="0"/>
          </reference>
          <reference field="1" count="2">
            <x v="0"/>
            <x v="1"/>
          </reference>
        </references>
      </pivotArea>
    </format>
    <format dxfId="600">
      <pivotArea dataOnly="0" labelOnly="1" outline="0" fieldPosition="0">
        <references count="3">
          <reference field="4294967294" count="1">
            <x v="2"/>
          </reference>
          <reference field="0" count="1" selected="0">
            <x v="0"/>
          </reference>
          <reference field="1" count="1" selected="0">
            <x v="0"/>
          </reference>
        </references>
      </pivotArea>
    </format>
    <format dxfId="599">
      <pivotArea dataOnly="0" labelOnly="1" outline="0" fieldPosition="0">
        <references count="3">
          <reference field="4294967294" count="1">
            <x v="2"/>
          </reference>
          <reference field="0" count="1" selected="0">
            <x v="0"/>
          </reference>
          <reference field="1" count="1" selected="0">
            <x v="1"/>
          </reference>
        </references>
      </pivotArea>
    </format>
    <format dxfId="598">
      <pivotArea dataOnly="0" labelOnly="1" outline="0" fieldPosition="0">
        <references count="2">
          <reference field="0" count="1" selected="0">
            <x v="1"/>
          </reference>
          <reference field="1" count="2">
            <x v="2"/>
            <x v="3"/>
          </reference>
        </references>
      </pivotArea>
    </format>
    <format dxfId="597">
      <pivotArea dataOnly="0" labelOnly="1" outline="0" fieldPosition="0">
        <references count="3">
          <reference field="4294967294" count="1">
            <x v="2"/>
          </reference>
          <reference field="0" count="1" selected="0">
            <x v="1"/>
          </reference>
          <reference field="1" count="1" selected="0">
            <x v="2"/>
          </reference>
        </references>
      </pivotArea>
    </format>
    <format dxfId="596">
      <pivotArea dataOnly="0" labelOnly="1" outline="0" fieldPosition="0">
        <references count="3">
          <reference field="4294967294" count="1">
            <x v="2"/>
          </reference>
          <reference field="0" count="1" selected="0">
            <x v="1"/>
          </reference>
          <reference field="1" count="1" selected="0">
            <x v="3"/>
          </reference>
        </references>
      </pivotArea>
    </format>
    <format dxfId="595">
      <pivotArea dataOnly="0" labelOnly="1" outline="0" fieldPosition="0">
        <references count="3">
          <reference field="4294967294" count="1">
            <x v="2"/>
          </reference>
          <reference field="0" count="1" selected="0">
            <x v="0"/>
          </reference>
          <reference field="1" count="1" selected="0">
            <x v="0"/>
          </reference>
        </references>
      </pivotArea>
    </format>
    <format dxfId="594">
      <pivotArea dataOnly="0" labelOnly="1" outline="0" fieldPosition="0">
        <references count="3">
          <reference field="4294967294" count="1">
            <x v="2"/>
          </reference>
          <reference field="0" count="1" selected="0">
            <x v="0"/>
          </reference>
          <reference field="1" count="1" selected="0">
            <x v="1"/>
          </reference>
        </references>
      </pivotArea>
    </format>
    <format dxfId="593">
      <pivotArea dataOnly="0" labelOnly="1" outline="0" fieldPosition="0">
        <references count="3">
          <reference field="4294967294" count="1">
            <x v="2"/>
          </reference>
          <reference field="0" count="1" selected="0">
            <x v="1"/>
          </reference>
          <reference field="1" count="1" selected="0">
            <x v="2"/>
          </reference>
        </references>
      </pivotArea>
    </format>
    <format dxfId="592">
      <pivotArea dataOnly="0" labelOnly="1" outline="0" fieldPosition="0">
        <references count="3">
          <reference field="4294967294" count="1">
            <x v="2"/>
          </reference>
          <reference field="0" count="1" selected="0">
            <x v="1"/>
          </reference>
          <reference field="1" count="1" selected="0">
            <x v="3"/>
          </reference>
        </references>
      </pivotArea>
    </format>
    <format dxfId="591">
      <pivotArea dataOnly="0" labelOnly="1" outline="0" fieldPosition="0">
        <references count="2">
          <reference field="0" count="1" selected="0">
            <x v="1"/>
          </reference>
          <reference field="1" count="1">
            <x v="3"/>
          </reference>
        </references>
      </pivotArea>
    </format>
    <format dxfId="590">
      <pivotArea dataOnly="0" labelOnly="1" outline="0" fieldPosition="0">
        <references count="3">
          <reference field="4294967294" count="1">
            <x v="2"/>
          </reference>
          <reference field="0" count="1" selected="0">
            <x v="1"/>
          </reference>
          <reference field="1" count="1" selected="0">
            <x v="3"/>
          </reference>
        </references>
      </pivotArea>
    </format>
    <format dxfId="589">
      <pivotArea dataOnly="0" labelOnly="1" outline="0" fieldPosition="0">
        <references count="2">
          <reference field="0" count="1" selected="0">
            <x v="0"/>
          </reference>
          <reference field="1" count="1">
            <x v="1"/>
          </reference>
        </references>
      </pivotArea>
    </format>
    <format dxfId="588">
      <pivotArea dataOnly="0" labelOnly="1" outline="0" fieldPosition="0">
        <references count="3">
          <reference field="4294967294" count="1">
            <x v="2"/>
          </reference>
          <reference field="0" count="1" selected="0">
            <x v="0"/>
          </reference>
          <reference field="1" count="1" selected="0">
            <x v="1"/>
          </reference>
        </references>
      </pivotArea>
    </format>
    <format dxfId="587">
      <pivotArea field="0" type="button" dataOnly="0" labelOnly="1" outline="0" axis="axisCol" fieldPosition="0"/>
    </format>
    <format dxfId="586">
      <pivotArea field="2" outline="0" axis="axisRow" fieldPosition="0">
        <references count="2">
          <reference field="4294967294" count="1" selected="0">
            <x v="2"/>
          </reference>
          <reference field="2" count="1" selected="0">
            <x v="11"/>
          </reference>
        </references>
      </pivotArea>
    </format>
    <format dxfId="585">
      <pivotArea field="2" outline="0" axis="axisRow" fieldPosition="0">
        <references count="2">
          <reference field="4294967294" count="1" selected="0">
            <x v="2"/>
          </reference>
          <reference field="2" count="1" selected="0">
            <x v="11"/>
          </reference>
        </references>
      </pivotArea>
    </format>
    <format dxfId="584">
      <pivotArea outline="0" fieldPosition="0">
        <references count="1">
          <reference field="4294967294" count="1">
            <x v="0"/>
          </reference>
        </references>
      </pivotArea>
    </format>
    <format dxfId="583">
      <pivotArea dataOnly="0" labelOnly="1" outline="0" fieldPosition="0">
        <references count="3">
          <reference field="4294967294" count="1">
            <x v="0"/>
          </reference>
          <reference field="0" count="1" selected="0">
            <x v="0"/>
          </reference>
          <reference field="1" count="1" selected="0">
            <x v="0"/>
          </reference>
        </references>
      </pivotArea>
    </format>
    <format dxfId="582">
      <pivotArea dataOnly="0" labelOnly="1" outline="0" fieldPosition="0">
        <references count="3">
          <reference field="4294967294" count="1">
            <x v="0"/>
          </reference>
          <reference field="0" count="1" selected="0">
            <x v="0"/>
          </reference>
          <reference field="1" count="1" selected="0">
            <x v="1"/>
          </reference>
        </references>
      </pivotArea>
    </format>
    <format dxfId="581">
      <pivotArea dataOnly="0" labelOnly="1" outline="0" fieldPosition="0">
        <references count="3">
          <reference field="4294967294" count="1">
            <x v="0"/>
          </reference>
          <reference field="0" count="1" selected="0">
            <x v="1"/>
          </reference>
          <reference field="1" count="1" selected="0">
            <x v="2"/>
          </reference>
        </references>
      </pivotArea>
    </format>
    <format dxfId="580">
      <pivotArea dataOnly="0" labelOnly="1" outline="0" fieldPosition="0">
        <references count="3">
          <reference field="4294967294" count="1">
            <x v="0"/>
          </reference>
          <reference field="0" count="1" selected="0">
            <x v="1"/>
          </reference>
          <reference field="1" count="1" selected="0">
            <x v="3"/>
          </reference>
        </references>
      </pivotArea>
    </format>
    <format dxfId="579">
      <pivotArea dataOnly="0" labelOnly="1" outline="0" fieldPosition="0">
        <references count="2">
          <reference field="4294967294" count="1" selected="0">
            <x v="0"/>
          </reference>
          <reference field="0" count="1" defaultSubtotal="1">
            <x v="0"/>
          </reference>
        </references>
      </pivotArea>
    </format>
    <format dxfId="578">
      <pivotArea dataOnly="0" labelOnly="1" outline="0" fieldPosition="0">
        <references count="2">
          <reference field="4294967294" count="1" selected="0">
            <x v="0"/>
          </reference>
          <reference field="0" count="1" defaultSubtotal="1">
            <x v="0"/>
          </reference>
        </references>
      </pivotArea>
    </format>
    <format dxfId="577">
      <pivotArea dataOnly="0" labelOnly="1" outline="0" fieldPosition="0">
        <references count="2">
          <reference field="4294967294" count="1" selected="0">
            <x v="0"/>
          </reference>
          <reference field="0" count="1" defaultSubtotal="1">
            <x v="1"/>
          </reference>
        </references>
      </pivotArea>
    </format>
    <format dxfId="576">
      <pivotArea dataOnly="0" labelOnly="1" outline="0" fieldPosition="0">
        <references count="2">
          <reference field="4294967294" count="1" selected="0">
            <x v="2"/>
          </reference>
          <reference field="0" count="0" defaultSubtotal="1"/>
        </references>
      </pivotArea>
    </format>
    <format dxfId="575">
      <pivotArea dataOnly="0" labelOnly="1" outline="0" fieldPosition="0">
        <references count="2">
          <reference field="4294967294" count="1" selected="0">
            <x v="0"/>
          </reference>
          <reference field="0" count="1" defaultSubtotal="1">
            <x v="1"/>
          </reference>
        </references>
      </pivotArea>
    </format>
    <format dxfId="574">
      <pivotArea dataOnly="0" labelOnly="1" outline="0" fieldPosition="0">
        <references count="2">
          <reference field="4294967294" count="1" selected="0">
            <x v="2"/>
          </reference>
          <reference field="0" count="0" defaultSubtotal="1"/>
        </references>
      </pivotArea>
    </format>
    <format dxfId="573">
      <pivotArea field="0" dataOnly="0" labelOnly="1" outline="0" axis="axisCol" fieldPosition="0">
        <references count="1">
          <reference field="4294967294" count="1" selected="0">
            <x v="0"/>
          </reference>
        </references>
      </pivotArea>
    </format>
    <format dxfId="572">
      <pivotArea field="0" dataOnly="0" labelOnly="1" outline="0" axis="axisCol" fieldPosition="0">
        <references count="1">
          <reference field="4294967294" count="1" selected="0">
            <x v="2"/>
          </reference>
        </references>
      </pivotArea>
    </format>
    <format dxfId="571">
      <pivotArea field="0" dataOnly="0" labelOnly="1" outline="0" axis="axisCol" fieldPosition="0">
        <references count="1">
          <reference field="4294967294" count="1" selected="0">
            <x v="0"/>
          </reference>
        </references>
      </pivotArea>
    </format>
    <format dxfId="570">
      <pivotArea field="0" dataOnly="0" labelOnly="1" outline="0" axis="axisCol" fieldPosition="0">
        <references count="1">
          <reference field="4294967294" count="1" selected="0">
            <x v="2"/>
          </reference>
        </references>
      </pivotArea>
    </format>
    <format dxfId="569">
      <pivotArea dataOnly="0" labelOnly="1" outline="0" fieldPosition="0">
        <references count="1">
          <reference field="0" count="2">
            <x v="0"/>
            <x v="1"/>
          </reference>
        </references>
      </pivotArea>
    </format>
    <format dxfId="568">
      <pivotArea field="0" dataOnly="0" labelOnly="1" outline="0" axis="axisCol" fieldPosition="0">
        <references count="1">
          <reference field="4294967294" count="1" selected="0">
            <x v="0"/>
          </reference>
        </references>
      </pivotArea>
    </format>
    <format dxfId="567">
      <pivotArea field="0" dataOnly="0" labelOnly="1" outline="0" axis="axisCol" fieldPosition="0">
        <references count="1">
          <reference field="4294967294" count="1" selected="0">
            <x v="2"/>
          </reference>
        </references>
      </pivotArea>
    </format>
    <format dxfId="566">
      <pivotArea dataOnly="0" labelOnly="1" outline="0" fieldPosition="0">
        <references count="2">
          <reference field="0" count="1" selected="0">
            <x v="0"/>
          </reference>
          <reference field="1" count="2">
            <x v="0"/>
            <x v="1"/>
          </reference>
        </references>
      </pivotArea>
    </format>
    <format dxfId="565">
      <pivotArea dataOnly="0" labelOnly="1" outline="0" fieldPosition="0">
        <references count="2">
          <reference field="0" count="1" selected="0">
            <x v="1"/>
          </reference>
          <reference field="1" count="2">
            <x v="2"/>
            <x v="3"/>
          </reference>
        </references>
      </pivotArea>
    </format>
    <format dxfId="564">
      <pivotArea dataOnly="0" labelOnly="1" outline="0" fieldPosition="0">
        <references count="3">
          <reference field="4294967294" count="2">
            <x v="0"/>
            <x v="2"/>
          </reference>
          <reference field="0" count="1" selected="0">
            <x v="0"/>
          </reference>
          <reference field="1" count="1" selected="0">
            <x v="0"/>
          </reference>
        </references>
      </pivotArea>
    </format>
    <format dxfId="563">
      <pivotArea dataOnly="0" labelOnly="1" outline="0" fieldPosition="0">
        <references count="3">
          <reference field="4294967294" count="2">
            <x v="0"/>
            <x v="2"/>
          </reference>
          <reference field="0" count="1" selected="0">
            <x v="0"/>
          </reference>
          <reference field="1" count="1" selected="0">
            <x v="1"/>
          </reference>
        </references>
      </pivotArea>
    </format>
    <format dxfId="562">
      <pivotArea dataOnly="0" labelOnly="1" outline="0" fieldPosition="0">
        <references count="3">
          <reference field="4294967294" count="2">
            <x v="0"/>
            <x v="2"/>
          </reference>
          <reference field="0" count="1" selected="0">
            <x v="1"/>
          </reference>
          <reference field="1" count="1" selected="0">
            <x v="2"/>
          </reference>
        </references>
      </pivotArea>
    </format>
    <format dxfId="561">
      <pivotArea dataOnly="0" labelOnly="1" outline="0" fieldPosition="0">
        <references count="3">
          <reference field="4294967294" count="2">
            <x v="0"/>
            <x v="2"/>
          </reference>
          <reference field="0" count="1" selected="0">
            <x v="1"/>
          </reference>
          <reference field="1" count="1" selected="0">
            <x v="3"/>
          </reference>
        </references>
      </pivotArea>
    </format>
    <format dxfId="560">
      <pivotArea outline="0" fieldPosition="0">
        <references count="1">
          <reference field="2" count="1" selected="0">
            <x v="11"/>
          </reference>
        </references>
      </pivotArea>
    </format>
    <format dxfId="559">
      <pivotArea dataOnly="0" labelOnly="1" outline="0" fieldPosition="0">
        <references count="1">
          <reference field="2" count="1">
            <x v="11"/>
          </reference>
        </references>
      </pivotArea>
    </format>
    <format dxfId="558">
      <pivotArea dataOnly="0" labelOnly="1" outline="0" fieldPosition="0">
        <references count="3">
          <reference field="4294967294" count="1">
            <x v="1"/>
          </reference>
          <reference field="0" count="1" selected="0">
            <x v="0"/>
          </reference>
          <reference field="1" count="1" selected="0">
            <x v="0"/>
          </reference>
        </references>
      </pivotArea>
    </format>
    <format dxfId="557">
      <pivotArea dataOnly="0" labelOnly="1" outline="0" fieldPosition="0">
        <references count="3">
          <reference field="4294967294" count="1">
            <x v="1"/>
          </reference>
          <reference field="0" count="1" selected="0">
            <x v="0"/>
          </reference>
          <reference field="1" count="1" selected="0">
            <x v="1"/>
          </reference>
        </references>
      </pivotArea>
    </format>
    <format dxfId="556">
      <pivotArea dataOnly="0" labelOnly="1" outline="0" fieldPosition="0">
        <references count="3">
          <reference field="4294967294" count="3">
            <x v="0"/>
            <x v="1"/>
            <x v="2"/>
          </reference>
          <reference field="0" count="1" selected="0">
            <x v="1"/>
          </reference>
          <reference field="1" count="1" selected="0">
            <x v="2"/>
          </reference>
        </references>
      </pivotArea>
    </format>
    <format dxfId="555">
      <pivotArea dataOnly="0" labelOnly="1" outline="0" fieldPosition="0">
        <references count="3">
          <reference field="4294967294" count="3">
            <x v="0"/>
            <x v="1"/>
            <x v="2"/>
          </reference>
          <reference field="0" count="1" selected="0">
            <x v="1"/>
          </reference>
          <reference field="1" count="1" selected="0">
            <x v="3"/>
          </reference>
        </references>
      </pivotArea>
    </format>
    <format dxfId="554">
      <pivotArea dataOnly="0" labelOnly="1" outline="0" fieldPosition="0">
        <references count="3">
          <reference field="4294967294" count="2">
            <x v="0"/>
            <x v="1"/>
          </reference>
          <reference field="0" count="1" selected="0">
            <x v="1"/>
          </reference>
          <reference field="1" count="1" selected="0">
            <x v="2"/>
          </reference>
        </references>
      </pivotArea>
    </format>
    <format dxfId="553">
      <pivotArea dataOnly="0" labelOnly="1" outline="0" fieldPosition="0">
        <references count="3">
          <reference field="4294967294" count="2">
            <x v="0"/>
            <x v="1"/>
          </reference>
          <reference field="0" count="1" selected="0">
            <x v="1"/>
          </reference>
          <reference field="1" count="1" selected="0">
            <x v="3"/>
          </reference>
        </references>
      </pivotArea>
    </format>
    <format dxfId="552">
      <pivotArea dataOnly="0" labelOnly="1" outline="0" fieldPosition="0">
        <references count="3">
          <reference field="4294967294" count="3">
            <x v="0"/>
            <x v="1"/>
            <x v="2"/>
          </reference>
          <reference field="0" count="1" selected="0">
            <x v="1"/>
          </reference>
          <reference field="1" count="1" selected="0">
            <x v="3"/>
          </reference>
        </references>
      </pivotArea>
    </format>
    <format dxfId="551">
      <pivotArea dataOnly="0" labelOnly="1" outline="0" fieldPosition="0">
        <references count="3">
          <reference field="4294967294" count="3">
            <x v="0"/>
            <x v="1"/>
            <x v="2"/>
          </reference>
          <reference field="0" count="1" selected="0">
            <x v="1"/>
          </reference>
          <reference field="1" count="1" selected="0">
            <x v="2"/>
          </reference>
        </references>
      </pivotArea>
    </format>
    <format dxfId="550">
      <pivotArea dataOnly="0" labelOnly="1" outline="0" fieldPosition="0">
        <references count="3">
          <reference field="4294967294" count="2">
            <x v="0"/>
            <x v="1"/>
          </reference>
          <reference field="0" count="1" selected="0">
            <x v="0"/>
          </reference>
          <reference field="1" count="1" selected="0">
            <x v="1"/>
          </reference>
        </references>
      </pivotArea>
    </format>
    <format dxfId="549">
      <pivotArea dataOnly="0" labelOnly="1" outline="0" fieldPosition="0">
        <references count="3">
          <reference field="4294967294" count="3">
            <x v="0"/>
            <x v="1"/>
            <x v="2"/>
          </reference>
          <reference field="0" count="1" selected="0">
            <x v="0"/>
          </reference>
          <reference field="1" count="1" selected="0">
            <x v="1"/>
          </reference>
        </references>
      </pivotArea>
    </format>
    <format dxfId="548">
      <pivotArea dataOnly="0" labelOnly="1" outline="0" fieldPosition="0">
        <references count="3">
          <reference field="4294967294" count="3">
            <x v="0"/>
            <x v="1"/>
            <x v="2"/>
          </reference>
          <reference field="0" count="1" selected="0">
            <x v="0"/>
          </reference>
          <reference field="1" count="1" selected="0">
            <x v="0"/>
          </reference>
        </references>
      </pivotArea>
    </format>
    <format dxfId="547">
      <pivotArea dataOnly="0" labelOnly="1" outline="0" fieldPosition="0">
        <references count="2">
          <reference field="4294967294" count="1" selected="0">
            <x v="0"/>
          </reference>
          <reference field="0" count="0" defaultSubtotal="1"/>
        </references>
      </pivotArea>
    </format>
    <format dxfId="546">
      <pivotArea dataOnly="0" labelOnly="1" outline="0" fieldPosition="0">
        <references count="2">
          <reference field="4294967294" count="1" selected="0">
            <x v="1"/>
          </reference>
          <reference field="0" count="1" defaultSubtotal="1">
            <x v="0"/>
          </reference>
        </references>
      </pivotArea>
    </format>
    <format dxfId="545">
      <pivotArea dataOnly="0" labelOnly="1" outline="0" fieldPosition="0">
        <references count="2">
          <reference field="4294967294" count="1" selected="0">
            <x v="2"/>
          </reference>
          <reference field="0" count="0" defaultSubtotal="1"/>
        </references>
      </pivotArea>
    </format>
    <format dxfId="544">
      <pivotArea dataOnly="0" labelOnly="1" outline="0" fieldPosition="0">
        <references count="2">
          <reference field="4294967294" count="1" selected="0">
            <x v="1"/>
          </reference>
          <reference field="0" count="1" defaultSubtotal="1">
            <x v="0"/>
          </reference>
        </references>
      </pivotArea>
    </format>
    <format dxfId="543">
      <pivotArea dataOnly="0" labelOnly="1" outline="0" fieldPosition="0">
        <references count="2">
          <reference field="4294967294" count="1" selected="0">
            <x v="1"/>
          </reference>
          <reference field="0" count="1" defaultSubtotal="1">
            <x v="0"/>
          </reference>
        </references>
      </pivotArea>
    </format>
    <format dxfId="542">
      <pivotArea dataOnly="0" outline="0" fieldPosition="0">
        <references count="2">
          <reference field="4294967294" count="1" selected="0">
            <x v="1"/>
          </reference>
          <reference field="0" count="0" defaultSubtotal="1"/>
        </references>
      </pivotArea>
    </format>
    <format dxfId="541">
      <pivotArea dataOnly="0" labelOnly="1" outline="0" fieldPosition="0">
        <references count="2">
          <reference field="4294967294" count="1" selected="0">
            <x v="0"/>
          </reference>
          <reference field="0" count="0" defaultSubtotal="1"/>
        </references>
      </pivotArea>
    </format>
    <format dxfId="540">
      <pivotArea dataOnly="0" labelOnly="1" outline="0" fieldPosition="0">
        <references count="2">
          <reference field="4294967294" count="1" selected="0">
            <x v="1"/>
          </reference>
          <reference field="0" count="1" defaultSubtotal="1">
            <x v="1"/>
          </reference>
        </references>
      </pivotArea>
    </format>
    <format dxfId="539">
      <pivotArea dataOnly="0" labelOnly="1" outline="0" fieldPosition="0">
        <references count="2">
          <reference field="4294967294" count="1" selected="0">
            <x v="2"/>
          </reference>
          <reference field="0" count="0" defaultSubtotal="1"/>
        </references>
      </pivotArea>
    </format>
    <format dxfId="538">
      <pivotArea dataOnly="0" labelOnly="1" outline="0" fieldPosition="0">
        <references count="2">
          <reference field="4294967294" count="1" selected="0">
            <x v="0"/>
          </reference>
          <reference field="0" count="0" defaultSubtotal="1"/>
        </references>
      </pivotArea>
    </format>
    <format dxfId="537">
      <pivotArea dataOnly="0" labelOnly="1" outline="0" fieldPosition="0">
        <references count="2">
          <reference field="4294967294" count="1" selected="0">
            <x v="1"/>
          </reference>
          <reference field="0" count="1" defaultSubtotal="1">
            <x v="1"/>
          </reference>
        </references>
      </pivotArea>
    </format>
    <format dxfId="536">
      <pivotArea dataOnly="0" labelOnly="1" outline="0" fieldPosition="0">
        <references count="2">
          <reference field="4294967294" count="1" selected="0">
            <x v="2"/>
          </reference>
          <reference field="0" count="0" defaultSubtotal="1"/>
        </references>
      </pivotArea>
    </format>
    <format dxfId="535">
      <pivotArea dataOnly="0" labelOnly="1" outline="0" fieldPosition="0">
        <references count="3">
          <reference field="4294967294" count="2">
            <x v="1"/>
            <x v="2"/>
          </reference>
          <reference field="0" count="1" selected="0">
            <x v="0"/>
          </reference>
          <reference field="1" count="1" selected="0">
            <x v="1"/>
          </reference>
        </references>
      </pivotArea>
    </format>
    <format dxfId="534">
      <pivotArea dataOnly="0" labelOnly="1" outline="0" fieldPosition="0">
        <references count="3">
          <reference field="4294967294" count="1">
            <x v="1"/>
          </reference>
          <reference field="0" count="1" selected="0">
            <x v="0"/>
          </reference>
          <reference field="1" count="1" selected="0">
            <x v="0"/>
          </reference>
        </references>
      </pivotArea>
    </format>
    <format dxfId="533">
      <pivotArea dataOnly="0" labelOnly="1" outline="0" fieldPosition="0">
        <references count="3">
          <reference field="4294967294" count="2">
            <x v="1"/>
            <x v="2"/>
          </reference>
          <reference field="0" count="1" selected="0">
            <x v="1"/>
          </reference>
          <reference field="1" count="1" selected="0">
            <x v="2"/>
          </reference>
        </references>
      </pivotArea>
    </format>
    <format dxfId="532">
      <pivotArea dataOnly="0" labelOnly="1" outline="0" fieldPosition="0">
        <references count="3">
          <reference field="4294967294" count="3">
            <x v="0"/>
            <x v="1"/>
            <x v="2"/>
          </reference>
          <reference field="0" count="1" selected="0">
            <x v="1"/>
          </reference>
          <reference field="1" count="1" selected="0">
            <x v="3"/>
          </reference>
        </references>
      </pivotArea>
    </format>
    <format dxfId="531">
      <pivotArea field="0" dataOnly="0" labelOnly="1" outline="0" axis="axisCol" fieldPosition="0">
        <references count="1">
          <reference field="4294967294" count="1" selected="0">
            <x v="0"/>
          </reference>
        </references>
      </pivotArea>
    </format>
    <format dxfId="530">
      <pivotArea field="0" dataOnly="0" labelOnly="1" outline="0" axis="axisCol" fieldPosition="0">
        <references count="1">
          <reference field="4294967294" count="1" selected="0">
            <x v="1"/>
          </reference>
        </references>
      </pivotArea>
    </format>
    <format dxfId="529">
      <pivotArea field="0" dataOnly="0" labelOnly="1" outline="0" axis="axisCol" fieldPosition="0">
        <references count="1">
          <reference field="4294967294" count="1" selected="0">
            <x v="2"/>
          </reference>
        </references>
      </pivotArea>
    </format>
    <format dxfId="528">
      <pivotArea field="0" dataOnly="0" labelOnly="1" outline="0" axis="axisCol" fieldPosition="0">
        <references count="1">
          <reference field="4294967294" count="1" selected="0">
            <x v="0"/>
          </reference>
        </references>
      </pivotArea>
    </format>
    <format dxfId="527">
      <pivotArea field="0" dataOnly="0" labelOnly="1" outline="0" axis="axisCol" fieldPosition="0">
        <references count="1">
          <reference field="4294967294" count="1" selected="0">
            <x v="1"/>
          </reference>
        </references>
      </pivotArea>
    </format>
    <format dxfId="526">
      <pivotArea field="0" dataOnly="0" labelOnly="1" outline="0" axis="axisCol" fieldPosition="0">
        <references count="1">
          <reference field="4294967294" count="1" selected="0">
            <x v="2"/>
          </reference>
        </references>
      </pivotArea>
    </format>
    <format dxfId="525">
      <pivotArea dataOnly="0" labelOnly="1" outline="0" fieldPosition="0">
        <references count="2">
          <reference field="4294967294" count="1" selected="0">
            <x v="2"/>
          </reference>
          <reference field="0" count="0" defaultSubtotal="1"/>
        </references>
      </pivotArea>
    </format>
    <format dxfId="524">
      <pivotArea dataOnly="0" labelOnly="1" outline="0" fieldPosition="0">
        <references count="2">
          <reference field="4294967294" count="1" selected="0">
            <x v="0"/>
          </reference>
          <reference field="0" count="0" defaultSubtotal="1"/>
        </references>
      </pivotArea>
    </format>
    <format dxfId="523">
      <pivotArea dataOnly="0" labelOnly="1" outline="0" fieldPosition="0">
        <references count="2">
          <reference field="4294967294" count="1" selected="0">
            <x v="1"/>
          </reference>
          <reference field="0" count="0" defaultSubtotal="1"/>
        </references>
      </pivotArea>
    </format>
    <format dxfId="522">
      <pivotArea field="0" dataOnly="0" labelOnly="1" outline="0" axis="axisCol" fieldPosition="0">
        <references count="1">
          <reference field="4294967294" count="1" selected="0">
            <x v="0"/>
          </reference>
        </references>
      </pivotArea>
    </format>
    <format dxfId="521">
      <pivotArea field="0" dataOnly="0" labelOnly="1" outline="0" axis="axisCol" fieldPosition="0">
        <references count="1">
          <reference field="4294967294" count="1" selected="0">
            <x v="1"/>
          </reference>
        </references>
      </pivotArea>
    </format>
    <format dxfId="520">
      <pivotArea field="0" dataOnly="0" labelOnly="1" outline="0" axis="axisCol" fieldPosition="0">
        <references count="1">
          <reference field="4294967294" count="1" selected="0">
            <x v="2"/>
          </reference>
        </references>
      </pivotArea>
    </format>
    <format dxfId="519">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518">
      <pivotArea dataOnly="0" labelOnly="1" outline="0" fieldPosition="0">
        <references count="2">
          <reference field="4294967294" count="1" selected="0">
            <x v="0"/>
          </reference>
          <reference field="0" count="0" defaultSubtotal="1"/>
        </references>
      </pivotArea>
    </format>
    <format dxfId="517">
      <pivotArea dataOnly="0" labelOnly="1" outline="0" fieldPosition="0">
        <references count="2">
          <reference field="4294967294" count="1" selected="0">
            <x v="2"/>
          </reference>
          <reference field="0" count="0" defaultSubtotal="1"/>
        </references>
      </pivotArea>
    </format>
    <format dxfId="516">
      <pivotArea dataOnly="0" labelOnly="1" outline="0" fieldPosition="0">
        <references count="2">
          <reference field="4294967294" count="1" selected="0">
            <x v="2"/>
          </reference>
          <reference field="0" count="0" defaultSubtotal="1"/>
        </references>
      </pivotArea>
    </format>
    <format dxfId="515">
      <pivotArea dataOnly="0" labelOnly="1" outline="0" fieldPosition="0">
        <references count="2">
          <reference field="4294967294" count="1" selected="0">
            <x v="0"/>
          </reference>
          <reference field="0" count="0" defaultSubtotal="1"/>
        </references>
      </pivotArea>
    </format>
    <format dxfId="514">
      <pivotArea dataOnly="0" labelOnly="1" outline="0" fieldPosition="0">
        <references count="2">
          <reference field="4294967294" count="1" selected="0">
            <x v="1"/>
          </reference>
          <reference field="0" count="0" defaultSubtotal="1"/>
        </references>
      </pivotArea>
    </format>
    <format dxfId="513">
      <pivotArea dataOnly="0" labelOnly="1" outline="0" fieldPosition="0">
        <references count="2">
          <reference field="4294967294" count="1" selected="0">
            <x v="2"/>
          </reference>
          <reference field="0" count="1" defaultSubtotal="1">
            <x v="0"/>
          </reference>
        </references>
      </pivotArea>
    </format>
    <format dxfId="512">
      <pivotArea field="0" dataOnly="0" labelOnly="1" outline="0" axis="axisCol" fieldPosition="0">
        <references count="1">
          <reference field="4294967294" count="1" selected="0">
            <x v="0"/>
          </reference>
        </references>
      </pivotArea>
    </format>
    <format dxfId="511">
      <pivotArea field="0" dataOnly="0" labelOnly="1" outline="0" axis="axisCol" fieldPosition="0">
        <references count="1">
          <reference field="4294967294" count="1" selected="0">
            <x v="1"/>
          </reference>
        </references>
      </pivotArea>
    </format>
    <format dxfId="510">
      <pivotArea field="0" dataOnly="0" labelOnly="1" outline="0" axis="axisCol" fieldPosition="0">
        <references count="1">
          <reference field="4294967294" count="1" selected="0">
            <x v="2"/>
          </reference>
        </references>
      </pivotArea>
    </format>
    <format dxfId="509">
      <pivotArea dataOnly="0" labelOnly="1" outline="0" fieldPosition="0">
        <references count="2">
          <reference field="4294967294" count="1" selected="0">
            <x v="0"/>
          </reference>
          <reference field="0" count="1" defaultSubtotal="1">
            <x v="0"/>
          </reference>
        </references>
      </pivotArea>
    </format>
    <format dxfId="508">
      <pivotArea dataOnly="0" labelOnly="1" outline="0" fieldPosition="0">
        <references count="2">
          <reference field="4294967294" count="1" selected="0">
            <x v="0"/>
          </reference>
          <reference field="0" count="1" defaultSubtotal="1">
            <x v="1"/>
          </reference>
        </references>
      </pivotArea>
    </format>
    <format dxfId="507">
      <pivotArea dataOnly="0" labelOnly="1" outline="0" fieldPosition="0">
        <references count="2">
          <reference field="4294967294" count="1" selected="0">
            <x v="1"/>
          </reference>
          <reference field="0" count="0" defaultSubtotal="1"/>
        </references>
      </pivotArea>
    </format>
    <format dxfId="506">
      <pivotArea dataOnly="0" labelOnly="1" outline="0" fieldPosition="0">
        <references count="2">
          <reference field="4294967294" count="1" selected="0">
            <x v="2"/>
          </reference>
          <reference field="0" count="0" defaultSubtotal="1"/>
        </references>
      </pivotArea>
    </format>
    <format dxfId="505">
      <pivotArea dataOnly="0" labelOnly="1" outline="0" fieldPosition="0">
        <references count="2">
          <reference field="4294967294" count="1" selected="0">
            <x v="2"/>
          </reference>
          <reference field="0" count="0" defaultSubtotal="1"/>
        </references>
      </pivotArea>
    </format>
    <format dxfId="504">
      <pivotArea dataOnly="0" labelOnly="1" outline="0" fieldPosition="0">
        <references count="2">
          <reference field="4294967294" count="1" selected="0">
            <x v="0"/>
          </reference>
          <reference field="0" count="0" defaultSubtotal="1"/>
        </references>
      </pivotArea>
    </format>
    <format dxfId="503">
      <pivotArea dataOnly="0" labelOnly="1" outline="0" fieldPosition="0">
        <references count="2">
          <reference field="4294967294" count="1" selected="0">
            <x v="1"/>
          </reference>
          <reference field="0" count="0" defaultSubtotal="1"/>
        </references>
      </pivotArea>
    </format>
    <format dxfId="502">
      <pivotArea dataOnly="0" labelOnly="1" outline="0" fieldPosition="0">
        <references count="2">
          <reference field="4294967294" count="1" selected="0">
            <x v="2"/>
          </reference>
          <reference field="0" count="1" defaultSubtotal="1">
            <x v="1"/>
          </reference>
        </references>
      </pivotArea>
    </format>
    <format dxfId="501">
      <pivotArea field="1" dataOnly="0" labelOnly="1" grandCol="1" outline="0" axis="axisCol" fieldPosition="1">
        <references count="1">
          <reference field="4294967294" count="1" selected="0">
            <x v="0"/>
          </reference>
        </references>
      </pivotArea>
    </format>
    <format dxfId="500">
      <pivotArea field="1" dataOnly="0" labelOnly="1" grandCol="1" outline="0" axis="axisCol" fieldPosition="1">
        <references count="1">
          <reference field="4294967294" count="1" selected="0">
            <x v="1"/>
          </reference>
        </references>
      </pivotArea>
    </format>
    <format dxfId="499">
      <pivotArea field="1" dataOnly="0" labelOnly="1" grandCol="1" outline="0" axis="axisCol" fieldPosition="1">
        <references count="1">
          <reference field="4294967294" count="1" selected="0">
            <x v="2"/>
          </reference>
        </references>
      </pivotArea>
    </format>
    <format dxfId="498">
      <pivotArea field="1" dataOnly="0" labelOnly="1" grandCol="1" outline="0" axis="axisCol" fieldPosition="1">
        <references count="1">
          <reference field="4294967294" count="1" selected="0">
            <x v="0"/>
          </reference>
        </references>
      </pivotArea>
    </format>
    <format dxfId="497">
      <pivotArea field="1" dataOnly="0" labelOnly="1" grandCol="1" outline="0" axis="axisCol" fieldPosition="1">
        <references count="1">
          <reference field="4294967294" count="1" selected="0">
            <x v="1"/>
          </reference>
        </references>
      </pivotArea>
    </format>
    <format dxfId="496">
      <pivotArea field="1" dataOnly="0" labelOnly="1" grandCol="1" outline="0" axis="axisCol" fieldPosition="1">
        <references count="1">
          <reference field="4294967294" count="1" selected="0">
            <x v="2"/>
          </reference>
        </references>
      </pivotArea>
    </format>
    <format dxfId="495">
      <pivotArea field="0" dataOnly="0" labelOnly="1" grandCol="1" outline="0" axis="axisCol" fieldPosition="0">
        <references count="1">
          <reference field="4294967294" count="1" selected="0">
            <x v="0"/>
          </reference>
        </references>
      </pivotArea>
    </format>
    <format dxfId="494">
      <pivotArea field="0" dataOnly="0" labelOnly="1" grandCol="1" outline="0" axis="axisCol" fieldPosition="0">
        <references count="1">
          <reference field="4294967294" count="1" selected="0">
            <x v="1"/>
          </reference>
        </references>
      </pivotArea>
    </format>
    <format dxfId="493">
      <pivotArea field="0" dataOnly="0" labelOnly="1" grandCol="1" outline="0" axis="axisCol" fieldPosition="0">
        <references count="1">
          <reference field="4294967294" count="1" selected="0">
            <x v="2"/>
          </reference>
        </references>
      </pivotArea>
    </format>
    <format dxfId="492">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1">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0">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489">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488">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487">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486">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485">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484">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483">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482">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481">
      <pivotArea dataOnly="0" labelOnly="1" outline="0" fieldPosition="0">
        <references count="1">
          <reference field="0" count="1">
            <x v="2"/>
          </reference>
        </references>
      </pivotArea>
    </format>
    <format dxfId="480">
      <pivotArea dataOnly="0" labelOnly="1" outline="0" fieldPosition="0">
        <references count="1">
          <reference field="0" count="1">
            <x v="1"/>
          </reference>
        </references>
      </pivotArea>
    </format>
    <format dxfId="479">
      <pivotArea dataOnly="0" labelOnly="1" outline="0" fieldPosition="0">
        <references count="2">
          <reference field="4294967294" count="1">
            <x v="0"/>
          </reference>
          <reference field="0" count="1" selected="0">
            <x v="2"/>
          </reference>
        </references>
      </pivotArea>
    </format>
    <format dxfId="478">
      <pivotArea dataOnly="0" labelOnly="1" outline="0" fieldPosition="0">
        <references count="2">
          <reference field="4294967294" count="1">
            <x v="0"/>
          </reference>
          <reference field="0" count="1" selected="0">
            <x v="1"/>
          </reference>
        </references>
      </pivotArea>
    </format>
    <format dxfId="477">
      <pivotArea field="0" grandCol="1" outline="0" axis="axisCol" fieldPosition="0">
        <references count="1">
          <reference field="4294967294" count="1" selected="0">
            <x v="0"/>
          </reference>
        </references>
      </pivotArea>
    </format>
    <format dxfId="476">
      <pivotArea field="0" grandCol="1" outline="0" axis="axisCol" fieldPosition="0">
        <references count="1">
          <reference field="4294967294" count="1" selected="0">
            <x v="0"/>
          </reference>
        </references>
      </pivotArea>
    </format>
    <format dxfId="475">
      <pivotArea field="0" dataOnly="0" labelOnly="1" grandCol="1" outline="0" axis="axisCol" fieldPosition="0">
        <references count="1">
          <reference field="4294967294" count="1" selected="0">
            <x v="0"/>
          </reference>
        </references>
      </pivotArea>
    </format>
    <format dxfId="474">
      <pivotArea dataOnly="0" labelOnly="1" outline="0" fieldPosition="0">
        <references count="2">
          <reference field="4294967294" count="1">
            <x v="0"/>
          </reference>
          <reference field="0" count="1" selected="0">
            <x v="2"/>
          </reference>
        </references>
      </pivotArea>
    </format>
    <format dxfId="473">
      <pivotArea dataOnly="0" labelOnly="1" outline="0" fieldPosition="0">
        <references count="2">
          <reference field="4294967294" count="1">
            <x v="0"/>
          </reference>
          <reference field="0" count="1" selected="0">
            <x v="1"/>
          </reference>
        </references>
      </pivotArea>
    </format>
    <format dxfId="472">
      <pivotArea dataOnly="0" labelOnly="1" outline="0" fieldPosition="0">
        <references count="1">
          <reference field="2" count="0"/>
        </references>
      </pivotArea>
    </format>
    <format dxfId="471">
      <pivotArea outline="0" collapsedLevelsAreSubtotals="1" fieldPosition="0"/>
    </format>
    <format dxfId="470">
      <pivotArea grandRow="1" outline="0" collapsedLevelsAreSubtotals="1" fieldPosition="0"/>
    </format>
    <format dxfId="469">
      <pivotArea dataOnly="0" labelOnly="1" grandRow="1" outline="0" fieldPosition="0"/>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0" type="button" dataOnly="0" labelOnly="1" outline="0" axis="axisCol" fieldPosition="0"/>
    </format>
    <format dxfId="464">
      <pivotArea field="2" type="button" dataOnly="0" labelOnly="1" outline="0" axis="axisRow" fieldPosition="0"/>
    </format>
    <format dxfId="463">
      <pivotArea dataOnly="0" labelOnly="1" grandRow="1" outline="0" fieldPosition="0"/>
    </format>
    <format dxfId="462">
      <pivotArea dataOnly="0" labelOnly="1" outline="0" fieldPosition="0">
        <references count="1">
          <reference field="0" count="0"/>
        </references>
      </pivotArea>
    </format>
    <format dxfId="461">
      <pivotArea field="0" dataOnly="0" labelOnly="1" grandCol="1" outline="0" axis="axisCol" fieldPosition="0">
        <references count="1">
          <reference field="4294967294" count="1" selected="0">
            <x v="0"/>
          </reference>
        </references>
      </pivotArea>
    </format>
    <format dxfId="460">
      <pivotArea dataOnly="0" labelOnly="1" outline="0" fieldPosition="0">
        <references count="2">
          <reference field="4294967294" count="1">
            <x v="0"/>
          </reference>
          <reference field="0" count="1" selected="0">
            <x v="2"/>
          </reference>
        </references>
      </pivotArea>
    </format>
    <format dxfId="459">
      <pivotArea dataOnly="0" labelOnly="1" outline="0" fieldPosition="0">
        <references count="2">
          <reference field="4294967294" count="1">
            <x v="0"/>
          </reference>
          <reference field="0" count="1" selected="0">
            <x v="1"/>
          </reference>
        </references>
      </pivotArea>
    </format>
    <format dxfId="458">
      <pivotArea field="0" grandCol="1" outline="0" axis="axisCol" fieldPosition="0">
        <references count="1">
          <reference field="4294967294" count="1" selected="0">
            <x v="0"/>
          </reference>
        </references>
      </pivotArea>
    </format>
    <format dxfId="457">
      <pivotArea field="0" type="button" dataOnly="0" labelOnly="1" outline="0" axis="axisCol" fieldPosition="0"/>
    </format>
    <format dxfId="456">
      <pivotArea dataOnly="0" labelOnly="1" outline="0" fieldPosition="0">
        <references count="1">
          <reference field="0" count="0"/>
        </references>
      </pivotArea>
    </format>
    <format dxfId="455">
      <pivotArea field="1" type="button" dataOnly="0" labelOnly="1" outline="0" axis="axisCol" fieldPosition="1"/>
    </format>
    <format dxfId="454">
      <pivotArea outline="0" fieldPosition="0">
        <references count="1">
          <reference field="0" count="1" selected="0" defaultSubtotal="1">
            <x v="2"/>
          </reference>
        </references>
      </pivotArea>
    </format>
    <format dxfId="453">
      <pivotArea dataOnly="0" labelOnly="1" outline="0" fieldPosition="0">
        <references count="2">
          <reference field="4294967294" count="1" selected="0">
            <x v="0"/>
          </reference>
          <reference field="0" count="1" defaultSubtotal="1">
            <x v="2"/>
          </reference>
        </references>
      </pivotArea>
    </format>
    <format dxfId="452">
      <pivotArea dataOnly="0" labelOnly="1" outline="0" fieldPosition="0">
        <references count="2">
          <reference field="0" count="1" selected="0">
            <x v="2"/>
          </reference>
          <reference field="1" count="2">
            <x v="0"/>
            <x v="1"/>
          </reference>
        </references>
      </pivotArea>
    </format>
    <format dxfId="451">
      <pivotArea dataOnly="0" labelOnly="1" outline="0" fieldPosition="0">
        <references count="3">
          <reference field="4294967294" count="1">
            <x v="0"/>
          </reference>
          <reference field="0" count="1" selected="0">
            <x v="2"/>
          </reference>
          <reference field="1" count="1" selected="0">
            <x v="0"/>
          </reference>
        </references>
      </pivotArea>
    </format>
    <format dxfId="450">
      <pivotArea dataOnly="0" labelOnly="1" outline="0" fieldPosition="0">
        <references count="3">
          <reference field="4294967294" count="1">
            <x v="0"/>
          </reference>
          <reference field="0" count="1" selected="0">
            <x v="2"/>
          </reference>
          <reference field="1" count="1" selected="0">
            <x v="1"/>
          </reference>
        </references>
      </pivotArea>
    </format>
    <format dxfId="449">
      <pivotArea dataOnly="0" labelOnly="1" outline="0" fieldPosition="0">
        <references count="2">
          <reference field="4294967294" count="1" selected="0">
            <x v="0"/>
          </reference>
          <reference field="0" count="1" defaultSubtotal="1">
            <x v="2"/>
          </reference>
        </references>
      </pivotArea>
    </format>
    <format dxfId="448">
      <pivotArea outline="0" fieldPosition="0">
        <references count="1">
          <reference field="0" count="1" selected="0" defaultSubtotal="1">
            <x v="1"/>
          </reference>
        </references>
      </pivotArea>
    </format>
    <format dxfId="447">
      <pivotArea dataOnly="0" labelOnly="1" outline="0" fieldPosition="0">
        <references count="3">
          <reference field="4294967294" count="1">
            <x v="0"/>
          </reference>
          <reference field="0" count="1" selected="0">
            <x v="1"/>
          </reference>
          <reference field="1" count="1" selected="0">
            <x v="2"/>
          </reference>
        </references>
      </pivotArea>
    </format>
    <format dxfId="446">
      <pivotArea dataOnly="0" labelOnly="1" outline="0" fieldPosition="0">
        <references count="3">
          <reference field="4294967294" count="1">
            <x v="0"/>
          </reference>
          <reference field="0" count="1" selected="0">
            <x v="1"/>
          </reference>
          <reference field="1" count="1" selected="0">
            <x v="3"/>
          </reference>
        </references>
      </pivotArea>
    </format>
    <format dxfId="445">
      <pivotArea outline="0" fieldPosition="0">
        <references count="2">
          <reference field="4294967294" count="1" selected="0">
            <x v="0"/>
          </reference>
          <reference field="0" count="1" selected="0" defaultSubtotal="1">
            <x v="1"/>
          </reference>
        </references>
      </pivotArea>
    </format>
    <format dxfId="444">
      <pivotArea field="2" grandCol="1" outline="0" axis="axisRow" fieldPosition="0">
        <references count="2">
          <reference field="4294967294" count="1" selected="0">
            <x v="0"/>
          </reference>
          <reference field="2" count="0" selected="0"/>
        </references>
      </pivotArea>
    </format>
    <format dxfId="443">
      <pivotArea field="0" grandCol="1" outline="0" axis="axisCol" fieldPosition="0">
        <references count="1">
          <reference field="4294967294" count="1" selected="0">
            <x v="0"/>
          </reference>
        </references>
      </pivotArea>
    </format>
    <format dxfId="442">
      <pivotArea dataOnly="0" labelOnly="1" outline="0" fieldPosition="0">
        <references count="2">
          <reference field="0" count="1" selected="0">
            <x v="1"/>
          </reference>
          <reference field="1" count="2">
            <x v="2"/>
            <x v="3"/>
          </reference>
        </references>
      </pivotArea>
    </format>
    <format dxfId="441">
      <pivotArea dataOnly="0" labelOnly="1" outline="0" fieldPosition="0">
        <references count="2">
          <reference field="0" count="1" selected="0">
            <x v="2"/>
          </reference>
          <reference field="1" count="1">
            <x v="0"/>
          </reference>
        </references>
      </pivotArea>
    </format>
    <format dxfId="440">
      <pivotArea dataOnly="0" labelOnly="1" outline="0" fieldPosition="0">
        <references count="2">
          <reference field="0" count="1" selected="0">
            <x v="2"/>
          </reference>
          <reference field="1" count="1">
            <x v="1"/>
          </reference>
        </references>
      </pivotArea>
    </format>
    <format dxfId="439">
      <pivotArea dataOnly="0" labelOnly="1" outline="0" fieldPosition="0">
        <references count="2">
          <reference field="0" count="1" selected="0">
            <x v="1"/>
          </reference>
          <reference field="1" count="1">
            <x v="2"/>
          </reference>
        </references>
      </pivotArea>
    </format>
    <format dxfId="438">
      <pivotArea dataOnly="0" labelOnly="1" outline="0" fieldPosition="0">
        <references count="1">
          <reference field="0" count="1">
            <x v="2"/>
          </reference>
        </references>
      </pivotArea>
    </format>
    <format dxfId="437">
      <pivotArea dataOnly="0" labelOnly="1" outline="0" fieldPosition="0">
        <references count="1">
          <reference field="0" count="1">
            <x v="1"/>
          </reference>
        </references>
      </pivotArea>
    </format>
    <format dxfId="436">
      <pivotArea field="-2" type="button" dataOnly="0" labelOnly="1" outline="0" axis="axisValues" fieldPosition="0"/>
    </format>
    <format dxfId="435">
      <pivotArea type="topRight" dataOnly="0" labelOnly="1" outline="0" fieldPosition="0"/>
    </format>
    <format dxfId="434">
      <pivotArea type="origin" dataOnly="0" labelOnly="1" outline="0" fieldPosition="0"/>
    </format>
    <format dxfId="433">
      <pivotArea field="0" type="button" dataOnly="0" labelOnly="1" outline="0" axis="axisCol" fieldPosition="0"/>
    </format>
    <format dxfId="432">
      <pivotArea field="1" type="button" dataOnly="0" labelOnly="1" outline="0" axis="axisCol" fieldPosition="1"/>
    </format>
    <format dxfId="431">
      <pivotArea field="-2" type="button" dataOnly="0" labelOnly="1" outline="0" axis="axisValues" fieldPosition="0"/>
    </format>
    <format dxfId="430">
      <pivotArea type="topRight" dataOnly="0" labelOnly="1" outline="0" fieldPosition="0"/>
    </format>
    <format dxfId="429">
      <pivotArea field="2" type="button" dataOnly="0" labelOnly="1" outline="0" axis="axisRow" fieldPosition="0"/>
    </format>
    <format dxfId="428">
      <pivotArea dataOnly="0" labelOnly="1" outline="0" fieldPosition="0">
        <references count="1">
          <reference field="0" count="0"/>
        </references>
      </pivotArea>
    </format>
    <format dxfId="427">
      <pivotArea dataOnly="0" labelOnly="1" outline="0" fieldPosition="0">
        <references count="2">
          <reference field="4294967294" count="1" selected="0">
            <x v="0"/>
          </reference>
          <reference field="0" count="0" defaultSubtotal="1"/>
        </references>
      </pivotArea>
    </format>
    <format dxfId="426">
      <pivotArea field="0" dataOnly="0" labelOnly="1" grandCol="1" outline="0" axis="axisCol" fieldPosition="0">
        <references count="1">
          <reference field="4294967294" count="1" selected="0">
            <x v="0"/>
          </reference>
        </references>
      </pivotArea>
    </format>
    <format dxfId="425">
      <pivotArea dataOnly="0" labelOnly="1" outline="0" fieldPosition="0">
        <references count="2">
          <reference field="0" count="1" selected="0">
            <x v="2"/>
          </reference>
          <reference field="1" count="2">
            <x v="0"/>
            <x v="1"/>
          </reference>
        </references>
      </pivotArea>
    </format>
    <format dxfId="424">
      <pivotArea dataOnly="0" labelOnly="1" outline="0" fieldPosition="0">
        <references count="2">
          <reference field="0" count="1" selected="0">
            <x v="1"/>
          </reference>
          <reference field="1" count="2">
            <x v="2"/>
            <x v="3"/>
          </reference>
        </references>
      </pivotArea>
    </format>
    <format dxfId="423">
      <pivotArea dataOnly="0" labelOnly="1" outline="0" fieldPosition="0">
        <references count="3">
          <reference field="4294967294" count="1">
            <x v="0"/>
          </reference>
          <reference field="0" count="1" selected="0">
            <x v="2"/>
          </reference>
          <reference field="1" count="1" selected="0">
            <x v="0"/>
          </reference>
        </references>
      </pivotArea>
    </format>
    <format dxfId="422">
      <pivotArea dataOnly="0" labelOnly="1" outline="0" fieldPosition="0">
        <references count="3">
          <reference field="4294967294" count="1">
            <x v="0"/>
          </reference>
          <reference field="0" count="1" selected="0">
            <x v="2"/>
          </reference>
          <reference field="1" count="1" selected="0">
            <x v="1"/>
          </reference>
        </references>
      </pivotArea>
    </format>
    <format dxfId="421">
      <pivotArea dataOnly="0" labelOnly="1" outline="0" fieldPosition="0">
        <references count="3">
          <reference field="4294967294" count="1">
            <x v="0"/>
          </reference>
          <reference field="0" count="1" selected="0">
            <x v="1"/>
          </reference>
          <reference field="1" count="1" selected="0">
            <x v="2"/>
          </reference>
        </references>
      </pivotArea>
    </format>
    <format dxfId="420">
      <pivotArea dataOnly="0" labelOnly="1" outline="0" fieldPosition="0">
        <references count="3">
          <reference field="4294967294" count="1">
            <x v="0"/>
          </reference>
          <reference field="0" count="1" selected="0">
            <x v="1"/>
          </reference>
          <reference field="1" count="1" selected="0">
            <x v="3"/>
          </reference>
        </references>
      </pivotArea>
    </format>
    <format dxfId="419">
      <pivotArea type="origin" dataOnly="0" labelOnly="1" outline="0" fieldPosition="0"/>
    </format>
    <format dxfId="418">
      <pivotArea field="0" type="button" dataOnly="0" labelOnly="1" outline="0" axis="axisCol" fieldPosition="0"/>
    </format>
    <format dxfId="417">
      <pivotArea field="1" type="button" dataOnly="0" labelOnly="1" outline="0" axis="axisCol" fieldPosition="1"/>
    </format>
    <format dxfId="416">
      <pivotArea field="-2" type="button" dataOnly="0" labelOnly="1" outline="0" axis="axisValues" fieldPosition="0"/>
    </format>
    <format dxfId="415">
      <pivotArea type="topRight" dataOnly="0" labelOnly="1" outline="0" fieldPosition="0"/>
    </format>
    <format dxfId="414">
      <pivotArea field="2" type="button" dataOnly="0" labelOnly="1" outline="0" axis="axisRow" fieldPosition="0"/>
    </format>
    <format dxfId="413">
      <pivotArea dataOnly="0" labelOnly="1" outline="0" fieldPosition="0">
        <references count="1">
          <reference field="0" count="0"/>
        </references>
      </pivotArea>
    </format>
    <format dxfId="412">
      <pivotArea dataOnly="0" labelOnly="1" outline="0" fieldPosition="0">
        <references count="2">
          <reference field="4294967294" count="1" selected="0">
            <x v="0"/>
          </reference>
          <reference field="0" count="0" defaultSubtotal="1"/>
        </references>
      </pivotArea>
    </format>
    <format dxfId="411">
      <pivotArea field="0" dataOnly="0" labelOnly="1" grandCol="1" outline="0" axis="axisCol" fieldPosition="0">
        <references count="1">
          <reference field="4294967294" count="1" selected="0">
            <x v="0"/>
          </reference>
        </references>
      </pivotArea>
    </format>
    <format dxfId="410">
      <pivotArea dataOnly="0" labelOnly="1" outline="0" fieldPosition="0">
        <references count="2">
          <reference field="0" count="1" selected="0">
            <x v="2"/>
          </reference>
          <reference field="1" count="2">
            <x v="0"/>
            <x v="1"/>
          </reference>
        </references>
      </pivotArea>
    </format>
    <format dxfId="409">
      <pivotArea dataOnly="0" labelOnly="1" outline="0" fieldPosition="0">
        <references count="2">
          <reference field="0" count="1" selected="0">
            <x v="1"/>
          </reference>
          <reference field="1" count="2">
            <x v="2"/>
            <x v="3"/>
          </reference>
        </references>
      </pivotArea>
    </format>
    <format dxfId="408">
      <pivotArea dataOnly="0" labelOnly="1" outline="0" fieldPosition="0">
        <references count="3">
          <reference field="4294967294" count="1">
            <x v="0"/>
          </reference>
          <reference field="0" count="1" selected="0">
            <x v="2"/>
          </reference>
          <reference field="1" count="1" selected="0">
            <x v="0"/>
          </reference>
        </references>
      </pivotArea>
    </format>
    <format dxfId="407">
      <pivotArea dataOnly="0" labelOnly="1" outline="0" fieldPosition="0">
        <references count="3">
          <reference field="4294967294" count="1">
            <x v="0"/>
          </reference>
          <reference field="0" count="1" selected="0">
            <x v="2"/>
          </reference>
          <reference field="1" count="1" selected="0">
            <x v="1"/>
          </reference>
        </references>
      </pivotArea>
    </format>
    <format dxfId="406">
      <pivotArea dataOnly="0" labelOnly="1" outline="0" fieldPosition="0">
        <references count="3">
          <reference field="4294967294" count="1">
            <x v="0"/>
          </reference>
          <reference field="0" count="1" selected="0">
            <x v="1"/>
          </reference>
          <reference field="1" count="1" selected="0">
            <x v="2"/>
          </reference>
        </references>
      </pivotArea>
    </format>
    <format dxfId="405">
      <pivotArea dataOnly="0" labelOnly="1" outline="0" fieldPosition="0">
        <references count="3">
          <reference field="4294967294" count="1">
            <x v="0"/>
          </reference>
          <reference field="0" count="1" selected="0">
            <x v="1"/>
          </reference>
          <reference field="1" count="1" selected="0">
            <x v="3"/>
          </reference>
        </references>
      </pivotArea>
    </format>
    <format dxfId="404">
      <pivotArea dataOnly="0" labelOnly="1" outline="0" fieldPosition="0">
        <references count="2">
          <reference field="0" count="1" selected="0">
            <x v="1"/>
          </reference>
          <reference field="1" count="2">
            <x v="2"/>
            <x v="3"/>
          </reference>
        </references>
      </pivotArea>
    </format>
    <format dxfId="403">
      <pivotArea dataOnly="0" labelOnly="1" outline="0" offset="A256" fieldPosition="0">
        <references count="2">
          <reference field="0" count="1" selected="0">
            <x v="1"/>
          </reference>
          <reference field="1" count="1">
            <x v="3"/>
          </reference>
        </references>
      </pivotArea>
    </format>
    <format dxfId="402">
      <pivotArea dataOnly="0" labelOnly="1" outline="0" fieldPosition="0">
        <references count="2">
          <reference field="0" count="1" selected="0">
            <x v="2"/>
          </reference>
          <reference field="1" count="2">
            <x v="0"/>
            <x v="1"/>
          </reference>
        </references>
      </pivotArea>
    </format>
    <format dxfId="401">
      <pivotArea dataOnly="0" outline="0" fieldPosition="0">
        <references count="1">
          <reference field="1" count="1">
            <x v="1"/>
          </reference>
        </references>
      </pivotArea>
    </format>
    <format dxfId="400">
      <pivotArea dataOnly="0" labelOnly="1" grandRow="1" outline="0" fieldPosition="0"/>
    </format>
    <format dxfId="399">
      <pivotArea outline="0" fieldPosition="0">
        <references count="1">
          <reference field="2" count="0" selected="0"/>
        </references>
      </pivotArea>
    </format>
    <format dxfId="398">
      <pivotArea dataOnly="0" labelOnly="1" outline="0" fieldPosition="0">
        <references count="1">
          <reference field="2" count="0"/>
        </references>
      </pivotArea>
    </format>
    <format dxfId="397">
      <pivotArea field="0" type="button" dataOnly="0" labelOnly="1" outline="0" axis="axisCol" fieldPosition="0"/>
    </format>
    <format dxfId="396">
      <pivotArea field="1" type="button" dataOnly="0" labelOnly="1" outline="0" axis="axisCol" fieldPosition="1"/>
    </format>
    <format dxfId="395">
      <pivotArea field="-2" type="button" dataOnly="0" labelOnly="1" outline="0" axis="axisValues" fieldPosition="0"/>
    </format>
    <format dxfId="394">
      <pivotArea type="topRight" dataOnly="0" labelOnly="1" outline="0" fieldPosition="0"/>
    </format>
    <format dxfId="393">
      <pivotArea dataOnly="0" labelOnly="1" outline="0" fieldPosition="0">
        <references count="1">
          <reference field="0" count="0"/>
        </references>
      </pivotArea>
    </format>
    <format dxfId="392">
      <pivotArea dataOnly="0" labelOnly="1" outline="0" fieldPosition="0">
        <references count="2">
          <reference field="4294967294" count="1" selected="0">
            <x v="0"/>
          </reference>
          <reference field="0" count="0" defaultSubtotal="1"/>
        </references>
      </pivotArea>
    </format>
    <format dxfId="391">
      <pivotArea dataOnly="0" labelOnly="1" outline="0" fieldPosition="0">
        <references count="2">
          <reference field="0" count="1" selected="0">
            <x v="2"/>
          </reference>
          <reference field="1" count="2">
            <x v="0"/>
            <x v="1"/>
          </reference>
        </references>
      </pivotArea>
    </format>
    <format dxfId="390">
      <pivotArea dataOnly="0" labelOnly="1" outline="0" fieldPosition="0">
        <references count="2">
          <reference field="0" count="1" selected="0">
            <x v="1"/>
          </reference>
          <reference field="1" count="2">
            <x v="2"/>
            <x v="3"/>
          </reference>
        </references>
      </pivotArea>
    </format>
    <format dxfId="389">
      <pivotArea dataOnly="0" labelOnly="1" outline="0" fieldPosition="0">
        <references count="2">
          <reference field="0" count="1" selected="0">
            <x v="2"/>
          </reference>
          <reference field="1" count="1">
            <x v="0"/>
          </reference>
        </references>
      </pivotArea>
    </format>
    <format dxfId="388">
      <pivotArea dataOnly="0" labelOnly="1" outline="0" fieldPosition="0">
        <references count="2">
          <reference field="0" count="1" selected="0">
            <x v="2"/>
          </reference>
          <reference field="1" count="1">
            <x v="1"/>
          </reference>
        </references>
      </pivotArea>
    </format>
    <format dxfId="387">
      <pivotArea dataOnly="0" labelOnly="1" outline="0" fieldPosition="0">
        <references count="2">
          <reference field="0" count="1" selected="0">
            <x v="1"/>
          </reference>
          <reference field="1" count="1">
            <x v="2"/>
          </reference>
        </references>
      </pivotArea>
    </format>
    <format dxfId="386">
      <pivotArea dataOnly="0" labelOnly="1" outline="0" fieldPosition="0">
        <references count="2">
          <reference field="0" count="1" selected="0">
            <x v="1"/>
          </reference>
          <reference field="1" count="1">
            <x v="3"/>
          </reference>
        </references>
      </pivotArea>
    </format>
    <format dxfId="385">
      <pivotArea dataOnly="0" labelOnly="1" outline="0" fieldPosition="0">
        <references count="3">
          <reference field="4294967294" count="1">
            <x v="0"/>
          </reference>
          <reference field="0" count="1" selected="0">
            <x v="2"/>
          </reference>
          <reference field="1" count="1" selected="0">
            <x v="0"/>
          </reference>
        </references>
      </pivotArea>
    </format>
    <format dxfId="384">
      <pivotArea dataOnly="0" labelOnly="1" outline="0" fieldPosition="0">
        <references count="3">
          <reference field="4294967294" count="1">
            <x v="0"/>
          </reference>
          <reference field="0" count="1" selected="0">
            <x v="2"/>
          </reference>
          <reference field="1" count="1" selected="0">
            <x v="1"/>
          </reference>
        </references>
      </pivotArea>
    </format>
    <format dxfId="383">
      <pivotArea dataOnly="0" labelOnly="1" outline="0" fieldPosition="0">
        <references count="3">
          <reference field="4294967294" count="1">
            <x v="0"/>
          </reference>
          <reference field="0" count="1" selected="0">
            <x v="1"/>
          </reference>
          <reference field="1" count="1" selected="0">
            <x v="2"/>
          </reference>
        </references>
      </pivotArea>
    </format>
    <format dxfId="382">
      <pivotArea dataOnly="0" labelOnly="1" outline="0" fieldPosition="0">
        <references count="3">
          <reference field="4294967294" count="1">
            <x v="0"/>
          </reference>
          <reference field="0" count="1" selected="0">
            <x v="1"/>
          </reference>
          <reference field="1" count="1" selected="0">
            <x v="3"/>
          </reference>
        </references>
      </pivotArea>
    </format>
    <format dxfId="381">
      <pivotArea type="origin" dataOnly="0" labelOnly="1" outline="0" fieldPosition="0"/>
    </format>
    <format dxfId="380">
      <pivotArea field="2" type="button" dataOnly="0" labelOnly="1" outline="0" axis="axisRow" fieldPosition="0"/>
    </format>
    <format dxfId="379">
      <pivotArea field="0" type="button" dataOnly="0" labelOnly="1" outline="0" axis="axisCol" fieldPosition="0"/>
    </format>
    <format dxfId="378">
      <pivotArea dataOnly="0" labelOnly="1" outline="0" fieldPosition="0">
        <references count="1">
          <reference field="0" count="1">
            <x v="2"/>
          </reference>
        </references>
      </pivotArea>
    </format>
    <format dxfId="377">
      <pivotArea dataOnly="0" labelOnly="1" outline="0" fieldPosition="0">
        <references count="2">
          <reference field="0" count="1" selected="0">
            <x v="2"/>
          </reference>
          <reference field="1" count="2">
            <x v="0"/>
            <x v="1"/>
          </reference>
        </references>
      </pivotArea>
    </format>
    <format dxfId="376">
      <pivotArea field="1" type="button" dataOnly="0" labelOnly="1" outline="0" axis="axisCol" fieldPosition="1"/>
    </format>
    <format dxfId="375">
      <pivotArea dataOnly="0" labelOnly="1" outline="0" fieldPosition="0">
        <references count="2">
          <reference field="0" count="1" selected="0">
            <x v="1"/>
          </reference>
          <reference field="1" count="2">
            <x v="2"/>
            <x v="3"/>
          </reference>
        </references>
      </pivotArea>
    </format>
    <format dxfId="374">
      <pivotArea field="0" dataOnly="0" labelOnly="1" grandCol="1" outline="0" axis="axisCol" fieldPosition="0">
        <references count="1">
          <reference field="4294967294" count="1" selected="0">
            <x v="0"/>
          </reference>
        </references>
      </pivotArea>
    </format>
    <format dxfId="373">
      <pivotArea field="0" dataOnly="0" labelOnly="1" grandCol="1" outline="0" axis="axisCol" fieldPosition="0">
        <references count="1">
          <reference field="4294967294" count="1" selected="0">
            <x v="0"/>
          </reference>
        </references>
      </pivotArea>
    </format>
    <format dxfId="372">
      <pivotArea dataOnly="0" labelOnly="1" outline="0" fieldPosition="0">
        <references count="1">
          <reference field="0" count="1">
            <x v="1"/>
          </reference>
        </references>
      </pivotArea>
    </format>
    <format dxfId="371">
      <pivotArea dataOnly="0" labelOnly="1" outline="0" fieldPosition="0">
        <references count="2">
          <reference field="0" count="1" selected="0">
            <x v="2"/>
          </reference>
          <reference field="1" count="2">
            <x v="0"/>
            <x v="1"/>
          </reference>
        </references>
      </pivotArea>
    </format>
    <format dxfId="370">
      <pivotArea dataOnly="0" labelOnly="1" outline="0" fieldPosition="0">
        <references count="3">
          <reference field="4294967294" count="1">
            <x v="0"/>
          </reference>
          <reference field="0" count="1" selected="0">
            <x v="2"/>
          </reference>
          <reference field="1" count="1" selected="0">
            <x v="0"/>
          </reference>
        </references>
      </pivotArea>
    </format>
    <format dxfId="369">
      <pivotArea dataOnly="0" labelOnly="1" outline="0" fieldPosition="0">
        <references count="3">
          <reference field="4294967294" count="1">
            <x v="0"/>
          </reference>
          <reference field="0" count="1" selected="0">
            <x v="2"/>
          </reference>
          <reference field="1" count="1" selected="0">
            <x v="1"/>
          </reference>
        </references>
      </pivotArea>
    </format>
    <format dxfId="368">
      <pivotArea dataOnly="0" labelOnly="1" outline="0" fieldPosition="0">
        <references count="2">
          <reference field="0" count="1" selected="0">
            <x v="1"/>
          </reference>
          <reference field="1" count="2">
            <x v="2"/>
            <x v="3"/>
          </reference>
        </references>
      </pivotArea>
    </format>
    <format dxfId="367">
      <pivotArea dataOnly="0" labelOnly="1" outline="0" fieldPosition="0">
        <references count="3">
          <reference field="4294967294" count="1">
            <x v="0"/>
          </reference>
          <reference field="0" count="1" selected="0">
            <x v="1"/>
          </reference>
          <reference field="1" count="1" selected="0">
            <x v="2"/>
          </reference>
        </references>
      </pivotArea>
    </format>
    <format dxfId="366">
      <pivotArea dataOnly="0" labelOnly="1" outline="0" fieldPosition="0">
        <references count="3">
          <reference field="4294967294" count="1">
            <x v="0"/>
          </reference>
          <reference field="0" count="1" selected="0">
            <x v="1"/>
          </reference>
          <reference field="1" count="1" selected="0">
            <x v="3"/>
          </reference>
        </references>
      </pivotArea>
    </format>
    <format dxfId="365">
      <pivotArea dataOnly="0" labelOnly="1" outline="0" fieldPosition="0">
        <references count="3">
          <reference field="4294967294" count="1">
            <x v="0"/>
          </reference>
          <reference field="0" count="1" selected="0">
            <x v="2"/>
          </reference>
          <reference field="1" count="1" selected="0">
            <x v="0"/>
          </reference>
        </references>
      </pivotArea>
    </format>
    <format dxfId="364">
      <pivotArea dataOnly="0" labelOnly="1" outline="0" fieldPosition="0">
        <references count="3">
          <reference field="4294967294" count="1">
            <x v="0"/>
          </reference>
          <reference field="0" count="1" selected="0">
            <x v="2"/>
          </reference>
          <reference field="1" count="1" selected="0">
            <x v="1"/>
          </reference>
        </references>
      </pivotArea>
    </format>
    <format dxfId="363">
      <pivotArea dataOnly="0" labelOnly="1" outline="0" fieldPosition="0">
        <references count="3">
          <reference field="4294967294" count="1">
            <x v="0"/>
          </reference>
          <reference field="0" count="1" selected="0">
            <x v="1"/>
          </reference>
          <reference field="1" count="1" selected="0">
            <x v="2"/>
          </reference>
        </references>
      </pivotArea>
    </format>
    <format dxfId="362">
      <pivotArea dataOnly="0" labelOnly="1" outline="0" fieldPosition="0">
        <references count="3">
          <reference field="4294967294" count="1">
            <x v="0"/>
          </reference>
          <reference field="0" count="1" selected="0">
            <x v="1"/>
          </reference>
          <reference field="1" count="1" selected="0">
            <x v="3"/>
          </reference>
        </references>
      </pivotArea>
    </format>
    <format dxfId="361">
      <pivotArea dataOnly="0" labelOnly="1" outline="0" fieldPosition="0">
        <references count="2">
          <reference field="0" count="1" selected="0">
            <x v="1"/>
          </reference>
          <reference field="1" count="1">
            <x v="3"/>
          </reference>
        </references>
      </pivotArea>
    </format>
    <format dxfId="360">
      <pivotArea dataOnly="0" labelOnly="1" outline="0" fieldPosition="0">
        <references count="3">
          <reference field="4294967294" count="1">
            <x v="0"/>
          </reference>
          <reference field="0" count="1" selected="0">
            <x v="1"/>
          </reference>
          <reference field="1" count="1" selected="0">
            <x v="3"/>
          </reference>
        </references>
      </pivotArea>
    </format>
    <format dxfId="359">
      <pivotArea dataOnly="0" labelOnly="1" outline="0" fieldPosition="0">
        <references count="3">
          <reference field="4294967294" count="1">
            <x v="0"/>
          </reference>
          <reference field="0" count="1" selected="0">
            <x v="2"/>
          </reference>
          <reference field="1" count="1" selected="0">
            <x v="1"/>
          </reference>
        </references>
      </pivotArea>
    </format>
    <format dxfId="358">
      <pivotArea field="0" type="button" dataOnly="0" labelOnly="1" outline="0" axis="axisCol" fieldPosition="0"/>
    </format>
    <format dxfId="357">
      <pivotArea field="2" grandCol="1" outline="0" axis="axisRow" fieldPosition="0">
        <references count="2">
          <reference field="4294967294" count="1" selected="0">
            <x v="0"/>
          </reference>
          <reference field="2" count="1" selected="0">
            <x v="11"/>
          </reference>
        </references>
      </pivotArea>
    </format>
    <format dxfId="356">
      <pivotArea field="2" grandCol="1" outline="0" axis="axisRow" fieldPosition="0">
        <references count="2">
          <reference field="4294967294" count="1" selected="0">
            <x v="0"/>
          </reference>
          <reference field="2" count="1" selected="0">
            <x v="11"/>
          </reference>
        </references>
      </pivotArea>
    </format>
    <format dxfId="355">
      <pivotArea dataOnly="0" labelOnly="1" outline="0" fieldPosition="0">
        <references count="2">
          <reference field="4294967294" count="1" selected="0">
            <x v="0"/>
          </reference>
          <reference field="0" count="0" defaultSubtotal="1"/>
        </references>
      </pivotArea>
    </format>
    <format dxfId="354">
      <pivotArea dataOnly="0" labelOnly="1" outline="0" fieldPosition="0">
        <references count="2">
          <reference field="4294967294" count="1" selected="0">
            <x v="0"/>
          </reference>
          <reference field="0" count="0" defaultSubtotal="1"/>
        </references>
      </pivotArea>
    </format>
    <format dxfId="353">
      <pivotArea field="0" dataOnly="0" labelOnly="1" grandCol="1" outline="0" axis="axisCol" fieldPosition="0">
        <references count="1">
          <reference field="4294967294" count="1" selected="0">
            <x v="0"/>
          </reference>
        </references>
      </pivotArea>
    </format>
    <format dxfId="352">
      <pivotArea field="0" dataOnly="0" labelOnly="1" grandCol="1" outline="0" axis="axisCol" fieldPosition="0">
        <references count="1">
          <reference field="4294967294" count="1" selected="0">
            <x v="0"/>
          </reference>
        </references>
      </pivotArea>
    </format>
    <format dxfId="351">
      <pivotArea dataOnly="0" labelOnly="1" outline="0" fieldPosition="0">
        <references count="1">
          <reference field="0" count="2">
            <x v="1"/>
            <x v="2"/>
          </reference>
        </references>
      </pivotArea>
    </format>
    <format dxfId="350">
      <pivotArea field="0" dataOnly="0" labelOnly="1" grandCol="1" outline="0" axis="axisCol" fieldPosition="0">
        <references count="1">
          <reference field="4294967294" count="1" selected="0">
            <x v="0"/>
          </reference>
        </references>
      </pivotArea>
    </format>
    <format dxfId="349">
      <pivotArea dataOnly="0" labelOnly="1" outline="0" fieldPosition="0">
        <references count="2">
          <reference field="0" count="1" selected="0">
            <x v="2"/>
          </reference>
          <reference field="1" count="2">
            <x v="0"/>
            <x v="1"/>
          </reference>
        </references>
      </pivotArea>
    </format>
    <format dxfId="348">
      <pivotArea dataOnly="0" labelOnly="1" outline="0" fieldPosition="0">
        <references count="2">
          <reference field="0" count="1" selected="0">
            <x v="1"/>
          </reference>
          <reference field="1" count="2">
            <x v="2"/>
            <x v="3"/>
          </reference>
        </references>
      </pivotArea>
    </format>
    <format dxfId="347">
      <pivotArea dataOnly="0" labelOnly="1" outline="0" fieldPosition="0">
        <references count="3">
          <reference field="4294967294" count="1">
            <x v="0"/>
          </reference>
          <reference field="0" count="1" selected="0">
            <x v="2"/>
          </reference>
          <reference field="1" count="1" selected="0">
            <x v="0"/>
          </reference>
        </references>
      </pivotArea>
    </format>
    <format dxfId="346">
      <pivotArea dataOnly="0" labelOnly="1" outline="0" fieldPosition="0">
        <references count="3">
          <reference field="4294967294" count="1">
            <x v="0"/>
          </reference>
          <reference field="0" count="1" selected="0">
            <x v="2"/>
          </reference>
          <reference field="1" count="1" selected="0">
            <x v="1"/>
          </reference>
        </references>
      </pivotArea>
    </format>
    <format dxfId="345">
      <pivotArea dataOnly="0" labelOnly="1" outline="0" fieldPosition="0">
        <references count="3">
          <reference field="4294967294" count="1">
            <x v="0"/>
          </reference>
          <reference field="0" count="1" selected="0">
            <x v="1"/>
          </reference>
          <reference field="1" count="1" selected="0">
            <x v="2"/>
          </reference>
        </references>
      </pivotArea>
    </format>
    <format dxfId="344">
      <pivotArea dataOnly="0" labelOnly="1" outline="0" fieldPosition="0">
        <references count="3">
          <reference field="4294967294" count="1">
            <x v="0"/>
          </reference>
          <reference field="0" count="1" selected="0">
            <x v="1"/>
          </reference>
          <reference field="1" count="1" selected="0">
            <x v="3"/>
          </reference>
        </references>
      </pivotArea>
    </format>
    <format dxfId="343">
      <pivotArea outline="0" fieldPosition="0">
        <references count="1">
          <reference field="2" count="1" selected="0">
            <x v="11"/>
          </reference>
        </references>
      </pivotArea>
    </format>
    <format dxfId="342">
      <pivotArea dataOnly="0" labelOnly="1" outline="0" fieldPosition="0">
        <references count="1">
          <reference field="2" count="1">
            <x v="11"/>
          </reference>
        </references>
      </pivotArea>
    </format>
    <format dxfId="341">
      <pivotArea dataOnly="0" labelOnly="1" outline="0" fieldPosition="0">
        <references count="3">
          <reference field="4294967294" count="1">
            <x v="0"/>
          </reference>
          <reference field="0" count="1" selected="0">
            <x v="1"/>
          </reference>
          <reference field="1" count="1" selected="0">
            <x v="2"/>
          </reference>
        </references>
      </pivotArea>
    </format>
    <format dxfId="340">
      <pivotArea dataOnly="0" labelOnly="1" outline="0" fieldPosition="0">
        <references count="3">
          <reference field="4294967294" count="1">
            <x v="0"/>
          </reference>
          <reference field="0" count="1" selected="0">
            <x v="1"/>
          </reference>
          <reference field="1" count="1" selected="0">
            <x v="3"/>
          </reference>
        </references>
      </pivotArea>
    </format>
    <format dxfId="339">
      <pivotArea dataOnly="0" labelOnly="1" outline="0" fieldPosition="0">
        <references count="3">
          <reference field="4294967294" count="1">
            <x v="0"/>
          </reference>
          <reference field="0" count="1" selected="0">
            <x v="1"/>
          </reference>
          <reference field="1" count="1" selected="0">
            <x v="3"/>
          </reference>
        </references>
      </pivotArea>
    </format>
    <format dxfId="338">
      <pivotArea dataOnly="0" labelOnly="1" outline="0" fieldPosition="0">
        <references count="3">
          <reference field="4294967294" count="1">
            <x v="0"/>
          </reference>
          <reference field="0" count="1" selected="0">
            <x v="1"/>
          </reference>
          <reference field="1" count="1" selected="0">
            <x v="2"/>
          </reference>
        </references>
      </pivotArea>
    </format>
    <format dxfId="337">
      <pivotArea dataOnly="0" labelOnly="1" outline="0" fieldPosition="0">
        <references count="3">
          <reference field="4294967294" count="1">
            <x v="0"/>
          </reference>
          <reference field="0" count="1" selected="0">
            <x v="2"/>
          </reference>
          <reference field="1" count="1" selected="0">
            <x v="1"/>
          </reference>
        </references>
      </pivotArea>
    </format>
    <format dxfId="336">
      <pivotArea dataOnly="0" labelOnly="1" outline="0" fieldPosition="0">
        <references count="3">
          <reference field="4294967294" count="1">
            <x v="0"/>
          </reference>
          <reference field="0" count="1" selected="0">
            <x v="2"/>
          </reference>
          <reference field="1" count="1" selected="0">
            <x v="0"/>
          </reference>
        </references>
      </pivotArea>
    </format>
    <format dxfId="335">
      <pivotArea dataOnly="0" labelOnly="1" outline="0" fieldPosition="0">
        <references count="2">
          <reference field="4294967294" count="1" selected="0">
            <x v="0"/>
          </reference>
          <reference field="0" count="0" defaultSubtotal="1"/>
        </references>
      </pivotArea>
    </format>
    <format dxfId="334">
      <pivotArea dataOnly="0" labelOnly="1" outline="0" fieldPosition="0">
        <references count="2">
          <reference field="4294967294" count="1" selected="0">
            <x v="0"/>
          </reference>
          <reference field="0" count="0" defaultSubtotal="1"/>
        </references>
      </pivotArea>
    </format>
    <format dxfId="333">
      <pivotArea dataOnly="0" labelOnly="1" outline="0" fieldPosition="0">
        <references count="2">
          <reference field="4294967294" count="1" selected="0">
            <x v="0"/>
          </reference>
          <reference field="0" count="0" defaultSubtotal="1"/>
        </references>
      </pivotArea>
    </format>
    <format dxfId="332">
      <pivotArea dataOnly="0" labelOnly="1" outline="0" fieldPosition="0">
        <references count="3">
          <reference field="4294967294" count="1">
            <x v="0"/>
          </reference>
          <reference field="0" count="1" selected="0">
            <x v="2"/>
          </reference>
          <reference field="1" count="1" selected="0">
            <x v="1"/>
          </reference>
        </references>
      </pivotArea>
    </format>
    <format dxfId="331">
      <pivotArea dataOnly="0" labelOnly="1" outline="0" fieldPosition="0">
        <references count="3">
          <reference field="4294967294" count="1">
            <x v="0"/>
          </reference>
          <reference field="0" count="1" selected="0">
            <x v="1"/>
          </reference>
          <reference field="1" count="1" selected="0">
            <x v="2"/>
          </reference>
        </references>
      </pivotArea>
    </format>
    <format dxfId="330">
      <pivotArea dataOnly="0" labelOnly="1" outline="0" fieldPosition="0">
        <references count="3">
          <reference field="4294967294" count="1">
            <x v="0"/>
          </reference>
          <reference field="0" count="1" selected="0">
            <x v="1"/>
          </reference>
          <reference field="1" count="1" selected="0">
            <x v="3"/>
          </reference>
        </references>
      </pivotArea>
    </format>
    <format dxfId="329">
      <pivotArea field="0" dataOnly="0" labelOnly="1" grandCol="1" outline="0" axis="axisCol" fieldPosition="0">
        <references count="1">
          <reference field="4294967294" count="1" selected="0">
            <x v="0"/>
          </reference>
        </references>
      </pivotArea>
    </format>
    <format dxfId="328">
      <pivotArea field="0" dataOnly="0" labelOnly="1" grandCol="1" outline="0" axis="axisCol" fieldPosition="0">
        <references count="1">
          <reference field="4294967294" count="1" selected="0">
            <x v="0"/>
          </reference>
        </references>
      </pivotArea>
    </format>
    <format dxfId="327">
      <pivotArea dataOnly="0" labelOnly="1" outline="0" fieldPosition="0">
        <references count="2">
          <reference field="4294967294" count="1" selected="0">
            <x v="0"/>
          </reference>
          <reference field="0" count="0" defaultSubtotal="1"/>
        </references>
      </pivotArea>
    </format>
    <format dxfId="326">
      <pivotArea field="0" dataOnly="0" labelOnly="1" grandCol="1" outline="0" axis="axisCol" fieldPosition="0">
        <references count="1">
          <reference field="4294967294" count="1" selected="0">
            <x v="0"/>
          </reference>
        </references>
      </pivotArea>
    </format>
    <format dxfId="325">
      <pivotArea dataOnly="0" labelOnly="1" outline="0" fieldPosition="0">
        <references count="2">
          <reference field="4294967294" count="1" selected="0">
            <x v="0"/>
          </reference>
          <reference field="0" count="0" defaultSubtotal="1"/>
        </references>
      </pivotArea>
    </format>
    <format dxfId="324">
      <pivotArea dataOnly="0" labelOnly="1" outline="0" fieldPosition="0">
        <references count="2">
          <reference field="4294967294" count="1" selected="0">
            <x v="0"/>
          </reference>
          <reference field="0" count="0" defaultSubtotal="1"/>
        </references>
      </pivotArea>
    </format>
    <format dxfId="323">
      <pivotArea dataOnly="0" labelOnly="1" outline="0" fieldPosition="0">
        <references count="2">
          <reference field="4294967294" count="1" selected="0">
            <x v="0"/>
          </reference>
          <reference field="0" count="1" defaultSubtotal="1">
            <x v="2"/>
          </reference>
        </references>
      </pivotArea>
    </format>
    <format dxfId="322">
      <pivotArea field="0" dataOnly="0" labelOnly="1" grandCol="1" outline="0" axis="axisCol" fieldPosition="0">
        <references count="1">
          <reference field="4294967294" count="1" selected="0">
            <x v="0"/>
          </reference>
        </references>
      </pivotArea>
    </format>
    <format dxfId="321">
      <pivotArea dataOnly="0" labelOnly="1" outline="0" fieldPosition="0">
        <references count="2">
          <reference field="4294967294" count="1" selected="0">
            <x v="0"/>
          </reference>
          <reference field="0" count="0" defaultSubtotal="1"/>
        </references>
      </pivotArea>
    </format>
    <format dxfId="320">
      <pivotArea dataOnly="0" labelOnly="1" outline="0" fieldPosition="0">
        <references count="2">
          <reference field="4294967294" count="1" selected="0">
            <x v="0"/>
          </reference>
          <reference field="0" count="0" defaultSubtotal="1"/>
        </references>
      </pivotArea>
    </format>
    <format dxfId="319">
      <pivotArea dataOnly="0" labelOnly="1" outline="0" fieldPosition="0">
        <references count="2">
          <reference field="4294967294" count="1" selected="0">
            <x v="0"/>
          </reference>
          <reference field="0" count="1" defaultSubtotal="1">
            <x v="1"/>
          </reference>
        </references>
      </pivotArea>
    </format>
    <format dxfId="318">
      <pivotArea outline="0" fieldPosition="0">
        <references count="1">
          <reference field="0" count="1" selected="0" defaultSubtotal="1">
            <x v="2"/>
          </reference>
        </references>
      </pivotArea>
    </format>
    <format dxfId="317">
      <pivotArea dataOnly="0" labelOnly="1" outline="0" fieldPosition="0">
        <references count="1">
          <reference field="0" count="1">
            <x v="2"/>
          </reference>
        </references>
      </pivotArea>
    </format>
    <format dxfId="316">
      <pivotArea dataOnly="0" labelOnly="1" outline="0" fieldPosition="0">
        <references count="1">
          <reference field="0" count="1" defaultSubtotal="1">
            <x v="2"/>
          </reference>
        </references>
      </pivotArea>
    </format>
    <format dxfId="315">
      <pivotArea dataOnly="0" labelOnly="1" outline="0" fieldPosition="0">
        <references count="2">
          <reference field="0" count="1" selected="0">
            <x v="2"/>
          </reference>
          <reference field="1" count="2">
            <x v="0"/>
            <x v="1"/>
          </reference>
        </references>
      </pivotArea>
    </format>
    <format dxfId="314">
      <pivotArea outline="0" fieldPosition="0">
        <references count="1">
          <reference field="0" count="1" selected="0" defaultSubtotal="1">
            <x v="1"/>
          </reference>
        </references>
      </pivotArea>
    </format>
    <format dxfId="313">
      <pivotArea dataOnly="0" labelOnly="1" outline="0" fieldPosition="0">
        <references count="1">
          <reference field="0" count="1">
            <x v="1"/>
          </reference>
        </references>
      </pivotArea>
    </format>
    <format dxfId="312">
      <pivotArea dataOnly="0" labelOnly="1" outline="0" fieldPosition="0">
        <references count="1">
          <reference field="0" count="1" defaultSubtotal="1">
            <x v="1"/>
          </reference>
        </references>
      </pivotArea>
    </format>
    <format dxfId="311">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310">
      <pivotArea dataOnly="0" labelOnly="1" outline="0" fieldPosition="0">
        <references count="1">
          <reference field="2" count="0"/>
        </references>
      </pivotArea>
    </format>
    <format dxfId="309">
      <pivotArea outline="0" collapsedLevelsAreSubtotals="1" fieldPosition="0"/>
    </format>
    <format dxfId="308">
      <pivotArea grandRow="1" outline="0" collapsedLevelsAreSubtotals="1" fieldPosition="0"/>
    </format>
    <format dxfId="307">
      <pivotArea dataOnly="0" labelOnly="1" grandRow="1" outline="0"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format>
    <format dxfId="302">
      <pivotArea field="2" type="button" dataOnly="0" labelOnly="1" outline="0" axis="axisRow" fieldPosition="0"/>
    </format>
    <format dxfId="301">
      <pivotArea dataOnly="0" labelOnly="1" grandRow="1" outline="0" fieldPosition="0"/>
    </format>
    <format dxfId="300">
      <pivotArea field="0" type="button" dataOnly="0" labelOnly="1" outline="0"/>
    </format>
    <format dxfId="299">
      <pivotArea field="1" type="button" dataOnly="0" labelOnly="1" outline="0"/>
    </format>
    <format dxfId="298">
      <pivotArea field="-2" type="button" dataOnly="0" labelOnly="1" outline="0" axis="axisCol" fieldPosition="0"/>
    </format>
    <format dxfId="297">
      <pivotArea type="topRight" dataOnly="0" labelOnly="1" outline="0" fieldPosition="0"/>
    </format>
    <format dxfId="296">
      <pivotArea type="origin" dataOnly="0" labelOnly="1" outline="0" fieldPosition="0"/>
    </format>
    <format dxfId="295">
      <pivotArea field="0" type="button" dataOnly="0" labelOnly="1" outline="0"/>
    </format>
    <format dxfId="294">
      <pivotArea field="1" type="button" dataOnly="0" labelOnly="1" outline="0"/>
    </format>
    <format dxfId="293">
      <pivotArea field="-2" type="button" dataOnly="0" labelOnly="1" outline="0" axis="axisCol" fieldPosition="0"/>
    </format>
    <format dxfId="292">
      <pivotArea type="topRight" dataOnly="0" labelOnly="1" outline="0" fieldPosition="0"/>
    </format>
    <format dxfId="291">
      <pivotArea field="2" type="button" dataOnly="0" labelOnly="1" outline="0" axis="axisRow" fieldPosition="0"/>
    </format>
    <format dxfId="290">
      <pivotArea type="origin" dataOnly="0" labelOnly="1" outline="0" fieldPosition="0"/>
    </format>
    <format dxfId="289">
      <pivotArea field="0" type="button" dataOnly="0" labelOnly="1" outline="0"/>
    </format>
    <format dxfId="288">
      <pivotArea field="1" type="button" dataOnly="0" labelOnly="1" outline="0"/>
    </format>
    <format dxfId="287">
      <pivotArea field="-2" type="button" dataOnly="0" labelOnly="1" outline="0" axis="axisCol" fieldPosition="0"/>
    </format>
    <format dxfId="286">
      <pivotArea type="topRight" dataOnly="0" labelOnly="1" outline="0" fieldPosition="0"/>
    </format>
    <format dxfId="285">
      <pivotArea field="2" type="button" dataOnly="0" labelOnly="1" outline="0" axis="axisRow" fieldPosition="0"/>
    </format>
    <format dxfId="284">
      <pivotArea dataOnly="0" labelOnly="1" grandRow="1" outline="0" fieldPosition="0"/>
    </format>
    <format dxfId="283">
      <pivotArea outline="0" fieldPosition="0">
        <references count="1">
          <reference field="2" count="0" selected="0"/>
        </references>
      </pivotArea>
    </format>
    <format dxfId="282">
      <pivotArea dataOnly="0" labelOnly="1" outline="0" fieldPosition="0">
        <references count="1">
          <reference field="2" count="0"/>
        </references>
      </pivotArea>
    </format>
    <format dxfId="281">
      <pivotArea field="0" type="button" dataOnly="0" labelOnly="1" outline="0"/>
    </format>
    <format dxfId="280">
      <pivotArea field="1" type="button" dataOnly="0" labelOnly="1" outline="0"/>
    </format>
    <format dxfId="279">
      <pivotArea field="-2" type="button" dataOnly="0" labelOnly="1" outline="0" axis="axisCol" fieldPosition="0"/>
    </format>
    <format dxfId="278">
      <pivotArea type="topRight" dataOnly="0" labelOnly="1" outline="0" fieldPosition="0"/>
    </format>
    <format dxfId="277">
      <pivotArea type="origin" dataOnly="0" labelOnly="1" outline="0" fieldPosition="0"/>
    </format>
    <format dxfId="276">
      <pivotArea field="2" type="button" dataOnly="0" labelOnly="1" outline="0" axis="axisRow" fieldPosition="0"/>
    </format>
    <format dxfId="275">
      <pivotArea field="0" type="button" dataOnly="0" labelOnly="1" outline="0"/>
    </format>
    <format dxfId="274">
      <pivotArea field="1" type="button" dataOnly="0" labelOnly="1" outline="0"/>
    </format>
    <format dxfId="273">
      <pivotArea field="0" type="button" dataOnly="0" labelOnly="1" outline="0"/>
    </format>
    <format dxfId="272">
      <pivotArea outline="0" fieldPosition="0">
        <references count="1">
          <reference field="4294967294" count="1">
            <x v="0"/>
          </reference>
        </references>
      </pivotArea>
    </format>
    <format dxfId="271">
      <pivotArea field="0" dataOnly="0" labelOnly="1" outline="0">
        <references count="1">
          <reference field="4294967294" count="1" selected="0">
            <x v="0"/>
          </reference>
        </references>
      </pivotArea>
    </format>
    <format dxfId="270">
      <pivotArea field="0" dataOnly="0" labelOnly="1" outline="0">
        <references count="1">
          <reference field="4294967294" count="1" selected="0">
            <x v="0"/>
          </reference>
        </references>
      </pivotArea>
    </format>
    <format dxfId="269">
      <pivotArea field="0" dataOnly="0" labelOnly="1" outline="0">
        <references count="1">
          <reference field="4294967294" count="1" selected="0">
            <x v="0"/>
          </reference>
        </references>
      </pivotArea>
    </format>
    <format dxfId="268">
      <pivotArea outline="0" fieldPosition="0">
        <references count="1">
          <reference field="2" count="1" selected="0">
            <x v="11"/>
          </reference>
        </references>
      </pivotArea>
    </format>
    <format dxfId="267">
      <pivotArea dataOnly="0" labelOnly="1" outline="0" fieldPosition="0">
        <references count="1">
          <reference field="2" count="1">
            <x v="11"/>
          </reference>
        </references>
      </pivotArea>
    </format>
    <format dxfId="266">
      <pivotArea field="0" dataOnly="0" labelOnly="1" outline="0">
        <references count="1">
          <reference field="4294967294" count="1" selected="0">
            <x v="0"/>
          </reference>
        </references>
      </pivotArea>
    </format>
    <format dxfId="265">
      <pivotArea field="0" dataOnly="0" labelOnly="1" outline="0">
        <references count="1">
          <reference field="4294967294" count="1" selected="0">
            <x v="1"/>
          </reference>
        </references>
      </pivotArea>
    </format>
    <format dxfId="264">
      <pivotArea field="0" dataOnly="0" labelOnly="1" outline="0">
        <references count="1">
          <reference field="4294967294" count="1" selected="0">
            <x v="0"/>
          </reference>
        </references>
      </pivotArea>
    </format>
    <format dxfId="263">
      <pivotArea field="0" dataOnly="0" labelOnly="1" outline="0">
        <references count="1">
          <reference field="4294967294" count="1" selected="0">
            <x v="1"/>
          </reference>
        </references>
      </pivotArea>
    </format>
    <format dxfId="262">
      <pivotArea field="0" dataOnly="0" labelOnly="1" outline="0">
        <references count="1">
          <reference field="4294967294" count="1" selected="0">
            <x v="0"/>
          </reference>
        </references>
      </pivotArea>
    </format>
    <format dxfId="261">
      <pivotArea field="0" dataOnly="0" labelOnly="1" outline="0">
        <references count="1">
          <reference field="4294967294" count="1" selected="0">
            <x v="1"/>
          </reference>
        </references>
      </pivotArea>
    </format>
    <format dxfId="260">
      <pivotArea field="0" dataOnly="0" labelOnly="1" outline="0">
        <references count="1">
          <reference field="4294967294" count="1" selected="0">
            <x v="0"/>
          </reference>
        </references>
      </pivotArea>
    </format>
    <format dxfId="259">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258">
      <pivotArea outline="0" collapsedLevelsAreSubtotals="1" fieldPosition="0"/>
    </format>
    <format dxfId="257">
      <pivotArea outline="0" collapsedLevelsAreSubtotals="1" fieldPosition="0"/>
    </format>
    <format dxfId="256">
      <pivotArea dataOnly="0" labelOnly="1" fieldPosition="0">
        <references count="1">
          <reference field="0" count="17">
            <x v="0"/>
            <x v="1"/>
            <x v="2"/>
            <x v="3"/>
            <x v="4"/>
            <x v="5"/>
            <x v="6"/>
            <x v="7"/>
            <x v="8"/>
            <x v="9"/>
            <x v="11"/>
            <x v="12"/>
            <x v="13"/>
            <x v="14"/>
            <x v="15"/>
            <x v="16"/>
            <x v="17"/>
          </reference>
        </references>
      </pivotArea>
    </format>
    <format dxfId="255">
      <pivotArea dataOnly="0" labelOnly="1" fieldPosition="0">
        <references count="1">
          <reference field="6" count="0"/>
        </references>
      </pivotArea>
    </format>
    <format dxfId="254">
      <pivotArea dataOnly="0" labelOnly="1" grandCol="1" outline="0" fieldPosition="0"/>
    </format>
    <format dxfId="253">
      <pivotArea field="6" type="button" dataOnly="0" labelOnly="1" outline="0" axis="axisCol" fieldPosition="0"/>
    </format>
    <format dxfId="252">
      <pivotArea type="topRight" dataOnly="0" labelOnly="1" outline="0" fieldPosition="0"/>
    </format>
    <format dxfId="251">
      <pivotArea dataOnly="0" labelOnly="1" outline="0" fieldPosition="0">
        <references count="1">
          <reference field="6" count="0"/>
        </references>
      </pivotArea>
    </format>
    <format dxfId="250">
      <pivotArea dataOnly="0" labelOnly="1" grandCol="1" outline="0" fieldPosition="0"/>
    </format>
    <format dxfId="249">
      <pivotArea type="origin" dataOnly="0" labelOnly="1" outline="0" fieldPosition="0"/>
    </format>
    <format dxfId="248">
      <pivotArea outline="0" collapsedLevelsAreSubtotals="1" fieldPosition="0"/>
    </format>
    <format dxfId="247">
      <pivotArea field="6" type="button" dataOnly="0" labelOnly="1" outline="0" axis="axisCol" fieldPosition="0"/>
    </format>
    <format dxfId="246">
      <pivotArea type="topRight" dataOnly="0" labelOnly="1" outline="0" fieldPosition="0"/>
    </format>
    <format dxfId="245">
      <pivotArea dataOnly="0" labelOnly="1" outline="0" fieldPosition="0">
        <references count="1">
          <reference field="6" count="0"/>
        </references>
      </pivotArea>
    </format>
    <format dxfId="244">
      <pivotArea dataOnly="0" labelOnly="1" grandCol="1" outline="0" fieldPosition="0"/>
    </format>
    <format dxfId="243">
      <pivotArea type="origin" dataOnly="0" labelOnly="1" outline="0" fieldPosition="0"/>
    </format>
    <format dxfId="242">
      <pivotArea field="6" type="button" dataOnly="0" labelOnly="1" outline="0" axis="axisCol" fieldPosition="0"/>
    </format>
    <format dxfId="241">
      <pivotArea type="topRight" dataOnly="0" labelOnly="1" outline="0" fieldPosition="0"/>
    </format>
    <format dxfId="240">
      <pivotArea dataOnly="0" labelOnly="1" outline="0" fieldPosition="0">
        <references count="1">
          <reference field="6" count="0"/>
        </references>
      </pivotArea>
    </format>
    <format dxfId="239">
      <pivotArea dataOnly="0" labelOnly="1" grandCol="1" outline="0" fieldPosition="0"/>
    </format>
    <format dxfId="238">
      <pivotArea field="0" type="button" dataOnly="0" labelOnly="1" outline="0" axis="axisRow" fieldPosition="0"/>
    </format>
    <format dxfId="237">
      <pivotArea field="2" type="button" dataOnly="0" labelOnly="1" outline="0" axis="axisRow" fieldPosition="1"/>
    </format>
    <format dxfId="236">
      <pivotArea field="3" type="button" dataOnly="0" labelOnly="1" outline="0" axis="axisRow" fieldPosition="2"/>
    </format>
    <format dxfId="235">
      <pivotArea dataOnly="0" labelOnly="1" grandRow="1" outline="0" fieldPosition="0"/>
    </format>
    <format dxfId="234">
      <pivotArea dataOnly="0" grandRow="1" outline="0" fieldPosition="0"/>
    </format>
    <format dxfId="233">
      <pivotArea outline="0" collapsedLevelsAreSubtotals="1" fieldPosition="0"/>
    </format>
    <format dxfId="232">
      <pivotArea field="6" type="button" dataOnly="0" labelOnly="1" outline="0" axis="axisCol" fieldPosition="0"/>
    </format>
    <format dxfId="231">
      <pivotArea type="topRight" dataOnly="0" labelOnly="1" outline="0" fieldPosition="0"/>
    </format>
    <format dxfId="230">
      <pivotArea dataOnly="0" labelOnly="1" outline="0" fieldPosition="0">
        <references count="1">
          <reference field="6" count="0"/>
        </references>
      </pivotArea>
    </format>
    <format dxfId="229">
      <pivotArea dataOnly="0" labelOnly="1" grandCol="1" outline="0" fieldPosition="0"/>
    </format>
    <format dxfId="228">
      <pivotArea dataOnly="0" labelOnly="1" outline="0" fieldPosition="0">
        <references count="1">
          <reference field="0" count="17">
            <x v="0"/>
            <x v="1"/>
            <x v="2"/>
            <x v="3"/>
            <x v="4"/>
            <x v="5"/>
            <x v="6"/>
            <x v="7"/>
            <x v="8"/>
            <x v="9"/>
            <x v="11"/>
            <x v="12"/>
            <x v="13"/>
            <x v="14"/>
            <x v="15"/>
            <x v="16"/>
            <x v="17"/>
          </reference>
        </references>
      </pivotArea>
    </format>
    <format dxfId="227">
      <pivotArea dataOnly="0" labelOnly="1" outline="0" fieldPosition="0">
        <references count="2">
          <reference field="0" count="1" selected="0">
            <x v="0"/>
          </reference>
          <reference field="2" count="1">
            <x v="0"/>
          </reference>
        </references>
      </pivotArea>
    </format>
    <format dxfId="226">
      <pivotArea dataOnly="0" labelOnly="1" outline="0" fieldPosition="0">
        <references count="2">
          <reference field="0" count="1" selected="0">
            <x v="1"/>
          </reference>
          <reference field="2" count="1">
            <x v="1"/>
          </reference>
        </references>
      </pivotArea>
    </format>
    <format dxfId="225">
      <pivotArea dataOnly="0" labelOnly="1" outline="0" fieldPosition="0">
        <references count="2">
          <reference field="0" count="1" selected="0">
            <x v="2"/>
          </reference>
          <reference field="2" count="1">
            <x v="2"/>
          </reference>
        </references>
      </pivotArea>
    </format>
    <format dxfId="224">
      <pivotArea dataOnly="0" labelOnly="1" outline="0" fieldPosition="0">
        <references count="2">
          <reference field="0" count="1" selected="0">
            <x v="3"/>
          </reference>
          <reference field="2" count="1">
            <x v="3"/>
          </reference>
        </references>
      </pivotArea>
    </format>
    <format dxfId="223">
      <pivotArea dataOnly="0" labelOnly="1" outline="0" fieldPosition="0">
        <references count="2">
          <reference field="0" count="1" selected="0">
            <x v="4"/>
          </reference>
          <reference field="2" count="1">
            <x v="4"/>
          </reference>
        </references>
      </pivotArea>
    </format>
    <format dxfId="222">
      <pivotArea dataOnly="0" labelOnly="1" outline="0" fieldPosition="0">
        <references count="2">
          <reference field="0" count="1" selected="0">
            <x v="5"/>
          </reference>
          <reference field="2" count="1">
            <x v="5"/>
          </reference>
        </references>
      </pivotArea>
    </format>
    <format dxfId="221">
      <pivotArea dataOnly="0" labelOnly="1" outline="0" fieldPosition="0">
        <references count="2">
          <reference field="0" count="1" selected="0">
            <x v="6"/>
          </reference>
          <reference field="2" count="1">
            <x v="6"/>
          </reference>
        </references>
      </pivotArea>
    </format>
    <format dxfId="220">
      <pivotArea dataOnly="0" labelOnly="1" outline="0" fieldPosition="0">
        <references count="2">
          <reference field="0" count="1" selected="0">
            <x v="7"/>
          </reference>
          <reference field="2" count="1">
            <x v="7"/>
          </reference>
        </references>
      </pivotArea>
    </format>
    <format dxfId="219">
      <pivotArea dataOnly="0" labelOnly="1" outline="0" fieldPosition="0">
        <references count="2">
          <reference field="0" count="1" selected="0">
            <x v="8"/>
          </reference>
          <reference field="2" count="1">
            <x v="8"/>
          </reference>
        </references>
      </pivotArea>
    </format>
    <format dxfId="218">
      <pivotArea dataOnly="0" labelOnly="1" outline="0" fieldPosition="0">
        <references count="2">
          <reference field="0" count="1" selected="0">
            <x v="9"/>
          </reference>
          <reference field="2" count="1">
            <x v="9"/>
          </reference>
        </references>
      </pivotArea>
    </format>
    <format dxfId="217">
      <pivotArea dataOnly="0" labelOnly="1" outline="0" fieldPosition="0">
        <references count="2">
          <reference field="0" count="1" selected="0">
            <x v="11"/>
          </reference>
          <reference field="2" count="1">
            <x v="11"/>
          </reference>
        </references>
      </pivotArea>
    </format>
    <format dxfId="216">
      <pivotArea dataOnly="0" labelOnly="1" outline="0" fieldPosition="0">
        <references count="2">
          <reference field="0" count="1" selected="0">
            <x v="12"/>
          </reference>
          <reference field="2" count="1">
            <x v="12"/>
          </reference>
        </references>
      </pivotArea>
    </format>
    <format dxfId="215">
      <pivotArea dataOnly="0" labelOnly="1" outline="0" fieldPosition="0">
        <references count="2">
          <reference field="0" count="1" selected="0">
            <x v="13"/>
          </reference>
          <reference field="2" count="1">
            <x v="13"/>
          </reference>
        </references>
      </pivotArea>
    </format>
    <format dxfId="214">
      <pivotArea dataOnly="0" labelOnly="1" outline="0" fieldPosition="0">
        <references count="2">
          <reference field="0" count="1" selected="0">
            <x v="14"/>
          </reference>
          <reference field="2" count="1">
            <x v="14"/>
          </reference>
        </references>
      </pivotArea>
    </format>
    <format dxfId="213">
      <pivotArea dataOnly="0" labelOnly="1" outline="0" fieldPosition="0">
        <references count="2">
          <reference field="0" count="1" selected="0">
            <x v="15"/>
          </reference>
          <reference field="2" count="1">
            <x v="15"/>
          </reference>
        </references>
      </pivotArea>
    </format>
    <format dxfId="212">
      <pivotArea dataOnly="0" labelOnly="1" outline="0" fieldPosition="0">
        <references count="2">
          <reference field="0" count="1" selected="0">
            <x v="16"/>
          </reference>
          <reference field="2" count="1">
            <x v="16"/>
          </reference>
        </references>
      </pivotArea>
    </format>
    <format dxfId="211">
      <pivotArea dataOnly="0" labelOnly="1" outline="0" fieldPosition="0">
        <references count="2">
          <reference field="0" count="1" selected="0">
            <x v="17"/>
          </reference>
          <reference field="2" count="1">
            <x v="17"/>
          </reference>
        </references>
      </pivotArea>
    </format>
    <format dxfId="210">
      <pivotArea dataOnly="0" labelOnly="1" outline="0" fieldPosition="0">
        <references count="3">
          <reference field="0" count="1" selected="0">
            <x v="0"/>
          </reference>
          <reference field="2" count="1" selected="0">
            <x v="0"/>
          </reference>
          <reference field="3" count="1">
            <x v="0"/>
          </reference>
        </references>
      </pivotArea>
    </format>
    <format dxfId="209">
      <pivotArea dataOnly="0" labelOnly="1" outline="0" fieldPosition="0">
        <references count="3">
          <reference field="0" count="1" selected="0">
            <x v="1"/>
          </reference>
          <reference field="2" count="1" selected="0">
            <x v="1"/>
          </reference>
          <reference field="3" count="1">
            <x v="1"/>
          </reference>
        </references>
      </pivotArea>
    </format>
    <format dxfId="208">
      <pivotArea dataOnly="0" labelOnly="1" outline="0" fieldPosition="0">
        <references count="3">
          <reference field="0" count="1" selected="0">
            <x v="2"/>
          </reference>
          <reference field="2" count="1" selected="0">
            <x v="2"/>
          </reference>
          <reference field="3" count="1">
            <x v="2"/>
          </reference>
        </references>
      </pivotArea>
    </format>
    <format dxfId="207">
      <pivotArea dataOnly="0" labelOnly="1" outline="0" fieldPosition="0">
        <references count="3">
          <reference field="0" count="1" selected="0">
            <x v="3"/>
          </reference>
          <reference field="2" count="1" selected="0">
            <x v="3"/>
          </reference>
          <reference field="3" count="1">
            <x v="3"/>
          </reference>
        </references>
      </pivotArea>
    </format>
    <format dxfId="206">
      <pivotArea dataOnly="0" labelOnly="1" outline="0" fieldPosition="0">
        <references count="3">
          <reference field="0" count="1" selected="0">
            <x v="4"/>
          </reference>
          <reference field="2" count="1" selected="0">
            <x v="4"/>
          </reference>
          <reference field="3" count="1">
            <x v="4"/>
          </reference>
        </references>
      </pivotArea>
    </format>
    <format dxfId="205">
      <pivotArea dataOnly="0" labelOnly="1" outline="0" fieldPosition="0">
        <references count="3">
          <reference field="0" count="1" selected="0">
            <x v="5"/>
          </reference>
          <reference field="2" count="1" selected="0">
            <x v="5"/>
          </reference>
          <reference field="3" count="1">
            <x v="5"/>
          </reference>
        </references>
      </pivotArea>
    </format>
    <format dxfId="204">
      <pivotArea dataOnly="0" labelOnly="1" outline="0" fieldPosition="0">
        <references count="3">
          <reference field="0" count="1" selected="0">
            <x v="6"/>
          </reference>
          <reference field="2" count="1" selected="0">
            <x v="6"/>
          </reference>
          <reference field="3" count="1">
            <x v="6"/>
          </reference>
        </references>
      </pivotArea>
    </format>
    <format dxfId="203">
      <pivotArea dataOnly="0" labelOnly="1" outline="0" fieldPosition="0">
        <references count="3">
          <reference field="0" count="1" selected="0">
            <x v="7"/>
          </reference>
          <reference field="2" count="1" selected="0">
            <x v="7"/>
          </reference>
          <reference field="3" count="1">
            <x v="7"/>
          </reference>
        </references>
      </pivotArea>
    </format>
    <format dxfId="202">
      <pivotArea dataOnly="0" labelOnly="1" outline="0" fieldPosition="0">
        <references count="3">
          <reference field="0" count="1" selected="0">
            <x v="8"/>
          </reference>
          <reference field="2" count="1" selected="0">
            <x v="8"/>
          </reference>
          <reference field="3" count="1">
            <x v="8"/>
          </reference>
        </references>
      </pivotArea>
    </format>
    <format dxfId="201">
      <pivotArea dataOnly="0" labelOnly="1" outline="0" fieldPosition="0">
        <references count="3">
          <reference field="0" count="1" selected="0">
            <x v="9"/>
          </reference>
          <reference field="2" count="1" selected="0">
            <x v="9"/>
          </reference>
          <reference field="3" count="1">
            <x v="9"/>
          </reference>
        </references>
      </pivotArea>
    </format>
    <format dxfId="200">
      <pivotArea dataOnly="0" labelOnly="1" outline="0" fieldPosition="0">
        <references count="3">
          <reference field="0" count="1" selected="0">
            <x v="11"/>
          </reference>
          <reference field="2" count="1" selected="0">
            <x v="11"/>
          </reference>
          <reference field="3" count="1">
            <x v="11"/>
          </reference>
        </references>
      </pivotArea>
    </format>
    <format dxfId="199">
      <pivotArea dataOnly="0" labelOnly="1" outline="0" fieldPosition="0">
        <references count="3">
          <reference field="0" count="1" selected="0">
            <x v="12"/>
          </reference>
          <reference field="2" count="1" selected="0">
            <x v="12"/>
          </reference>
          <reference field="3" count="1">
            <x v="12"/>
          </reference>
        </references>
      </pivotArea>
    </format>
    <format dxfId="198">
      <pivotArea dataOnly="0" labelOnly="1" outline="0" fieldPosition="0">
        <references count="3">
          <reference field="0" count="1" selected="0">
            <x v="13"/>
          </reference>
          <reference field="2" count="1" selected="0">
            <x v="13"/>
          </reference>
          <reference field="3" count="1">
            <x v="13"/>
          </reference>
        </references>
      </pivotArea>
    </format>
    <format dxfId="197">
      <pivotArea dataOnly="0" labelOnly="1" outline="0" fieldPosition="0">
        <references count="3">
          <reference field="0" count="1" selected="0">
            <x v="14"/>
          </reference>
          <reference field="2" count="1" selected="0">
            <x v="14"/>
          </reference>
          <reference field="3" count="1">
            <x v="14"/>
          </reference>
        </references>
      </pivotArea>
    </format>
    <format dxfId="196">
      <pivotArea dataOnly="0" labelOnly="1" outline="0" fieldPosition="0">
        <references count="3">
          <reference field="0" count="1" selected="0">
            <x v="15"/>
          </reference>
          <reference field="2" count="1" selected="0">
            <x v="15"/>
          </reference>
          <reference field="3" count="1">
            <x v="15"/>
          </reference>
        </references>
      </pivotArea>
    </format>
    <format dxfId="195">
      <pivotArea dataOnly="0" labelOnly="1" outline="0" fieldPosition="0">
        <references count="3">
          <reference field="0" count="1" selected="0">
            <x v="16"/>
          </reference>
          <reference field="2" count="1" selected="0">
            <x v="16"/>
          </reference>
          <reference field="3" count="1">
            <x v="16"/>
          </reference>
        </references>
      </pivotArea>
    </format>
    <format dxfId="194">
      <pivotArea dataOnly="0" labelOnly="1" outline="0" fieldPosition="0">
        <references count="3">
          <reference field="0" count="1" selected="0">
            <x v="17"/>
          </reference>
          <reference field="2" count="1" selected="0">
            <x v="17"/>
          </reference>
          <reference field="3" count="1">
            <x v="17"/>
          </reference>
        </references>
      </pivotArea>
    </format>
    <format dxfId="193">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192">
      <pivotArea dataOnly="0" labelOnly="1" outline="0" fieldPosition="0">
        <references count="1">
          <reference field="0" count="0"/>
        </references>
      </pivotArea>
    </format>
    <format dxfId="191">
      <pivotArea dataOnly="0" labelOnly="1" outline="0" fieldPosition="0">
        <references count="2">
          <reference field="0" count="1" selected="0">
            <x v="0"/>
          </reference>
          <reference field="2" count="1">
            <x v="0"/>
          </reference>
        </references>
      </pivotArea>
    </format>
    <format dxfId="190">
      <pivotArea dataOnly="0" labelOnly="1" outline="0" fieldPosition="0">
        <references count="2">
          <reference field="0" count="1" selected="0">
            <x v="1"/>
          </reference>
          <reference field="2" count="1">
            <x v="1"/>
          </reference>
        </references>
      </pivotArea>
    </format>
    <format dxfId="189">
      <pivotArea dataOnly="0" labelOnly="1" outline="0" fieldPosition="0">
        <references count="2">
          <reference field="0" count="1" selected="0">
            <x v="2"/>
          </reference>
          <reference field="2" count="1">
            <x v="2"/>
          </reference>
        </references>
      </pivotArea>
    </format>
    <format dxfId="188">
      <pivotArea dataOnly="0" labelOnly="1" outline="0" fieldPosition="0">
        <references count="2">
          <reference field="0" count="1" selected="0">
            <x v="3"/>
          </reference>
          <reference field="2" count="1">
            <x v="3"/>
          </reference>
        </references>
      </pivotArea>
    </format>
    <format dxfId="187">
      <pivotArea dataOnly="0" labelOnly="1" outline="0" fieldPosition="0">
        <references count="2">
          <reference field="0" count="1" selected="0">
            <x v="4"/>
          </reference>
          <reference field="2" count="1">
            <x v="4"/>
          </reference>
        </references>
      </pivotArea>
    </format>
    <format dxfId="186">
      <pivotArea dataOnly="0" labelOnly="1" outline="0" fieldPosition="0">
        <references count="2">
          <reference field="0" count="1" selected="0">
            <x v="5"/>
          </reference>
          <reference field="2" count="1">
            <x v="5"/>
          </reference>
        </references>
      </pivotArea>
    </format>
    <format dxfId="185">
      <pivotArea dataOnly="0" labelOnly="1" outline="0" fieldPosition="0">
        <references count="2">
          <reference field="0" count="1" selected="0">
            <x v="6"/>
          </reference>
          <reference field="2" count="1">
            <x v="6"/>
          </reference>
        </references>
      </pivotArea>
    </format>
    <format dxfId="184">
      <pivotArea dataOnly="0" labelOnly="1" outline="0" fieldPosition="0">
        <references count="2">
          <reference field="0" count="1" selected="0">
            <x v="7"/>
          </reference>
          <reference field="2" count="1">
            <x v="7"/>
          </reference>
        </references>
      </pivotArea>
    </format>
    <format dxfId="183">
      <pivotArea dataOnly="0" labelOnly="1" outline="0" fieldPosition="0">
        <references count="2">
          <reference field="0" count="1" selected="0">
            <x v="8"/>
          </reference>
          <reference field="2" count="1">
            <x v="8"/>
          </reference>
        </references>
      </pivotArea>
    </format>
    <format dxfId="182">
      <pivotArea dataOnly="0" labelOnly="1" outline="0" fieldPosition="0">
        <references count="2">
          <reference field="0" count="1" selected="0">
            <x v="9"/>
          </reference>
          <reference field="2" count="1">
            <x v="9"/>
          </reference>
        </references>
      </pivotArea>
    </format>
    <format dxfId="181">
      <pivotArea dataOnly="0" labelOnly="1" outline="0" fieldPosition="0">
        <references count="2">
          <reference field="0" count="1" selected="0">
            <x v="10"/>
          </reference>
          <reference field="2" count="1">
            <x v="10"/>
          </reference>
        </references>
      </pivotArea>
    </format>
    <format dxfId="180">
      <pivotArea dataOnly="0" labelOnly="1" outline="0" fieldPosition="0">
        <references count="2">
          <reference field="0" count="1" selected="0">
            <x v="11"/>
          </reference>
          <reference field="2" count="1">
            <x v="11"/>
          </reference>
        </references>
      </pivotArea>
    </format>
    <format dxfId="179">
      <pivotArea dataOnly="0" labelOnly="1" outline="0" fieldPosition="0">
        <references count="2">
          <reference field="0" count="1" selected="0">
            <x v="12"/>
          </reference>
          <reference field="2" count="1">
            <x v="12"/>
          </reference>
        </references>
      </pivotArea>
    </format>
    <format dxfId="178">
      <pivotArea dataOnly="0" labelOnly="1" outline="0" fieldPosition="0">
        <references count="2">
          <reference field="0" count="1" selected="0">
            <x v="13"/>
          </reference>
          <reference field="2" count="1">
            <x v="13"/>
          </reference>
        </references>
      </pivotArea>
    </format>
    <format dxfId="177">
      <pivotArea dataOnly="0" labelOnly="1" outline="0" fieldPosition="0">
        <references count="2">
          <reference field="0" count="1" selected="0">
            <x v="14"/>
          </reference>
          <reference field="2" count="1">
            <x v="14"/>
          </reference>
        </references>
      </pivotArea>
    </format>
    <format dxfId="176">
      <pivotArea dataOnly="0" labelOnly="1" outline="0" fieldPosition="0">
        <references count="2">
          <reference field="0" count="1" selected="0">
            <x v="15"/>
          </reference>
          <reference field="2" count="1">
            <x v="15"/>
          </reference>
        </references>
      </pivotArea>
    </format>
    <format dxfId="175">
      <pivotArea dataOnly="0" labelOnly="1" outline="0" fieldPosition="0">
        <references count="2">
          <reference field="0" count="1" selected="0">
            <x v="16"/>
          </reference>
          <reference field="2" count="1">
            <x v="16"/>
          </reference>
        </references>
      </pivotArea>
    </format>
    <format dxfId="174">
      <pivotArea dataOnly="0" labelOnly="1" outline="0" fieldPosition="0">
        <references count="2">
          <reference field="0" count="1" selected="0">
            <x v="17"/>
          </reference>
          <reference field="2" count="1">
            <x v="17"/>
          </reference>
        </references>
      </pivotArea>
    </format>
    <format dxfId="173">
      <pivotArea dataOnly="0" labelOnly="1" outline="0" fieldPosition="0">
        <references count="3">
          <reference field="0" count="1" selected="0">
            <x v="0"/>
          </reference>
          <reference field="2" count="1" selected="0">
            <x v="0"/>
          </reference>
          <reference field="3" count="1">
            <x v="0"/>
          </reference>
        </references>
      </pivotArea>
    </format>
    <format dxfId="172">
      <pivotArea dataOnly="0" labelOnly="1" outline="0" fieldPosition="0">
        <references count="3">
          <reference field="0" count="1" selected="0">
            <x v="1"/>
          </reference>
          <reference field="2" count="1" selected="0">
            <x v="1"/>
          </reference>
          <reference field="3" count="1">
            <x v="1"/>
          </reference>
        </references>
      </pivotArea>
    </format>
    <format dxfId="171">
      <pivotArea dataOnly="0" labelOnly="1" outline="0" fieldPosition="0">
        <references count="3">
          <reference field="0" count="1" selected="0">
            <x v="2"/>
          </reference>
          <reference field="2" count="1" selected="0">
            <x v="2"/>
          </reference>
          <reference field="3" count="1">
            <x v="2"/>
          </reference>
        </references>
      </pivotArea>
    </format>
    <format dxfId="170">
      <pivotArea dataOnly="0" labelOnly="1" outline="0" fieldPosition="0">
        <references count="3">
          <reference field="0" count="1" selected="0">
            <x v="3"/>
          </reference>
          <reference field="2" count="1" selected="0">
            <x v="3"/>
          </reference>
          <reference field="3" count="1">
            <x v="3"/>
          </reference>
        </references>
      </pivotArea>
    </format>
    <format dxfId="169">
      <pivotArea dataOnly="0" labelOnly="1" outline="0" fieldPosition="0">
        <references count="3">
          <reference field="0" count="1" selected="0">
            <x v="4"/>
          </reference>
          <reference field="2" count="1" selected="0">
            <x v="4"/>
          </reference>
          <reference field="3" count="1">
            <x v="4"/>
          </reference>
        </references>
      </pivotArea>
    </format>
    <format dxfId="168">
      <pivotArea dataOnly="0" labelOnly="1" outline="0" fieldPosition="0">
        <references count="3">
          <reference field="0" count="1" selected="0">
            <x v="5"/>
          </reference>
          <reference field="2" count="1" selected="0">
            <x v="5"/>
          </reference>
          <reference field="3" count="1">
            <x v="5"/>
          </reference>
        </references>
      </pivotArea>
    </format>
    <format dxfId="167">
      <pivotArea dataOnly="0" labelOnly="1" outline="0" fieldPosition="0">
        <references count="3">
          <reference field="0" count="1" selected="0">
            <x v="6"/>
          </reference>
          <reference field="2" count="1" selected="0">
            <x v="6"/>
          </reference>
          <reference field="3" count="1">
            <x v="6"/>
          </reference>
        </references>
      </pivotArea>
    </format>
    <format dxfId="166">
      <pivotArea dataOnly="0" labelOnly="1" outline="0" fieldPosition="0">
        <references count="3">
          <reference field="0" count="1" selected="0">
            <x v="7"/>
          </reference>
          <reference field="2" count="1" selected="0">
            <x v="7"/>
          </reference>
          <reference field="3" count="1">
            <x v="7"/>
          </reference>
        </references>
      </pivotArea>
    </format>
    <format dxfId="165">
      <pivotArea dataOnly="0" labelOnly="1" outline="0" fieldPosition="0">
        <references count="3">
          <reference field="0" count="1" selected="0">
            <x v="8"/>
          </reference>
          <reference field="2" count="1" selected="0">
            <x v="8"/>
          </reference>
          <reference field="3" count="1">
            <x v="8"/>
          </reference>
        </references>
      </pivotArea>
    </format>
    <format dxfId="164">
      <pivotArea dataOnly="0" labelOnly="1" outline="0" fieldPosition="0">
        <references count="3">
          <reference field="0" count="1" selected="0">
            <x v="9"/>
          </reference>
          <reference field="2" count="1" selected="0">
            <x v="9"/>
          </reference>
          <reference field="3" count="1">
            <x v="9"/>
          </reference>
        </references>
      </pivotArea>
    </format>
    <format dxfId="163">
      <pivotArea dataOnly="0" labelOnly="1" outline="0" fieldPosition="0">
        <references count="3">
          <reference field="0" count="1" selected="0">
            <x v="10"/>
          </reference>
          <reference field="2" count="1" selected="0">
            <x v="10"/>
          </reference>
          <reference field="3" count="1">
            <x v="10"/>
          </reference>
        </references>
      </pivotArea>
    </format>
    <format dxfId="162">
      <pivotArea dataOnly="0" labelOnly="1" outline="0" fieldPosition="0">
        <references count="3">
          <reference field="0" count="1" selected="0">
            <x v="11"/>
          </reference>
          <reference field="2" count="1" selected="0">
            <x v="11"/>
          </reference>
          <reference field="3" count="1">
            <x v="11"/>
          </reference>
        </references>
      </pivotArea>
    </format>
    <format dxfId="161">
      <pivotArea dataOnly="0" labelOnly="1" outline="0" fieldPosition="0">
        <references count="3">
          <reference field="0" count="1" selected="0">
            <x v="12"/>
          </reference>
          <reference field="2" count="1" selected="0">
            <x v="12"/>
          </reference>
          <reference field="3" count="1">
            <x v="12"/>
          </reference>
        </references>
      </pivotArea>
    </format>
    <format dxfId="160">
      <pivotArea dataOnly="0" labelOnly="1" outline="0" fieldPosition="0">
        <references count="3">
          <reference field="0" count="1" selected="0">
            <x v="13"/>
          </reference>
          <reference field="2" count="1" selected="0">
            <x v="13"/>
          </reference>
          <reference field="3" count="1">
            <x v="13"/>
          </reference>
        </references>
      </pivotArea>
    </format>
    <format dxfId="159">
      <pivotArea dataOnly="0" labelOnly="1" outline="0" fieldPosition="0">
        <references count="3">
          <reference field="0" count="1" selected="0">
            <x v="14"/>
          </reference>
          <reference field="2" count="1" selected="0">
            <x v="14"/>
          </reference>
          <reference field="3" count="1">
            <x v="14"/>
          </reference>
        </references>
      </pivotArea>
    </format>
    <format dxfId="158">
      <pivotArea dataOnly="0" labelOnly="1" outline="0" fieldPosition="0">
        <references count="3">
          <reference field="0" count="1" selected="0">
            <x v="15"/>
          </reference>
          <reference field="2" count="1" selected="0">
            <x v="15"/>
          </reference>
          <reference field="3" count="1">
            <x v="15"/>
          </reference>
        </references>
      </pivotArea>
    </format>
    <format dxfId="157">
      <pivotArea dataOnly="0" labelOnly="1" outline="0" fieldPosition="0">
        <references count="3">
          <reference field="0" count="1" selected="0">
            <x v="16"/>
          </reference>
          <reference field="2" count="1" selected="0">
            <x v="16"/>
          </reference>
          <reference field="3" count="1">
            <x v="16"/>
          </reference>
        </references>
      </pivotArea>
    </format>
    <format dxfId="156">
      <pivotArea dataOnly="0" labelOnly="1" outline="0" fieldPosition="0">
        <references count="3">
          <reference field="0" count="1" selected="0">
            <x v="17"/>
          </reference>
          <reference field="2" count="1" selected="0">
            <x v="17"/>
          </reference>
          <reference field="3" count="1">
            <x v="17"/>
          </reference>
        </references>
      </pivotArea>
    </format>
    <format dxfId="155">
      <pivotArea dataOnly="0" labelOnly="1" outline="0" fieldPosition="0">
        <references count="3">
          <reference field="0" count="1" selected="0">
            <x v="0"/>
          </reference>
          <reference field="2" count="1" selected="0">
            <x v="0"/>
          </reference>
          <reference field="3" count="1">
            <x v="0"/>
          </reference>
        </references>
      </pivotArea>
    </format>
    <format dxfId="154">
      <pivotArea dataOnly="0" labelOnly="1" outline="0" fieldPosition="0">
        <references count="3">
          <reference field="0" count="1" selected="0">
            <x v="1"/>
          </reference>
          <reference field="2" count="1" selected="0">
            <x v="1"/>
          </reference>
          <reference field="3" count="1">
            <x v="1"/>
          </reference>
        </references>
      </pivotArea>
    </format>
    <format dxfId="153">
      <pivotArea dataOnly="0" labelOnly="1" outline="0" fieldPosition="0">
        <references count="3">
          <reference field="0" count="1" selected="0">
            <x v="2"/>
          </reference>
          <reference field="2" count="1" selected="0">
            <x v="2"/>
          </reference>
          <reference field="3" count="1">
            <x v="2"/>
          </reference>
        </references>
      </pivotArea>
    </format>
    <format dxfId="152">
      <pivotArea dataOnly="0" labelOnly="1" outline="0" fieldPosition="0">
        <references count="3">
          <reference field="0" count="1" selected="0">
            <x v="3"/>
          </reference>
          <reference field="2" count="1" selected="0">
            <x v="3"/>
          </reference>
          <reference field="3" count="1">
            <x v="3"/>
          </reference>
        </references>
      </pivotArea>
    </format>
    <format dxfId="151">
      <pivotArea dataOnly="0" labelOnly="1" outline="0" fieldPosition="0">
        <references count="3">
          <reference field="0" count="1" selected="0">
            <x v="4"/>
          </reference>
          <reference field="2" count="1" selected="0">
            <x v="4"/>
          </reference>
          <reference field="3" count="1">
            <x v="4"/>
          </reference>
        </references>
      </pivotArea>
    </format>
    <format dxfId="150">
      <pivotArea dataOnly="0" labelOnly="1" outline="0" fieldPosition="0">
        <references count="3">
          <reference field="0" count="1" selected="0">
            <x v="5"/>
          </reference>
          <reference field="2" count="1" selected="0">
            <x v="5"/>
          </reference>
          <reference field="3" count="1">
            <x v="5"/>
          </reference>
        </references>
      </pivotArea>
    </format>
    <format dxfId="149">
      <pivotArea dataOnly="0" labelOnly="1" outline="0" fieldPosition="0">
        <references count="3">
          <reference field="0" count="1" selected="0">
            <x v="6"/>
          </reference>
          <reference field="2" count="1" selected="0">
            <x v="6"/>
          </reference>
          <reference field="3" count="1">
            <x v="6"/>
          </reference>
        </references>
      </pivotArea>
    </format>
    <format dxfId="148">
      <pivotArea dataOnly="0" labelOnly="1" outline="0" fieldPosition="0">
        <references count="3">
          <reference field="0" count="1" selected="0">
            <x v="7"/>
          </reference>
          <reference field="2" count="1" selected="0">
            <x v="7"/>
          </reference>
          <reference field="3" count="1">
            <x v="7"/>
          </reference>
        </references>
      </pivotArea>
    </format>
    <format dxfId="147">
      <pivotArea dataOnly="0" labelOnly="1" outline="0" fieldPosition="0">
        <references count="3">
          <reference field="0" count="1" selected="0">
            <x v="8"/>
          </reference>
          <reference field="2" count="1" selected="0">
            <x v="8"/>
          </reference>
          <reference field="3" count="1">
            <x v="8"/>
          </reference>
        </references>
      </pivotArea>
    </format>
    <format dxfId="146">
      <pivotArea dataOnly="0" labelOnly="1" outline="0" fieldPosition="0">
        <references count="3">
          <reference field="0" count="1" selected="0">
            <x v="9"/>
          </reference>
          <reference field="2" count="1" selected="0">
            <x v="9"/>
          </reference>
          <reference field="3" count="1">
            <x v="9"/>
          </reference>
        </references>
      </pivotArea>
    </format>
    <format dxfId="145">
      <pivotArea dataOnly="0" labelOnly="1" outline="0" fieldPosition="0">
        <references count="3">
          <reference field="0" count="1" selected="0">
            <x v="10"/>
          </reference>
          <reference field="2" count="1" selected="0">
            <x v="10"/>
          </reference>
          <reference field="3" count="1">
            <x v="10"/>
          </reference>
        </references>
      </pivotArea>
    </format>
    <format dxfId="144">
      <pivotArea dataOnly="0" labelOnly="1" outline="0" fieldPosition="0">
        <references count="3">
          <reference field="0" count="1" selected="0">
            <x v="11"/>
          </reference>
          <reference field="2" count="1" selected="0">
            <x v="11"/>
          </reference>
          <reference field="3" count="1">
            <x v="11"/>
          </reference>
        </references>
      </pivotArea>
    </format>
    <format dxfId="143">
      <pivotArea dataOnly="0" labelOnly="1" outline="0" fieldPosition="0">
        <references count="3">
          <reference field="0" count="1" selected="0">
            <x v="12"/>
          </reference>
          <reference field="2" count="1" selected="0">
            <x v="12"/>
          </reference>
          <reference field="3" count="1">
            <x v="12"/>
          </reference>
        </references>
      </pivotArea>
    </format>
    <format dxfId="142">
      <pivotArea dataOnly="0" labelOnly="1" outline="0" fieldPosition="0">
        <references count="3">
          <reference field="0" count="1" selected="0">
            <x v="13"/>
          </reference>
          <reference field="2" count="1" selected="0">
            <x v="13"/>
          </reference>
          <reference field="3" count="1">
            <x v="13"/>
          </reference>
        </references>
      </pivotArea>
    </format>
    <format dxfId="141">
      <pivotArea dataOnly="0" labelOnly="1" outline="0" fieldPosition="0">
        <references count="3">
          <reference field="0" count="1" selected="0">
            <x v="14"/>
          </reference>
          <reference field="2" count="1" selected="0">
            <x v="14"/>
          </reference>
          <reference field="3" count="1">
            <x v="14"/>
          </reference>
        </references>
      </pivotArea>
    </format>
    <format dxfId="140">
      <pivotArea dataOnly="0" labelOnly="1" outline="0" fieldPosition="0">
        <references count="3">
          <reference field="0" count="1" selected="0">
            <x v="15"/>
          </reference>
          <reference field="2" count="1" selected="0">
            <x v="15"/>
          </reference>
          <reference field="3" count="1">
            <x v="15"/>
          </reference>
        </references>
      </pivotArea>
    </format>
    <format dxfId="139">
      <pivotArea dataOnly="0" labelOnly="1" outline="0" fieldPosition="0">
        <references count="3">
          <reference field="0" count="1" selected="0">
            <x v="16"/>
          </reference>
          <reference field="2" count="1" selected="0">
            <x v="16"/>
          </reference>
          <reference field="3" count="1">
            <x v="16"/>
          </reference>
        </references>
      </pivotArea>
    </format>
    <format dxfId="138">
      <pivotArea dataOnly="0" labelOnly="1" outline="0" fieldPosition="0">
        <references count="3">
          <reference field="0" count="1" selected="0">
            <x v="17"/>
          </reference>
          <reference field="2" count="1" selected="0">
            <x v="17"/>
          </reference>
          <reference field="3" count="1">
            <x v="17"/>
          </reference>
        </references>
      </pivotArea>
    </format>
    <format dxfId="137">
      <pivotArea outline="0" collapsedLevelsAreSubtotals="1" fieldPosition="0"/>
    </format>
    <format dxfId="136">
      <pivotArea field="3" grandCol="1" outline="0" axis="axisRow" fieldPosition="2">
        <references count="3">
          <reference field="0" count="1" selected="0">
            <x v="10"/>
          </reference>
          <reference field="2" count="1" selected="0">
            <x v="10"/>
          </reference>
          <reference field="3" count="1" selected="0">
            <x v="10"/>
          </reference>
        </references>
      </pivotArea>
    </format>
    <format dxfId="135">
      <pivotArea field="3" type="button" dataOnly="0" labelOnly="1" outline="0" axis="axisRow" fieldPosition="2"/>
    </format>
    <format dxfId="134">
      <pivotArea dataOnly="0" labelOnly="1" outline="0" fieldPosition="0">
        <references count="3">
          <reference field="0" count="1" selected="0">
            <x v="0"/>
          </reference>
          <reference field="2" count="1" selected="0">
            <x v="0"/>
          </reference>
          <reference field="3" count="1">
            <x v="0"/>
          </reference>
        </references>
      </pivotArea>
    </format>
    <format dxfId="133">
      <pivotArea dataOnly="0" labelOnly="1" outline="0" fieldPosition="0">
        <references count="3">
          <reference field="0" count="1" selected="0">
            <x v="1"/>
          </reference>
          <reference field="2" count="1" selected="0">
            <x v="1"/>
          </reference>
          <reference field="3" count="1">
            <x v="1"/>
          </reference>
        </references>
      </pivotArea>
    </format>
    <format dxfId="132">
      <pivotArea dataOnly="0" labelOnly="1" outline="0" fieldPosition="0">
        <references count="3">
          <reference field="0" count="1" selected="0">
            <x v="2"/>
          </reference>
          <reference field="2" count="1" selected="0">
            <x v="2"/>
          </reference>
          <reference field="3" count="1">
            <x v="2"/>
          </reference>
        </references>
      </pivotArea>
    </format>
    <format dxfId="131">
      <pivotArea dataOnly="0" labelOnly="1" outline="0" fieldPosition="0">
        <references count="3">
          <reference field="0" count="1" selected="0">
            <x v="3"/>
          </reference>
          <reference field="2" count="1" selected="0">
            <x v="3"/>
          </reference>
          <reference field="3" count="1">
            <x v="3"/>
          </reference>
        </references>
      </pivotArea>
    </format>
    <format dxfId="130">
      <pivotArea dataOnly="0" labelOnly="1" outline="0" fieldPosition="0">
        <references count="3">
          <reference field="0" count="1" selected="0">
            <x v="4"/>
          </reference>
          <reference field="2" count="1" selected="0">
            <x v="4"/>
          </reference>
          <reference field="3" count="1">
            <x v="4"/>
          </reference>
        </references>
      </pivotArea>
    </format>
    <format dxfId="129">
      <pivotArea dataOnly="0" labelOnly="1" outline="0" fieldPosition="0">
        <references count="3">
          <reference field="0" count="1" selected="0">
            <x v="5"/>
          </reference>
          <reference field="2" count="1" selected="0">
            <x v="5"/>
          </reference>
          <reference field="3" count="1">
            <x v="5"/>
          </reference>
        </references>
      </pivotArea>
    </format>
    <format dxfId="128">
      <pivotArea dataOnly="0" labelOnly="1" outline="0" fieldPosition="0">
        <references count="3">
          <reference field="0" count="1" selected="0">
            <x v="6"/>
          </reference>
          <reference field="2" count="1" selected="0">
            <x v="6"/>
          </reference>
          <reference field="3" count="1">
            <x v="6"/>
          </reference>
        </references>
      </pivotArea>
    </format>
    <format dxfId="127">
      <pivotArea dataOnly="0" labelOnly="1" outline="0" fieldPosition="0">
        <references count="3">
          <reference field="0" count="1" selected="0">
            <x v="7"/>
          </reference>
          <reference field="2" count="1" selected="0">
            <x v="7"/>
          </reference>
          <reference field="3" count="1">
            <x v="7"/>
          </reference>
        </references>
      </pivotArea>
    </format>
    <format dxfId="126">
      <pivotArea dataOnly="0" labelOnly="1" outline="0" fieldPosition="0">
        <references count="3">
          <reference field="0" count="1" selected="0">
            <x v="8"/>
          </reference>
          <reference field="2" count="1" selected="0">
            <x v="8"/>
          </reference>
          <reference field="3" count="1">
            <x v="8"/>
          </reference>
        </references>
      </pivotArea>
    </format>
    <format dxfId="125">
      <pivotArea dataOnly="0" labelOnly="1" outline="0" fieldPosition="0">
        <references count="3">
          <reference field="0" count="1" selected="0">
            <x v="9"/>
          </reference>
          <reference field="2" count="1" selected="0">
            <x v="9"/>
          </reference>
          <reference field="3" count="1">
            <x v="9"/>
          </reference>
        </references>
      </pivotArea>
    </format>
    <format dxfId="124">
      <pivotArea dataOnly="0" labelOnly="1" outline="0" fieldPosition="0">
        <references count="3">
          <reference field="0" count="1" selected="0">
            <x v="10"/>
          </reference>
          <reference field="2" count="1" selected="0">
            <x v="10"/>
          </reference>
          <reference field="3" count="1">
            <x v="10"/>
          </reference>
        </references>
      </pivotArea>
    </format>
    <format dxfId="123">
      <pivotArea dataOnly="0" labelOnly="1" outline="0" fieldPosition="0">
        <references count="3">
          <reference field="0" count="1" selected="0">
            <x v="11"/>
          </reference>
          <reference field="2" count="1" selected="0">
            <x v="11"/>
          </reference>
          <reference field="3" count="1">
            <x v="11"/>
          </reference>
        </references>
      </pivotArea>
    </format>
    <format dxfId="122">
      <pivotArea dataOnly="0" labelOnly="1" outline="0" fieldPosition="0">
        <references count="3">
          <reference field="0" count="1" selected="0">
            <x v="12"/>
          </reference>
          <reference field="2" count="1" selected="0">
            <x v="12"/>
          </reference>
          <reference field="3" count="1">
            <x v="12"/>
          </reference>
        </references>
      </pivotArea>
    </format>
    <format dxfId="121">
      <pivotArea dataOnly="0" labelOnly="1" outline="0" fieldPosition="0">
        <references count="3">
          <reference field="0" count="1" selected="0">
            <x v="13"/>
          </reference>
          <reference field="2" count="1" selected="0">
            <x v="13"/>
          </reference>
          <reference field="3" count="1">
            <x v="13"/>
          </reference>
        </references>
      </pivotArea>
    </format>
    <format dxfId="120">
      <pivotArea dataOnly="0" labelOnly="1" outline="0" fieldPosition="0">
        <references count="3">
          <reference field="0" count="1" selected="0">
            <x v="14"/>
          </reference>
          <reference field="2" count="1" selected="0">
            <x v="14"/>
          </reference>
          <reference field="3" count="1">
            <x v="14"/>
          </reference>
        </references>
      </pivotArea>
    </format>
    <format dxfId="119">
      <pivotArea dataOnly="0" labelOnly="1" outline="0" fieldPosition="0">
        <references count="3">
          <reference field="0" count="1" selected="0">
            <x v="15"/>
          </reference>
          <reference field="2" count="1" selected="0">
            <x v="15"/>
          </reference>
          <reference field="3" count="1">
            <x v="15"/>
          </reference>
        </references>
      </pivotArea>
    </format>
    <format dxfId="118">
      <pivotArea dataOnly="0" labelOnly="1" outline="0" fieldPosition="0">
        <references count="3">
          <reference field="0" count="1" selected="0">
            <x v="16"/>
          </reference>
          <reference field="2" count="1" selected="0">
            <x v="16"/>
          </reference>
          <reference field="3" count="1">
            <x v="16"/>
          </reference>
        </references>
      </pivotArea>
    </format>
    <format dxfId="117">
      <pivotArea dataOnly="0" labelOnly="1" outline="0" fieldPosition="0">
        <references count="3">
          <reference field="0" count="1" selected="0">
            <x v="17"/>
          </reference>
          <reference field="2" count="1" selected="0">
            <x v="17"/>
          </reference>
          <reference field="3" count="1">
            <x v="17"/>
          </reference>
        </references>
      </pivotArea>
    </format>
    <format dxfId="116">
      <pivotArea dataOnly="0" labelOnly="1" outline="0" fieldPosition="0">
        <references count="3">
          <reference field="0" count="1" selected="0">
            <x v="8"/>
          </reference>
          <reference field="2" count="1" selected="0">
            <x v="8"/>
          </reference>
          <reference field="3" count="1">
            <x v="8"/>
          </reference>
        </references>
      </pivotArea>
    </format>
    <format dxfId="115">
      <pivotArea dataOnly="0" labelOnly="1" outline="0" fieldPosition="0">
        <references count="3">
          <reference field="0" count="1" selected="0">
            <x v="9"/>
          </reference>
          <reference field="2" count="1" selected="0">
            <x v="9"/>
          </reference>
          <reference field="3" count="1">
            <x v="9"/>
          </reference>
        </references>
      </pivotArea>
    </format>
    <format dxfId="114">
      <pivotArea dataOnly="0" labelOnly="1" outline="0" fieldPosition="0">
        <references count="3">
          <reference field="0" count="1" selected="0">
            <x v="10"/>
          </reference>
          <reference field="2" count="1" selected="0">
            <x v="10"/>
          </reference>
          <reference field="3" count="1">
            <x v="10"/>
          </reference>
        </references>
      </pivotArea>
    </format>
    <format dxfId="113">
      <pivotArea dataOnly="0" labelOnly="1" outline="0" fieldPosition="0">
        <references count="3">
          <reference field="0" count="1" selected="0">
            <x v="15"/>
          </reference>
          <reference field="2" count="1" selected="0">
            <x v="15"/>
          </reference>
          <reference field="3" count="1">
            <x v="15"/>
          </reference>
        </references>
      </pivotArea>
    </format>
    <format dxfId="11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1">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9">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8">
      <pivotArea dataOnly="0" labelOnly="1" outline="0" fieldPosition="0">
        <references count="1">
          <reference field="0" count="0"/>
        </references>
      </pivotArea>
    </format>
    <format dxfId="107">
      <pivotArea dataOnly="0" labelOnly="1" outline="0" fieldPosition="0">
        <references count="1">
          <reference field="0" count="3">
            <x v="8"/>
            <x v="9"/>
            <x v="10"/>
          </reference>
        </references>
      </pivotArea>
    </format>
    <format dxfId="106">
      <pivotArea dataOnly="0" labelOnly="1" outline="0" fieldPosition="0">
        <references count="1">
          <reference field="0" count="1">
            <x v="15"/>
          </reference>
        </references>
      </pivotArea>
    </format>
    <format dxfId="105">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4">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3">
      <pivotArea field="3" grandCol="1" outline="0" axis="axisRow" fieldPosition="2">
        <references count="3">
          <reference field="0" count="1" selected="0">
            <x v="10"/>
          </reference>
          <reference field="2" count="1" selected="0">
            <x v="10"/>
          </reference>
          <reference field="3" count="1" selected="0">
            <x v="10"/>
          </reference>
        </references>
      </pivotArea>
    </format>
    <format dxfId="102">
      <pivotArea field="3" grandCol="1" outline="0" axis="axisRow" fieldPosition="2">
        <references count="3">
          <reference field="0" count="1" selected="0">
            <x v="10"/>
          </reference>
          <reference field="2" count="1" selected="0">
            <x v="10"/>
          </reference>
          <reference field="3" count="1" selected="0">
            <x v="10"/>
          </reference>
        </references>
      </pivotArea>
    </format>
    <format dxfId="101">
      <pivotArea dataOnly="0" labelOnly="1" outline="0" fieldPosition="0">
        <references count="1">
          <reference field="0" count="0"/>
        </references>
      </pivotArea>
    </format>
    <format dxfId="100">
      <pivotArea dataOnly="0" labelOnly="1" outline="0" fieldPosition="0">
        <references count="1">
          <reference field="3" count="0"/>
        </references>
      </pivotArea>
    </format>
    <format dxfId="99">
      <pivotArea dataOnly="0" labelOnly="1" outline="0" fieldPosition="0">
        <references count="1">
          <reference field="3" count="0"/>
        </references>
      </pivotArea>
    </format>
    <format dxfId="98">
      <pivotArea dataOnly="0" labelOnly="1" outline="0" fieldPosition="0">
        <references count="1">
          <reference field="0" count="0"/>
        </references>
      </pivotArea>
    </format>
    <format dxfId="97">
      <pivotArea dataOnly="0" labelOnly="1" outline="0" fieldPosition="0">
        <references count="2">
          <reference field="0" count="1" selected="0">
            <x v="20"/>
          </reference>
          <reference field="2" count="1">
            <x v="18"/>
          </reference>
        </references>
      </pivotArea>
    </format>
    <format dxfId="96">
      <pivotArea dataOnly="0" labelOnly="1" outline="0" fieldPosition="0">
        <references count="3">
          <reference field="0" count="1" selected="0">
            <x v="20"/>
          </reference>
          <reference field="2" count="1" selected="0">
            <x v="18"/>
          </reference>
          <reference field="3" count="1">
            <x v="18"/>
          </reference>
        </references>
      </pivotArea>
    </format>
    <format dxfId="95">
      <pivotArea field="3" grandCol="1" outline="0" axis="axisRow" fieldPosition="2">
        <references count="3">
          <reference field="0" count="1" selected="0">
            <x v="10"/>
          </reference>
          <reference field="2" count="1" selected="0">
            <x v="10"/>
          </reference>
          <reference field="3" count="1" selected="0">
            <x v="10"/>
          </reference>
        </references>
      </pivotArea>
    </format>
    <format dxfId="94">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93">
      <pivotArea dataOnly="0" labelOnly="1" outline="0" fieldPosition="0">
        <references count="2">
          <reference field="0" count="1" selected="0">
            <x v="18"/>
          </reference>
          <reference field="2" count="1">
            <x v="20"/>
          </reference>
        </references>
      </pivotArea>
    </format>
    <format dxfId="92">
      <pivotArea dataOnly="0" labelOnly="1" outline="0" fieldPosition="0">
        <references count="2">
          <reference field="0" count="1" selected="0">
            <x v="19"/>
          </reference>
          <reference field="2" count="1">
            <x v="21"/>
          </reference>
        </references>
      </pivotArea>
    </format>
    <format dxfId="91">
      <pivotArea dataOnly="0" labelOnly="1" outline="0" fieldPosition="0">
        <references count="3">
          <reference field="0" count="1" selected="0">
            <x v="18"/>
          </reference>
          <reference field="2" count="1" selected="0">
            <x v="20"/>
          </reference>
          <reference field="3" count="1">
            <x v="20"/>
          </reference>
        </references>
      </pivotArea>
    </format>
    <format dxfId="90">
      <pivotArea dataOnly="0" labelOnly="1" outline="0" fieldPosition="0">
        <references count="3">
          <reference field="0" count="1" selected="0">
            <x v="19"/>
          </reference>
          <reference field="2" count="1" selected="0">
            <x v="21"/>
          </reference>
          <reference field="3" count="1">
            <x v="21"/>
          </reference>
        </references>
      </pivotArea>
    </format>
    <format dxfId="89">
      <pivotArea dataOnly="0" labelOnly="1" outline="0" fieldPosition="0">
        <references count="1">
          <reference field="0" count="20">
            <x v="0"/>
            <x v="1"/>
            <x v="2"/>
            <x v="3"/>
            <x v="4"/>
            <x v="5"/>
            <x v="6"/>
            <x v="7"/>
            <x v="8"/>
            <x v="9"/>
            <x v="10"/>
            <x v="11"/>
            <x v="12"/>
            <x v="13"/>
            <x v="14"/>
            <x v="15"/>
            <x v="16"/>
            <x v="17"/>
            <x v="18"/>
            <x v="19"/>
          </reference>
        </references>
      </pivotArea>
    </format>
    <format dxfId="88">
      <pivotArea field="0" type="button" dataOnly="0" labelOnly="1" outline="0" axis="axisRow" fieldPosition="0"/>
    </format>
    <format dxfId="87">
      <pivotArea dataOnly="0" labelOnly="1" outline="0" fieldPosition="0">
        <references count="1">
          <reference field="0" count="20">
            <x v="0"/>
            <x v="1"/>
            <x v="2"/>
            <x v="3"/>
            <x v="4"/>
            <x v="5"/>
            <x v="6"/>
            <x v="7"/>
            <x v="8"/>
            <x v="9"/>
            <x v="10"/>
            <x v="11"/>
            <x v="12"/>
            <x v="13"/>
            <x v="14"/>
            <x v="15"/>
            <x v="16"/>
            <x v="17"/>
            <x v="18"/>
            <x v="19"/>
          </reference>
        </references>
      </pivotArea>
    </format>
    <format dxfId="86">
      <pivotArea outline="0" fieldPosition="0">
        <references count="3">
          <reference field="0" count="1" selected="0">
            <x v="20"/>
          </reference>
          <reference field="2" count="1" selected="0">
            <x v="18"/>
          </reference>
          <reference field="3" count="1" selected="0">
            <x v="18"/>
          </reference>
        </references>
      </pivotArea>
    </format>
    <format dxfId="85">
      <pivotArea dataOnly="0" labelOnly="1" outline="0" fieldPosition="0">
        <references count="1">
          <reference field="0" count="21">
            <x v="0"/>
            <x v="1"/>
            <x v="2"/>
            <x v="3"/>
            <x v="4"/>
            <x v="5"/>
            <x v="6"/>
            <x v="7"/>
            <x v="8"/>
            <x v="9"/>
            <x v="10"/>
            <x v="11"/>
            <x v="12"/>
            <x v="13"/>
            <x v="14"/>
            <x v="15"/>
            <x v="16"/>
            <x v="17"/>
            <x v="18"/>
            <x v="19"/>
            <x v="20"/>
          </reference>
        </references>
      </pivotArea>
    </format>
    <format dxfId="84">
      <pivotArea dataOnly="0" labelOnly="1" outline="0" fieldPosition="0">
        <references count="2">
          <reference field="0" count="1" selected="0">
            <x v="0"/>
          </reference>
          <reference field="2" count="1">
            <x v="0"/>
          </reference>
        </references>
      </pivotArea>
    </format>
    <format dxfId="83">
      <pivotArea dataOnly="0" labelOnly="1" outline="0" fieldPosition="0">
        <references count="2">
          <reference field="0" count="1" selected="0">
            <x v="1"/>
          </reference>
          <reference field="2" count="1">
            <x v="1"/>
          </reference>
        </references>
      </pivotArea>
    </format>
    <format dxfId="82">
      <pivotArea dataOnly="0" labelOnly="1" outline="0" fieldPosition="0">
        <references count="2">
          <reference field="0" count="1" selected="0">
            <x v="2"/>
          </reference>
          <reference field="2" count="1">
            <x v="2"/>
          </reference>
        </references>
      </pivotArea>
    </format>
    <format dxfId="81">
      <pivotArea dataOnly="0" labelOnly="1" outline="0" fieldPosition="0">
        <references count="2">
          <reference field="0" count="1" selected="0">
            <x v="3"/>
          </reference>
          <reference field="2" count="1">
            <x v="3"/>
          </reference>
        </references>
      </pivotArea>
    </format>
    <format dxfId="80">
      <pivotArea dataOnly="0" labelOnly="1" outline="0" fieldPosition="0">
        <references count="2">
          <reference field="0" count="1" selected="0">
            <x v="4"/>
          </reference>
          <reference field="2" count="1">
            <x v="4"/>
          </reference>
        </references>
      </pivotArea>
    </format>
    <format dxfId="79">
      <pivotArea dataOnly="0" labelOnly="1" outline="0" fieldPosition="0">
        <references count="2">
          <reference field="0" count="1" selected="0">
            <x v="5"/>
          </reference>
          <reference field="2" count="1">
            <x v="5"/>
          </reference>
        </references>
      </pivotArea>
    </format>
    <format dxfId="78">
      <pivotArea dataOnly="0" labelOnly="1" outline="0" fieldPosition="0">
        <references count="2">
          <reference field="0" count="1" selected="0">
            <x v="6"/>
          </reference>
          <reference field="2" count="1">
            <x v="6"/>
          </reference>
        </references>
      </pivotArea>
    </format>
    <format dxfId="77">
      <pivotArea dataOnly="0" labelOnly="1" outline="0" fieldPosition="0">
        <references count="2">
          <reference field="0" count="1" selected="0">
            <x v="7"/>
          </reference>
          <reference field="2" count="1">
            <x v="7"/>
          </reference>
        </references>
      </pivotArea>
    </format>
    <format dxfId="76">
      <pivotArea dataOnly="0" labelOnly="1" outline="0" fieldPosition="0">
        <references count="2">
          <reference field="0" count="1" selected="0">
            <x v="8"/>
          </reference>
          <reference field="2" count="1">
            <x v="8"/>
          </reference>
        </references>
      </pivotArea>
    </format>
    <format dxfId="75">
      <pivotArea dataOnly="0" labelOnly="1" outline="0" fieldPosition="0">
        <references count="2">
          <reference field="0" count="1" selected="0">
            <x v="9"/>
          </reference>
          <reference field="2" count="1">
            <x v="9"/>
          </reference>
        </references>
      </pivotArea>
    </format>
    <format dxfId="74">
      <pivotArea dataOnly="0" labelOnly="1" outline="0" fieldPosition="0">
        <references count="2">
          <reference field="0" count="1" selected="0">
            <x v="10"/>
          </reference>
          <reference field="2" count="1">
            <x v="10"/>
          </reference>
        </references>
      </pivotArea>
    </format>
    <format dxfId="73">
      <pivotArea dataOnly="0" labelOnly="1" outline="0" fieldPosition="0">
        <references count="2">
          <reference field="0" count="1" selected="0">
            <x v="11"/>
          </reference>
          <reference field="2" count="1">
            <x v="11"/>
          </reference>
        </references>
      </pivotArea>
    </format>
    <format dxfId="72">
      <pivotArea dataOnly="0" labelOnly="1" outline="0" fieldPosition="0">
        <references count="2">
          <reference field="0" count="1" selected="0">
            <x v="12"/>
          </reference>
          <reference field="2" count="1">
            <x v="12"/>
          </reference>
        </references>
      </pivotArea>
    </format>
    <format dxfId="71">
      <pivotArea dataOnly="0" labelOnly="1" outline="0" fieldPosition="0">
        <references count="2">
          <reference field="0" count="1" selected="0">
            <x v="13"/>
          </reference>
          <reference field="2" count="1">
            <x v="13"/>
          </reference>
        </references>
      </pivotArea>
    </format>
    <format dxfId="70">
      <pivotArea dataOnly="0" labelOnly="1" outline="0" fieldPosition="0">
        <references count="2">
          <reference field="0" count="1" selected="0">
            <x v="14"/>
          </reference>
          <reference field="2" count="1">
            <x v="14"/>
          </reference>
        </references>
      </pivotArea>
    </format>
    <format dxfId="69">
      <pivotArea dataOnly="0" labelOnly="1" outline="0" fieldPosition="0">
        <references count="2">
          <reference field="0" count="1" selected="0">
            <x v="15"/>
          </reference>
          <reference field="2" count="1">
            <x v="15"/>
          </reference>
        </references>
      </pivotArea>
    </format>
    <format dxfId="68">
      <pivotArea dataOnly="0" labelOnly="1" outline="0" fieldPosition="0">
        <references count="2">
          <reference field="0" count="1" selected="0">
            <x v="16"/>
          </reference>
          <reference field="2" count="1">
            <x v="16"/>
          </reference>
        </references>
      </pivotArea>
    </format>
    <format dxfId="67">
      <pivotArea dataOnly="0" labelOnly="1" outline="0" fieldPosition="0">
        <references count="2">
          <reference field="0" count="1" selected="0">
            <x v="17"/>
          </reference>
          <reference field="2" count="1">
            <x v="17"/>
          </reference>
        </references>
      </pivotArea>
    </format>
    <format dxfId="66">
      <pivotArea dataOnly="0" labelOnly="1" outline="0" fieldPosition="0">
        <references count="2">
          <reference field="0" count="1" selected="0">
            <x v="18"/>
          </reference>
          <reference field="2" count="1">
            <x v="20"/>
          </reference>
        </references>
      </pivotArea>
    </format>
    <format dxfId="65">
      <pivotArea dataOnly="0" labelOnly="1" outline="0" fieldPosition="0">
        <references count="2">
          <reference field="0" count="1" selected="0">
            <x v="19"/>
          </reference>
          <reference field="2" count="1">
            <x v="21"/>
          </reference>
        </references>
      </pivotArea>
    </format>
    <format dxfId="64">
      <pivotArea dataOnly="0" labelOnly="1" outline="0" fieldPosition="0">
        <references count="2">
          <reference field="0" count="1" selected="0">
            <x v="20"/>
          </reference>
          <reference field="2" count="1">
            <x v="18"/>
          </reference>
        </references>
      </pivotArea>
    </format>
    <format dxfId="63">
      <pivotArea dataOnly="0" labelOnly="1" outline="0" fieldPosition="0">
        <references count="3">
          <reference field="0" count="1" selected="0">
            <x v="0"/>
          </reference>
          <reference field="2" count="1" selected="0">
            <x v="0"/>
          </reference>
          <reference field="3" count="1">
            <x v="0"/>
          </reference>
        </references>
      </pivotArea>
    </format>
    <format dxfId="62">
      <pivotArea dataOnly="0" labelOnly="1" outline="0" fieldPosition="0">
        <references count="3">
          <reference field="0" count="1" selected="0">
            <x v="1"/>
          </reference>
          <reference field="2" count="1" selected="0">
            <x v="1"/>
          </reference>
          <reference field="3" count="1">
            <x v="1"/>
          </reference>
        </references>
      </pivotArea>
    </format>
    <format dxfId="61">
      <pivotArea dataOnly="0" labelOnly="1" outline="0" fieldPosition="0">
        <references count="3">
          <reference field="0" count="1" selected="0">
            <x v="2"/>
          </reference>
          <reference field="2" count="1" selected="0">
            <x v="2"/>
          </reference>
          <reference field="3" count="1">
            <x v="2"/>
          </reference>
        </references>
      </pivotArea>
    </format>
    <format dxfId="60">
      <pivotArea dataOnly="0" labelOnly="1" outline="0" fieldPosition="0">
        <references count="3">
          <reference field="0" count="1" selected="0">
            <x v="3"/>
          </reference>
          <reference field="2" count="1" selected="0">
            <x v="3"/>
          </reference>
          <reference field="3" count="1">
            <x v="3"/>
          </reference>
        </references>
      </pivotArea>
    </format>
    <format dxfId="59">
      <pivotArea dataOnly="0" labelOnly="1" outline="0" fieldPosition="0">
        <references count="3">
          <reference field="0" count="1" selected="0">
            <x v="4"/>
          </reference>
          <reference field="2" count="1" selected="0">
            <x v="4"/>
          </reference>
          <reference field="3" count="1">
            <x v="4"/>
          </reference>
        </references>
      </pivotArea>
    </format>
    <format dxfId="58">
      <pivotArea dataOnly="0" labelOnly="1" outline="0" fieldPosition="0">
        <references count="3">
          <reference field="0" count="1" selected="0">
            <x v="5"/>
          </reference>
          <reference field="2" count="1" selected="0">
            <x v="5"/>
          </reference>
          <reference field="3" count="1">
            <x v="5"/>
          </reference>
        </references>
      </pivotArea>
    </format>
    <format dxfId="57">
      <pivotArea dataOnly="0" labelOnly="1" outline="0" fieldPosition="0">
        <references count="3">
          <reference field="0" count="1" selected="0">
            <x v="6"/>
          </reference>
          <reference field="2" count="1" selected="0">
            <x v="6"/>
          </reference>
          <reference field="3" count="1">
            <x v="6"/>
          </reference>
        </references>
      </pivotArea>
    </format>
    <format dxfId="56">
      <pivotArea dataOnly="0" labelOnly="1" outline="0" fieldPosition="0">
        <references count="3">
          <reference field="0" count="1" selected="0">
            <x v="7"/>
          </reference>
          <reference field="2" count="1" selected="0">
            <x v="7"/>
          </reference>
          <reference field="3" count="1">
            <x v="7"/>
          </reference>
        </references>
      </pivotArea>
    </format>
    <format dxfId="55">
      <pivotArea dataOnly="0" labelOnly="1" outline="0" fieldPosition="0">
        <references count="3">
          <reference field="0" count="1" selected="0">
            <x v="8"/>
          </reference>
          <reference field="2" count="1" selected="0">
            <x v="8"/>
          </reference>
          <reference field="3" count="1">
            <x v="8"/>
          </reference>
        </references>
      </pivotArea>
    </format>
    <format dxfId="54">
      <pivotArea dataOnly="0" labelOnly="1" outline="0" fieldPosition="0">
        <references count="3">
          <reference field="0" count="1" selected="0">
            <x v="9"/>
          </reference>
          <reference field="2" count="1" selected="0">
            <x v="9"/>
          </reference>
          <reference field="3" count="1">
            <x v="9"/>
          </reference>
        </references>
      </pivotArea>
    </format>
    <format dxfId="53">
      <pivotArea dataOnly="0" labelOnly="1" outline="0" fieldPosition="0">
        <references count="3">
          <reference field="0" count="1" selected="0">
            <x v="10"/>
          </reference>
          <reference field="2" count="1" selected="0">
            <x v="10"/>
          </reference>
          <reference field="3" count="1">
            <x v="10"/>
          </reference>
        </references>
      </pivotArea>
    </format>
    <format dxfId="52">
      <pivotArea dataOnly="0" labelOnly="1" outline="0" fieldPosition="0">
        <references count="3">
          <reference field="0" count="1" selected="0">
            <x v="11"/>
          </reference>
          <reference field="2" count="1" selected="0">
            <x v="11"/>
          </reference>
          <reference field="3" count="1">
            <x v="11"/>
          </reference>
        </references>
      </pivotArea>
    </format>
    <format dxfId="51">
      <pivotArea dataOnly="0" labelOnly="1" outline="0" fieldPosition="0">
        <references count="3">
          <reference field="0" count="1" selected="0">
            <x v="12"/>
          </reference>
          <reference field="2" count="1" selected="0">
            <x v="12"/>
          </reference>
          <reference field="3" count="1">
            <x v="12"/>
          </reference>
        </references>
      </pivotArea>
    </format>
    <format dxfId="50">
      <pivotArea dataOnly="0" labelOnly="1" outline="0" fieldPosition="0">
        <references count="3">
          <reference field="0" count="1" selected="0">
            <x v="13"/>
          </reference>
          <reference field="2" count="1" selected="0">
            <x v="13"/>
          </reference>
          <reference field="3" count="1">
            <x v="13"/>
          </reference>
        </references>
      </pivotArea>
    </format>
    <format dxfId="49">
      <pivotArea dataOnly="0" labelOnly="1" outline="0" fieldPosition="0">
        <references count="3">
          <reference field="0" count="1" selected="0">
            <x v="14"/>
          </reference>
          <reference field="2" count="1" selected="0">
            <x v="14"/>
          </reference>
          <reference field="3" count="1">
            <x v="14"/>
          </reference>
        </references>
      </pivotArea>
    </format>
    <format dxfId="48">
      <pivotArea dataOnly="0" labelOnly="1" outline="0" fieldPosition="0">
        <references count="3">
          <reference field="0" count="1" selected="0">
            <x v="15"/>
          </reference>
          <reference field="2" count="1" selected="0">
            <x v="15"/>
          </reference>
          <reference field="3" count="1">
            <x v="15"/>
          </reference>
        </references>
      </pivotArea>
    </format>
    <format dxfId="47">
      <pivotArea dataOnly="0" labelOnly="1" outline="0" fieldPosition="0">
        <references count="3">
          <reference field="0" count="1" selected="0">
            <x v="16"/>
          </reference>
          <reference field="2" count="1" selected="0">
            <x v="16"/>
          </reference>
          <reference field="3" count="1">
            <x v="16"/>
          </reference>
        </references>
      </pivotArea>
    </format>
    <format dxfId="46">
      <pivotArea dataOnly="0" labelOnly="1" outline="0" fieldPosition="0">
        <references count="3">
          <reference field="0" count="1" selected="0">
            <x v="17"/>
          </reference>
          <reference field="2" count="1" selected="0">
            <x v="17"/>
          </reference>
          <reference field="3" count="1">
            <x v="17"/>
          </reference>
        </references>
      </pivotArea>
    </format>
    <format dxfId="45">
      <pivotArea dataOnly="0" labelOnly="1" outline="0" fieldPosition="0">
        <references count="3">
          <reference field="0" count="1" selected="0">
            <x v="18"/>
          </reference>
          <reference field="2" count="1" selected="0">
            <x v="20"/>
          </reference>
          <reference field="3" count="1">
            <x v="20"/>
          </reference>
        </references>
      </pivotArea>
    </format>
    <format dxfId="44">
      <pivotArea dataOnly="0" labelOnly="1" outline="0" fieldPosition="0">
        <references count="3">
          <reference field="0" count="1" selected="0">
            <x v="19"/>
          </reference>
          <reference field="2" count="1" selected="0">
            <x v="21"/>
          </reference>
          <reference field="3" count="1">
            <x v="21"/>
          </reference>
        </references>
      </pivotArea>
    </format>
    <format dxfId="43">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2"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1"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5.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5.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s://wdfw.wa.gov/sites/default/files/2022-12/2023-spring-summer-forecasts.pdf"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3.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ivotTable" Target="../pivotTables/pivotTable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ivotTable" Target="../pivotTables/pivotTable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6.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5.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5.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7.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2" t="s">
        <v>0</v>
      </c>
      <c r="B1" s="1452" t="s">
        <v>1</v>
      </c>
      <c r="C1" s="1454" t="s">
        <v>2</v>
      </c>
      <c r="D1" s="1454" t="s">
        <v>3</v>
      </c>
      <c r="E1" s="1455" t="s">
        <v>4</v>
      </c>
      <c r="F1" s="1455"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2">
        <v>1992</v>
      </c>
      <c r="B9" s="1107">
        <v>177380.47</v>
      </c>
      <c r="C9" s="1107">
        <v>463.91148347490662</v>
      </c>
      <c r="D9" s="1453">
        <v>2.6153470191780789E-3</v>
      </c>
      <c r="E9" s="1107">
        <v>473.29361657469013</v>
      </c>
      <c r="F9" s="1453">
        <v>2.6682397254595737E-3</v>
      </c>
      <c r="H9" s="2349" t="s">
        <v>6</v>
      </c>
      <c r="I9" s="2349"/>
      <c r="J9" s="2349"/>
      <c r="K9" s="2349"/>
      <c r="L9" s="2349"/>
      <c r="M9" s="2349"/>
      <c r="N9" s="2349"/>
      <c r="O9" s="2349"/>
      <c r="P9" s="2349"/>
    </row>
    <row r="10" spans="1:16" x14ac:dyDescent="0.3">
      <c r="A10" s="1072">
        <v>1993</v>
      </c>
      <c r="B10" s="1107">
        <v>1479534.14</v>
      </c>
      <c r="C10" s="1107">
        <v>4225.3569691834109</v>
      </c>
      <c r="D10" s="1453">
        <v>2.8558698680541507E-3</v>
      </c>
      <c r="E10" s="1107">
        <v>4596.3120778979292</v>
      </c>
      <c r="F10" s="1453">
        <v>3.1065941323246042E-3</v>
      </c>
      <c r="H10" s="2349"/>
      <c r="I10" s="2349"/>
      <c r="J10" s="2349"/>
      <c r="K10" s="2349"/>
      <c r="L10" s="2349"/>
      <c r="M10" s="2349"/>
      <c r="N10" s="2349"/>
      <c r="O10" s="2349"/>
      <c r="P10" s="2349"/>
    </row>
    <row r="11" spans="1:16" x14ac:dyDescent="0.3">
      <c r="A11" s="1072">
        <v>1994</v>
      </c>
      <c r="B11" s="1107">
        <v>694473.36800000002</v>
      </c>
      <c r="C11" s="1107">
        <v>24415.668000658876</v>
      </c>
      <c r="D11" s="1453">
        <v>3.5157097630645034E-2</v>
      </c>
      <c r="E11" s="1107">
        <v>24755.589899889495</v>
      </c>
      <c r="F11" s="1453">
        <v>3.5646564779269543E-2</v>
      </c>
      <c r="H11" s="2349"/>
      <c r="I11" s="2349"/>
      <c r="J11" s="2349"/>
      <c r="K11" s="2349"/>
      <c r="L11" s="2349"/>
      <c r="M11" s="2349"/>
      <c r="N11" s="2349"/>
      <c r="O11" s="2349"/>
      <c r="P11" s="2349"/>
    </row>
    <row r="12" spans="1:16" x14ac:dyDescent="0.3">
      <c r="A12">
        <v>1995</v>
      </c>
      <c r="B12" s="444">
        <v>979216.21</v>
      </c>
      <c r="C12" s="444">
        <v>37606.193407948944</v>
      </c>
      <c r="D12" s="512">
        <v>3.8404382018909743E-2</v>
      </c>
      <c r="E12" s="444">
        <v>37606.193407948944</v>
      </c>
      <c r="F12" s="512">
        <v>3.8404382018909743E-2</v>
      </c>
      <c r="H12" s="2349"/>
      <c r="I12" s="2349"/>
      <c r="J12" s="2349"/>
      <c r="K12" s="2349"/>
      <c r="L12" s="2349"/>
      <c r="M12" s="2349"/>
      <c r="N12" s="2349"/>
      <c r="O12" s="2349"/>
      <c r="P12" s="2349"/>
    </row>
    <row r="13" spans="1:16" x14ac:dyDescent="0.3">
      <c r="A13">
        <v>1996</v>
      </c>
      <c r="B13" s="444">
        <v>140210.13</v>
      </c>
      <c r="C13" s="444">
        <v>7166.2765720218649</v>
      </c>
      <c r="D13" s="512">
        <v>5.1110975876150065E-2</v>
      </c>
      <c r="E13" s="444">
        <v>7166.2765720218649</v>
      </c>
      <c r="F13" s="512">
        <v>5.1110975876150065E-2</v>
      </c>
      <c r="H13" s="2349"/>
      <c r="I13" s="2349"/>
      <c r="J13" s="2349"/>
      <c r="K13" s="2349"/>
      <c r="L13" s="2349"/>
      <c r="M13" s="2349"/>
      <c r="N13" s="2349"/>
      <c r="O13" s="2349"/>
      <c r="P13" s="2349"/>
    </row>
    <row r="14" spans="1:16" x14ac:dyDescent="0.3">
      <c r="A14" s="1072">
        <v>1997</v>
      </c>
      <c r="B14" s="1107">
        <v>379994.25400000002</v>
      </c>
      <c r="C14" s="1107">
        <v>14645.062023217102</v>
      </c>
      <c r="D14" s="1453">
        <v>3.8540219671892993E-2</v>
      </c>
      <c r="E14" s="1107">
        <v>16278.250774596998</v>
      </c>
      <c r="F14" s="1453">
        <v>4.2838149796330861E-2</v>
      </c>
      <c r="H14" s="2349"/>
      <c r="I14" s="2349"/>
      <c r="J14" s="2349"/>
      <c r="K14" s="2349"/>
      <c r="L14" s="2349"/>
      <c r="M14" s="2349"/>
      <c r="N14" s="2349"/>
      <c r="O14" s="2349"/>
      <c r="P14" s="2349"/>
    </row>
    <row r="15" spans="1:16" x14ac:dyDescent="0.3">
      <c r="A15" s="1072">
        <v>1998</v>
      </c>
      <c r="B15" s="1107">
        <v>1209167</v>
      </c>
      <c r="C15" s="1107">
        <v>69021.006306359996</v>
      </c>
      <c r="D15" s="1453">
        <v>5.7081450541041884E-2</v>
      </c>
      <c r="E15" s="1107">
        <v>69313.402879045214</v>
      </c>
      <c r="F15" s="1453">
        <v>5.7323267074808705E-2</v>
      </c>
      <c r="H15" s="2349"/>
      <c r="I15" s="2349"/>
      <c r="J15" s="2349"/>
      <c r="K15" s="2349"/>
      <c r="L15" s="2349"/>
      <c r="M15" s="2349"/>
      <c r="N15" s="2349"/>
      <c r="O15" s="2349"/>
      <c r="P15" s="2349"/>
    </row>
    <row r="16" spans="1:16" x14ac:dyDescent="0.3">
      <c r="A16">
        <v>1999</v>
      </c>
      <c r="B16" s="444">
        <v>3099743</v>
      </c>
      <c r="C16" s="444">
        <v>95641.66668127208</v>
      </c>
      <c r="D16" s="512">
        <v>3.0854708497211569E-2</v>
      </c>
      <c r="E16" s="444">
        <v>95641.66668127208</v>
      </c>
      <c r="F16" s="512">
        <v>3.0854708497211569E-2</v>
      </c>
      <c r="H16" s="2349"/>
      <c r="I16" s="2349"/>
      <c r="J16" s="2349"/>
      <c r="K16" s="2349"/>
      <c r="L16" s="2349"/>
      <c r="M16" s="2349"/>
      <c r="N16" s="2349"/>
      <c r="O16" s="2349"/>
      <c r="P16" s="2349"/>
    </row>
    <row r="17" spans="1:16" x14ac:dyDescent="0.3">
      <c r="A17">
        <v>2000</v>
      </c>
      <c r="B17" s="444">
        <v>281333</v>
      </c>
      <c r="C17" s="444">
        <v>17280.350382361452</v>
      </c>
      <c r="D17" s="512">
        <v>6.1423119159008902E-2</v>
      </c>
      <c r="E17" s="444">
        <v>17280.350382361452</v>
      </c>
      <c r="F17" s="512">
        <v>6.1423119159008902E-2</v>
      </c>
      <c r="H17" s="2349"/>
      <c r="I17" s="2349"/>
      <c r="J17" s="2349"/>
      <c r="K17" s="2349"/>
      <c r="L17" s="2349"/>
      <c r="M17" s="2349"/>
      <c r="N17" s="2349"/>
      <c r="O17" s="2349"/>
      <c r="P17" s="2349"/>
    </row>
    <row r="18" spans="1:16" x14ac:dyDescent="0.3">
      <c r="A18">
        <v>2001</v>
      </c>
      <c r="B18" s="444">
        <v>1446600</v>
      </c>
      <c r="C18" s="444">
        <v>31742.973712706382</v>
      </c>
      <c r="D18" s="512">
        <v>2.1943158933158013E-2</v>
      </c>
      <c r="E18" s="444">
        <v>31742.973712706382</v>
      </c>
      <c r="F18" s="512">
        <v>2.1943158933158013E-2</v>
      </c>
      <c r="H18" s="2349"/>
      <c r="I18" s="2349"/>
      <c r="J18" s="2349"/>
      <c r="K18" s="2349"/>
      <c r="L18" s="2349"/>
      <c r="M18" s="2349"/>
      <c r="N18" s="2349"/>
      <c r="O18" s="2349"/>
      <c r="P18" s="2349"/>
    </row>
    <row r="19" spans="1:16" x14ac:dyDescent="0.3">
      <c r="A19">
        <v>2002</v>
      </c>
      <c r="B19" s="444">
        <v>2927009</v>
      </c>
      <c r="C19" s="444">
        <v>97613.182944087835</v>
      </c>
      <c r="D19" s="512">
        <v>3.3349122925173044E-2</v>
      </c>
      <c r="E19" s="444">
        <v>97613.182944087835</v>
      </c>
      <c r="F19" s="512">
        <v>3.3349122925173044E-2</v>
      </c>
      <c r="H19" s="2349"/>
      <c r="I19" s="2349"/>
      <c r="J19" s="2349"/>
      <c r="K19" s="2349"/>
      <c r="L19" s="2349"/>
      <c r="M19" s="2349"/>
      <c r="N19" s="2349"/>
      <c r="O19" s="2349"/>
      <c r="P19" s="2349"/>
    </row>
    <row r="20" spans="1:16" x14ac:dyDescent="0.3">
      <c r="A20" s="1072">
        <v>2003</v>
      </c>
      <c r="B20" s="1107">
        <v>2080978</v>
      </c>
      <c r="C20" s="1107">
        <v>62950.560315140756</v>
      </c>
      <c r="D20" s="1453">
        <v>3.0250468921411353E-2</v>
      </c>
      <c r="E20" s="1107">
        <v>62959.553860956228</v>
      </c>
      <c r="F20" s="1453">
        <v>3.0254790709443459E-2</v>
      </c>
      <c r="H20" s="2349"/>
      <c r="I20" s="2349"/>
      <c r="J20" s="2349"/>
      <c r="K20" s="2349"/>
      <c r="L20" s="2349"/>
      <c r="M20" s="2349"/>
      <c r="N20" s="2349"/>
      <c r="O20" s="2349"/>
      <c r="P20" s="2349"/>
    </row>
    <row r="21" spans="1:16" x14ac:dyDescent="0.3">
      <c r="A21" s="1072">
        <v>2004</v>
      </c>
      <c r="B21" s="1107">
        <v>627855</v>
      </c>
      <c r="C21" s="1107">
        <v>28450.326982752053</v>
      </c>
      <c r="D21" s="1453">
        <v>4.5313530962964463E-2</v>
      </c>
      <c r="E21" s="1107">
        <v>28891.010727710127</v>
      </c>
      <c r="F21" s="1453">
        <v>4.601541873157039E-2</v>
      </c>
      <c r="H21" s="2349"/>
      <c r="I21" s="2349"/>
      <c r="J21" s="2349"/>
      <c r="K21" s="2349"/>
      <c r="L21" s="2349"/>
      <c r="M21" s="2349"/>
      <c r="N21" s="2349"/>
      <c r="O21" s="2349"/>
      <c r="P21" s="2349"/>
    </row>
    <row r="22" spans="1:16" x14ac:dyDescent="0.3">
      <c r="A22" s="1072">
        <v>2005</v>
      </c>
      <c r="B22" s="1107">
        <v>735805</v>
      </c>
      <c r="C22" s="1107">
        <v>15204.476795254612</v>
      </c>
      <c r="D22" s="1453">
        <v>2.0663731281052197E-2</v>
      </c>
      <c r="E22" s="1107">
        <v>16814.321496223911</v>
      </c>
      <c r="F22" s="1453">
        <v>2.2851599943223968E-2</v>
      </c>
      <c r="H22" s="2349"/>
      <c r="I22" s="2349"/>
      <c r="J22" s="2349"/>
      <c r="K22" s="2349"/>
      <c r="L22" s="2349"/>
      <c r="M22" s="2349"/>
      <c r="N22" s="2349"/>
      <c r="O22" s="2349"/>
      <c r="P22" s="2349"/>
    </row>
    <row r="23" spans="1:16" x14ac:dyDescent="0.3">
      <c r="A23" s="1072">
        <v>2006</v>
      </c>
      <c r="B23" s="1107">
        <v>1783500</v>
      </c>
      <c r="C23" s="1107">
        <v>186185.67433106541</v>
      </c>
      <c r="D23" s="1453">
        <v>0.10439342547298314</v>
      </c>
      <c r="E23" s="1107">
        <v>187156.97727913628</v>
      </c>
      <c r="F23" s="1453">
        <v>0.10493803043405454</v>
      </c>
      <c r="H23" s="2349"/>
      <c r="I23" s="2349"/>
      <c r="J23" s="2349"/>
      <c r="K23" s="2349"/>
      <c r="L23" s="2349"/>
      <c r="M23" s="2349"/>
      <c r="N23" s="2349"/>
      <c r="O23" s="2349"/>
      <c r="P23" s="2349"/>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366" t="s">
        <v>8</v>
      </c>
      <c r="B1" s="2367"/>
      <c r="C1" s="2368"/>
    </row>
    <row r="2" spans="1:3" ht="15" thickBot="1" x14ac:dyDescent="0.35">
      <c r="A2" s="243" t="s">
        <v>9</v>
      </c>
      <c r="B2" s="251" t="s">
        <v>10</v>
      </c>
      <c r="C2" s="252" t="s">
        <v>11</v>
      </c>
    </row>
    <row r="3" spans="1:3" ht="21.6" customHeight="1" thickBot="1" x14ac:dyDescent="0.35">
      <c r="A3" s="2389" t="s">
        <v>12</v>
      </c>
      <c r="B3" s="307" t="s">
        <v>13</v>
      </c>
      <c r="C3" s="253" t="s">
        <v>14</v>
      </c>
    </row>
    <row r="4" spans="1:3" ht="18.600000000000001" thickBot="1" x14ac:dyDescent="0.35">
      <c r="A4" s="2390"/>
      <c r="B4" s="245" t="s">
        <v>15</v>
      </c>
      <c r="C4" s="254" t="s">
        <v>16</v>
      </c>
    </row>
    <row r="5" spans="1:3" x14ac:dyDescent="0.3">
      <c r="A5" s="2390"/>
      <c r="B5" s="2383" t="s">
        <v>17</v>
      </c>
      <c r="C5" s="258" t="s">
        <v>18</v>
      </c>
    </row>
    <row r="6" spans="1:3" ht="28.8" x14ac:dyDescent="0.3">
      <c r="A6" s="2390"/>
      <c r="B6" s="2384"/>
      <c r="C6" s="259" t="s">
        <v>19</v>
      </c>
    </row>
    <row r="7" spans="1:3" ht="15" thickBot="1" x14ac:dyDescent="0.35">
      <c r="A7" s="2390"/>
      <c r="B7" s="2385"/>
      <c r="C7" s="260" t="s">
        <v>20</v>
      </c>
    </row>
    <row r="8" spans="1:3" ht="28.8" x14ac:dyDescent="0.3">
      <c r="A8" s="2390"/>
      <c r="B8" s="2386" t="s">
        <v>21</v>
      </c>
      <c r="C8" s="261" t="s">
        <v>22</v>
      </c>
    </row>
    <row r="9" spans="1:3" x14ac:dyDescent="0.3">
      <c r="A9" s="2390"/>
      <c r="B9" s="2387"/>
      <c r="C9" s="268" t="s">
        <v>23</v>
      </c>
    </row>
    <row r="10" spans="1:3" ht="29.4" thickBot="1" x14ac:dyDescent="0.35">
      <c r="A10" s="2390"/>
      <c r="B10" s="2388"/>
      <c r="C10" s="262" t="s">
        <v>24</v>
      </c>
    </row>
    <row r="11" spans="1:3" ht="23.7" customHeight="1" x14ac:dyDescent="0.3">
      <c r="A11" s="2390"/>
      <c r="B11" s="2369" t="s">
        <v>25</v>
      </c>
      <c r="C11" s="263" t="s">
        <v>26</v>
      </c>
    </row>
    <row r="12" spans="1:3" ht="23.7" customHeight="1" thickBot="1" x14ac:dyDescent="0.35">
      <c r="A12" s="2391"/>
      <c r="B12" s="2370"/>
      <c r="C12" s="264" t="s">
        <v>27</v>
      </c>
    </row>
    <row r="13" spans="1:3" ht="23.7" customHeight="1" x14ac:dyDescent="0.3">
      <c r="A13" s="2391"/>
      <c r="B13" s="2380" t="s">
        <v>28</v>
      </c>
      <c r="C13" s="255" t="s">
        <v>29</v>
      </c>
    </row>
    <row r="14" spans="1:3" ht="30" customHeight="1" x14ac:dyDescent="0.3">
      <c r="A14" s="2391"/>
      <c r="B14" s="2381"/>
      <c r="C14" s="256" t="s">
        <v>22</v>
      </c>
    </row>
    <row r="15" spans="1:3" ht="30.6" customHeight="1" thickBot="1" x14ac:dyDescent="0.35">
      <c r="A15" s="2391"/>
      <c r="B15" s="2382"/>
      <c r="C15" s="257" t="s">
        <v>30</v>
      </c>
    </row>
    <row r="16" spans="1:3" ht="28.8" x14ac:dyDescent="0.3">
      <c r="A16" s="2391"/>
      <c r="B16" s="2371" t="s">
        <v>31</v>
      </c>
      <c r="C16" s="265" t="s">
        <v>32</v>
      </c>
    </row>
    <row r="17" spans="1:3" ht="28.8" x14ac:dyDescent="0.3">
      <c r="A17" s="2391"/>
      <c r="B17" s="2372"/>
      <c r="C17" s="266" t="s">
        <v>33</v>
      </c>
    </row>
    <row r="18" spans="1:3" ht="19.95" customHeight="1" thickBot="1" x14ac:dyDescent="0.35">
      <c r="A18" s="2392"/>
      <c r="B18" s="2373"/>
      <c r="C18" s="267" t="s">
        <v>34</v>
      </c>
    </row>
    <row r="19" spans="1:3" ht="18.600000000000001" thickBot="1" x14ac:dyDescent="0.35">
      <c r="A19" s="2377" t="s">
        <v>35</v>
      </c>
      <c r="B19" s="307" t="s">
        <v>13</v>
      </c>
      <c r="C19" s="253" t="s">
        <v>14</v>
      </c>
    </row>
    <row r="20" spans="1:3" ht="18" customHeight="1" thickBot="1" x14ac:dyDescent="0.35">
      <c r="A20" s="2378"/>
      <c r="B20" s="245" t="s">
        <v>15</v>
      </c>
      <c r="C20" s="254" t="s">
        <v>36</v>
      </c>
    </row>
    <row r="21" spans="1:3" ht="43.2" x14ac:dyDescent="0.3">
      <c r="A21" s="2378"/>
      <c r="B21" s="2396" t="s">
        <v>37</v>
      </c>
      <c r="C21" s="258" t="s">
        <v>38</v>
      </c>
    </row>
    <row r="22" spans="1:3" ht="28.8" x14ac:dyDescent="0.3">
      <c r="A22" s="2378"/>
      <c r="B22" s="2397"/>
      <c r="C22" s="259" t="s">
        <v>39</v>
      </c>
    </row>
    <row r="23" spans="1:3" ht="15" thickBot="1" x14ac:dyDescent="0.35">
      <c r="A23" s="2378"/>
      <c r="B23" s="2398"/>
      <c r="C23" s="260" t="s">
        <v>40</v>
      </c>
    </row>
    <row r="24" spans="1:3" ht="43.2" x14ac:dyDescent="0.3">
      <c r="A24" s="2378"/>
      <c r="B24" s="2386" t="s">
        <v>41</v>
      </c>
      <c r="C24" s="261" t="s">
        <v>42</v>
      </c>
    </row>
    <row r="25" spans="1:3" x14ac:dyDescent="0.3">
      <c r="A25" s="2378"/>
      <c r="B25" s="2393"/>
      <c r="C25" s="268" t="s">
        <v>23</v>
      </c>
    </row>
    <row r="26" spans="1:3" ht="15" thickBot="1" x14ac:dyDescent="0.35">
      <c r="A26" s="2378"/>
      <c r="B26" s="2388"/>
      <c r="C26" s="262" t="s">
        <v>43</v>
      </c>
    </row>
    <row r="27" spans="1:3" ht="21" customHeight="1" x14ac:dyDescent="0.3">
      <c r="A27" s="2378"/>
      <c r="B27" s="2394" t="s">
        <v>25</v>
      </c>
      <c r="C27" s="263" t="s">
        <v>44</v>
      </c>
    </row>
    <row r="28" spans="1:3" ht="21" customHeight="1" thickBot="1" x14ac:dyDescent="0.35">
      <c r="A28" s="2378"/>
      <c r="B28" s="2395"/>
      <c r="C28" s="269" t="s">
        <v>45</v>
      </c>
    </row>
    <row r="29" spans="1:3" ht="28.8" x14ac:dyDescent="0.3">
      <c r="A29" s="2378"/>
      <c r="B29" s="2374" t="s">
        <v>31</v>
      </c>
      <c r="C29" s="265" t="s">
        <v>46</v>
      </c>
    </row>
    <row r="30" spans="1:3" ht="29.4" thickBot="1" x14ac:dyDescent="0.35">
      <c r="A30" s="2378"/>
      <c r="B30" s="2375"/>
      <c r="C30" s="267" t="s">
        <v>47</v>
      </c>
    </row>
    <row r="31" spans="1:3" ht="16.2" customHeight="1" thickBot="1" x14ac:dyDescent="0.35">
      <c r="A31" s="2379"/>
      <c r="B31" s="2376"/>
      <c r="C31" s="267" t="s">
        <v>48</v>
      </c>
    </row>
    <row r="32" spans="1:3" ht="64.2" customHeight="1" thickBot="1" x14ac:dyDescent="0.35">
      <c r="A32" s="2362" t="s">
        <v>49</v>
      </c>
      <c r="B32" s="2350" t="s">
        <v>50</v>
      </c>
      <c r="C32" s="2351"/>
    </row>
    <row r="33" spans="1:3" ht="61.2" customHeight="1" thickBot="1" x14ac:dyDescent="0.35">
      <c r="A33" s="2363"/>
      <c r="B33" s="2350" t="s">
        <v>51</v>
      </c>
      <c r="C33" s="2351"/>
    </row>
    <row r="34" spans="1:3" s="246" customFormat="1" ht="54.6" customHeight="1" thickBot="1" x14ac:dyDescent="0.35">
      <c r="A34" s="2363"/>
      <c r="B34" s="2350" t="s">
        <v>52</v>
      </c>
      <c r="C34" s="2351"/>
    </row>
    <row r="35" spans="1:3" ht="18" x14ac:dyDescent="0.3">
      <c r="A35" s="2363"/>
      <c r="B35" s="307" t="s">
        <v>13</v>
      </c>
      <c r="C35" s="253" t="s">
        <v>14</v>
      </c>
    </row>
    <row r="36" spans="1:3" ht="18" customHeight="1" x14ac:dyDescent="0.3">
      <c r="A36" s="2363"/>
      <c r="B36" s="247" t="s">
        <v>15</v>
      </c>
      <c r="C36" s="270" t="s">
        <v>16</v>
      </c>
    </row>
    <row r="37" spans="1:3" ht="18" customHeight="1" x14ac:dyDescent="0.3">
      <c r="A37" s="2363"/>
      <c r="B37" s="248" t="s">
        <v>53</v>
      </c>
      <c r="C37" s="259" t="s">
        <v>54</v>
      </c>
    </row>
    <row r="38" spans="1:3" ht="18" x14ac:dyDescent="0.3">
      <c r="A38" s="2363"/>
      <c r="B38" s="249" t="s">
        <v>55</v>
      </c>
      <c r="C38" s="268" t="s">
        <v>56</v>
      </c>
    </row>
    <row r="39" spans="1:3" ht="18" customHeight="1" x14ac:dyDescent="0.3">
      <c r="A39" s="2363"/>
      <c r="B39" s="250" t="s">
        <v>57</v>
      </c>
      <c r="C39" s="271" t="s">
        <v>58</v>
      </c>
    </row>
    <row r="40" spans="1:3" ht="14.7" customHeight="1" x14ac:dyDescent="0.3">
      <c r="A40" s="2363"/>
      <c r="B40" s="2364" t="s">
        <v>31</v>
      </c>
      <c r="C40" s="272" t="s">
        <v>59</v>
      </c>
    </row>
    <row r="41" spans="1:3" ht="15.6" customHeight="1" x14ac:dyDescent="0.3">
      <c r="A41" s="2363"/>
      <c r="B41" s="2364"/>
      <c r="C41" s="273" t="s">
        <v>60</v>
      </c>
    </row>
    <row r="42" spans="1:3" ht="28.8" x14ac:dyDescent="0.3">
      <c r="A42" s="2363"/>
      <c r="B42" s="2364"/>
      <c r="C42" s="272" t="s">
        <v>61</v>
      </c>
    </row>
    <row r="43" spans="1:3" ht="28.8" x14ac:dyDescent="0.3">
      <c r="A43" s="2363"/>
      <c r="B43" s="2364"/>
      <c r="C43" s="274" t="s">
        <v>62</v>
      </c>
    </row>
    <row r="44" spans="1:3" x14ac:dyDescent="0.3">
      <c r="A44" s="2363"/>
      <c r="B44" s="2365"/>
      <c r="C44" s="275" t="s">
        <v>63</v>
      </c>
    </row>
    <row r="45" spans="1:3" ht="15" customHeight="1" thickBot="1" x14ac:dyDescent="0.35">
      <c r="A45" s="2363"/>
      <c r="B45" s="2365"/>
      <c r="C45" s="294" t="s">
        <v>64</v>
      </c>
    </row>
    <row r="46" spans="1:3" ht="19.95" customHeight="1" x14ac:dyDescent="0.35">
      <c r="A46" s="2360" t="s">
        <v>65</v>
      </c>
      <c r="B46" s="295" t="s">
        <v>65</v>
      </c>
      <c r="C46" s="354" t="s">
        <v>66</v>
      </c>
    </row>
    <row r="47" spans="1:3" ht="19.95" customHeight="1" thickBot="1" x14ac:dyDescent="0.4">
      <c r="A47" s="2361"/>
      <c r="B47" s="296" t="s">
        <v>67</v>
      </c>
      <c r="C47" s="355" t="s">
        <v>68</v>
      </c>
    </row>
    <row r="48" spans="1:3" ht="19.95" customHeight="1" x14ac:dyDescent="0.3"/>
    <row r="49" spans="1:3" ht="19.95" customHeight="1" x14ac:dyDescent="0.3">
      <c r="A49" s="2357" t="s">
        <v>69</v>
      </c>
      <c r="B49" s="2355" t="s">
        <v>70</v>
      </c>
      <c r="C49" s="2356"/>
    </row>
    <row r="50" spans="1:3" x14ac:dyDescent="0.3">
      <c r="A50" s="2357"/>
      <c r="B50" s="2353" t="s">
        <v>71</v>
      </c>
      <c r="C50" s="2354"/>
    </row>
    <row r="51" spans="1:3" ht="16.2" x14ac:dyDescent="0.3">
      <c r="A51" s="2357"/>
      <c r="B51" s="2355" t="s">
        <v>72</v>
      </c>
      <c r="C51" s="2356"/>
    </row>
    <row r="52" spans="1:3" x14ac:dyDescent="0.3">
      <c r="A52" s="302"/>
      <c r="B52" s="2358"/>
      <c r="C52" s="2359"/>
    </row>
    <row r="54" spans="1:3" ht="27.6" customHeight="1" x14ac:dyDescent="0.3">
      <c r="A54" s="2352" t="s">
        <v>73</v>
      </c>
      <c r="B54" s="461" t="s">
        <v>74</v>
      </c>
      <c r="C54" s="461" t="s">
        <v>75</v>
      </c>
    </row>
    <row r="55" spans="1:3" ht="27.6" customHeight="1" x14ac:dyDescent="0.3">
      <c r="A55" s="2352"/>
      <c r="B55" s="462"/>
      <c r="C55" s="462" t="s">
        <v>76</v>
      </c>
    </row>
    <row r="56" spans="1:3" ht="15.6" customHeight="1" x14ac:dyDescent="0.3">
      <c r="A56" s="2352"/>
      <c r="B56" s="461" t="s">
        <v>74</v>
      </c>
      <c r="C56" s="463" t="s">
        <v>77</v>
      </c>
    </row>
    <row r="57" spans="1:3" ht="14.7" customHeight="1" x14ac:dyDescent="0.3">
      <c r="A57" s="2352"/>
      <c r="B57" s="464"/>
      <c r="C57" s="464"/>
    </row>
    <row r="58" spans="1:3" ht="14.7" customHeight="1" x14ac:dyDescent="0.3">
      <c r="A58" s="2352"/>
      <c r="B58" s="461" t="s">
        <v>74</v>
      </c>
      <c r="C58" s="465" t="s">
        <v>78</v>
      </c>
    </row>
    <row r="59" spans="1:3" ht="14.7" customHeight="1" x14ac:dyDescent="0.3">
      <c r="A59" s="2352"/>
      <c r="B59" s="466"/>
      <c r="C59" s="466" t="s">
        <v>79</v>
      </c>
    </row>
    <row r="60" spans="1:3" ht="15.6" customHeight="1" x14ac:dyDescent="0.3">
      <c r="A60" s="2352"/>
      <c r="B60" s="467"/>
      <c r="C60" s="467" t="s">
        <v>80</v>
      </c>
    </row>
    <row r="61" spans="1:3" ht="14.7" customHeight="1" x14ac:dyDescent="0.3">
      <c r="A61" s="2352"/>
      <c r="B61" s="463"/>
      <c r="C61" s="463"/>
    </row>
    <row r="62" spans="1:3" ht="14.7" customHeight="1" x14ac:dyDescent="0.3">
      <c r="A62" s="2352"/>
      <c r="B62" s="461" t="s">
        <v>74</v>
      </c>
      <c r="C62" s="463" t="s">
        <v>81</v>
      </c>
    </row>
    <row r="63" spans="1:3" x14ac:dyDescent="0.3">
      <c r="A63" s="2352"/>
      <c r="B63" s="463"/>
      <c r="C63" s="463"/>
    </row>
    <row r="64" spans="1:3" x14ac:dyDescent="0.3">
      <c r="A64" s="2352"/>
      <c r="B64" s="461" t="s">
        <v>82</v>
      </c>
      <c r="C64" s="463" t="s">
        <v>83</v>
      </c>
    </row>
    <row r="65" spans="1:3" x14ac:dyDescent="0.3">
      <c r="A65" s="2352"/>
      <c r="B65" s="461" t="s">
        <v>82</v>
      </c>
      <c r="C65" s="463" t="s">
        <v>84</v>
      </c>
    </row>
    <row r="66" spans="1:3" x14ac:dyDescent="0.3">
      <c r="A66" s="2352"/>
      <c r="B66" s="461" t="s">
        <v>82</v>
      </c>
      <c r="C66" s="463" t="s">
        <v>85</v>
      </c>
    </row>
    <row r="67" spans="1:3" x14ac:dyDescent="0.3">
      <c r="A67" s="2352"/>
      <c r="B67" s="463" t="s">
        <v>82</v>
      </c>
      <c r="C67" s="463" t="s">
        <v>86</v>
      </c>
    </row>
    <row r="68" spans="1:3" x14ac:dyDescent="0.3">
      <c r="A68" s="2352"/>
      <c r="B68" s="463" t="s">
        <v>87</v>
      </c>
      <c r="C68" s="463" t="s">
        <v>88</v>
      </c>
    </row>
    <row r="69" spans="1:3" x14ac:dyDescent="0.3">
      <c r="A69" s="2352"/>
      <c r="B69" s="463"/>
      <c r="C69" s="463" t="s">
        <v>89</v>
      </c>
    </row>
    <row r="70" spans="1:3" x14ac:dyDescent="0.3">
      <c r="A70" s="2352"/>
      <c r="B70" s="463" t="s">
        <v>90</v>
      </c>
      <c r="C70" s="463" t="s">
        <v>91</v>
      </c>
    </row>
    <row r="71" spans="1:3" x14ac:dyDescent="0.3">
      <c r="A71" s="2352"/>
      <c r="B71" s="463" t="s">
        <v>92</v>
      </c>
      <c r="C71" s="463" t="s">
        <v>93</v>
      </c>
    </row>
    <row r="72" spans="1:3" ht="28.2" customHeight="1" x14ac:dyDescent="0.3">
      <c r="A72" s="2352"/>
      <c r="B72" s="463" t="s">
        <v>94</v>
      </c>
      <c r="C72" s="461" t="s">
        <v>95</v>
      </c>
    </row>
    <row r="73" spans="1:3" x14ac:dyDescent="0.3">
      <c r="A73" s="2352"/>
      <c r="B73" s="463"/>
      <c r="C73" s="463" t="s">
        <v>96</v>
      </c>
    </row>
    <row r="74" spans="1:3" x14ac:dyDescent="0.3">
      <c r="A74" s="2352"/>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1" t="s">
        <v>163</v>
      </c>
    </row>
    <row r="111" spans="1:3" ht="28.8" x14ac:dyDescent="0.3">
      <c r="A111" s="302"/>
      <c r="B111" s="671" t="s">
        <v>164</v>
      </c>
      <c r="C111" s="1711" t="s">
        <v>165</v>
      </c>
    </row>
    <row r="112" spans="1:3" x14ac:dyDescent="0.3">
      <c r="A112" s="302"/>
      <c r="B112" s="671" t="s">
        <v>1325</v>
      </c>
      <c r="C112" s="1711" t="s">
        <v>1326</v>
      </c>
    </row>
    <row r="113" spans="1:4" x14ac:dyDescent="0.3">
      <c r="A113" s="302"/>
      <c r="B113" s="302"/>
      <c r="C113" s="519"/>
    </row>
    <row r="114" spans="1:4" x14ac:dyDescent="0.3">
      <c r="A114" s="302"/>
      <c r="B114" s="302"/>
      <c r="C114" s="519"/>
    </row>
    <row r="115" spans="1:4" ht="106.2" customHeight="1" x14ac:dyDescent="0.3">
      <c r="D115" s="963"/>
    </row>
  </sheetData>
  <sortState xmlns:xlrd2="http://schemas.microsoft.com/office/spreadsheetml/2017/richdata2" ref="E116:J122">
    <sortCondition ref="E116:E122"/>
  </sortState>
  <mergeCells count="24">
    <mergeCell ref="A1:C1"/>
    <mergeCell ref="B11:B12"/>
    <mergeCell ref="B16:B18"/>
    <mergeCell ref="B29:B31"/>
    <mergeCell ref="A19:A31"/>
    <mergeCell ref="B13:B15"/>
    <mergeCell ref="B5:B7"/>
    <mergeCell ref="B8:B10"/>
    <mergeCell ref="A3:A18"/>
    <mergeCell ref="B24:B26"/>
    <mergeCell ref="B27:B28"/>
    <mergeCell ref="B21:B23"/>
    <mergeCell ref="B32:C32"/>
    <mergeCell ref="B33:C33"/>
    <mergeCell ref="A54:A74"/>
    <mergeCell ref="B50:C50"/>
    <mergeCell ref="B51:C51"/>
    <mergeCell ref="B49:C49"/>
    <mergeCell ref="A49:A51"/>
    <mergeCell ref="B52:C52"/>
    <mergeCell ref="A46:A47"/>
    <mergeCell ref="A32:A45"/>
    <mergeCell ref="B40:B45"/>
    <mergeCell ref="B34:C34"/>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00" t="s">
        <v>166</v>
      </c>
      <c r="B2" s="2401"/>
      <c r="C2" s="2401"/>
      <c r="D2" s="2401"/>
      <c r="E2" s="2401"/>
      <c r="F2" s="2402"/>
    </row>
    <row r="4" spans="1:6" x14ac:dyDescent="0.3">
      <c r="A4" s="2403" t="s">
        <v>65</v>
      </c>
      <c r="B4" s="319" t="s">
        <v>167</v>
      </c>
      <c r="C4" s="320" t="s">
        <v>168</v>
      </c>
      <c r="E4" s="2399" t="s">
        <v>169</v>
      </c>
      <c r="F4" s="319" t="s">
        <v>170</v>
      </c>
    </row>
    <row r="5" spans="1:6" ht="158.4" x14ac:dyDescent="0.3">
      <c r="A5" s="2404"/>
      <c r="B5" s="319" t="s">
        <v>171</v>
      </c>
      <c r="C5" s="1694" t="s">
        <v>172</v>
      </c>
      <c r="E5" s="2399"/>
      <c r="F5" s="469" t="s">
        <v>173</v>
      </c>
    </row>
    <row r="6" spans="1:6" ht="28.8" x14ac:dyDescent="0.3">
      <c r="A6" s="2404"/>
      <c r="B6" s="297" t="s">
        <v>174</v>
      </c>
      <c r="C6" s="694" t="s">
        <v>175</v>
      </c>
      <c r="E6" s="2399"/>
      <c r="F6" s="298" t="s">
        <v>176</v>
      </c>
    </row>
    <row r="7" spans="1:6" ht="43.2" x14ac:dyDescent="0.3">
      <c r="A7" s="2404"/>
      <c r="B7" s="297" t="s">
        <v>177</v>
      </c>
      <c r="C7" s="298" t="s">
        <v>178</v>
      </c>
      <c r="E7" s="2399"/>
      <c r="F7" s="299" t="s">
        <v>179</v>
      </c>
    </row>
    <row r="8" spans="1:6" ht="28.8" x14ac:dyDescent="0.3">
      <c r="A8" s="2404"/>
      <c r="B8" s="299" t="s">
        <v>180</v>
      </c>
      <c r="C8" s="694" t="s">
        <v>181</v>
      </c>
      <c r="E8" s="2399"/>
      <c r="F8" s="468" t="s">
        <v>182</v>
      </c>
    </row>
    <row r="9" spans="1:6" ht="57.6" x14ac:dyDescent="0.3">
      <c r="A9" s="2404"/>
      <c r="B9" s="299" t="s">
        <v>183</v>
      </c>
      <c r="C9" s="694" t="s">
        <v>184</v>
      </c>
      <c r="E9" s="2399"/>
      <c r="F9" s="299" t="s">
        <v>185</v>
      </c>
    </row>
    <row r="10" spans="1:6" ht="57.6" x14ac:dyDescent="0.3">
      <c r="A10" s="2404"/>
      <c r="B10" s="299" t="s">
        <v>186</v>
      </c>
      <c r="C10" s="299" t="s">
        <v>187</v>
      </c>
      <c r="E10" s="2399"/>
      <c r="F10" s="454" t="s">
        <v>188</v>
      </c>
    </row>
    <row r="11" spans="1:6" ht="28.8" x14ac:dyDescent="0.3">
      <c r="A11" s="2404"/>
      <c r="B11" s="299" t="s">
        <v>189</v>
      </c>
      <c r="C11" s="1076" t="s">
        <v>190</v>
      </c>
      <c r="E11" s="2399"/>
      <c r="F11" s="299" t="s">
        <v>191</v>
      </c>
    </row>
    <row r="12" spans="1:6" ht="43.2" x14ac:dyDescent="0.3">
      <c r="A12" s="2404"/>
      <c r="B12" s="299" t="s">
        <v>192</v>
      </c>
      <c r="C12" s="299" t="s">
        <v>193</v>
      </c>
      <c r="E12" s="2399"/>
      <c r="F12" s="299" t="s">
        <v>194</v>
      </c>
    </row>
    <row r="13" spans="1:6" ht="360" x14ac:dyDescent="0.3">
      <c r="A13" s="2404"/>
      <c r="B13" s="299" t="s">
        <v>195</v>
      </c>
      <c r="C13" s="298" t="s">
        <v>196</v>
      </c>
      <c r="E13" s="2399"/>
      <c r="F13" s="299" t="s">
        <v>197</v>
      </c>
    </row>
    <row r="14" spans="1:6" ht="28.8" x14ac:dyDescent="0.3">
      <c r="A14" s="2404"/>
      <c r="B14" s="297" t="s">
        <v>198</v>
      </c>
      <c r="C14" s="298" t="s">
        <v>199</v>
      </c>
      <c r="E14" s="2399"/>
      <c r="F14" s="468" t="s">
        <v>200</v>
      </c>
    </row>
    <row r="15" spans="1:6" ht="28.8" x14ac:dyDescent="0.3">
      <c r="A15" s="2404"/>
      <c r="B15" s="695" t="s">
        <v>201</v>
      </c>
      <c r="C15" s="696"/>
      <c r="E15" s="2399"/>
      <c r="F15" s="299" t="s">
        <v>202</v>
      </c>
    </row>
    <row r="16" spans="1:6" ht="57.6" x14ac:dyDescent="0.3">
      <c r="A16" s="2404"/>
      <c r="B16" s="297" t="s">
        <v>203</v>
      </c>
      <c r="C16" s="697" t="s">
        <v>204</v>
      </c>
      <c r="F16" s="317"/>
    </row>
    <row r="17" spans="1:6" x14ac:dyDescent="0.3">
      <c r="A17" s="2404"/>
      <c r="B17" s="300"/>
      <c r="C17" s="300"/>
      <c r="F17" s="317"/>
    </row>
    <row r="18" spans="1:6" ht="57.6" x14ac:dyDescent="0.3">
      <c r="A18" s="2404"/>
      <c r="B18" s="297" t="s">
        <v>205</v>
      </c>
      <c r="C18" s="299" t="s">
        <v>206</v>
      </c>
      <c r="F18" s="317"/>
    </row>
    <row r="19" spans="1:6" x14ac:dyDescent="0.3">
      <c r="A19" s="2404"/>
      <c r="B19" s="300"/>
      <c r="C19" s="300"/>
      <c r="F19" s="317"/>
    </row>
    <row r="20" spans="1:6" ht="72" x14ac:dyDescent="0.3">
      <c r="A20" s="2404"/>
      <c r="B20" s="297" t="s">
        <v>207</v>
      </c>
      <c r="C20" s="697" t="s">
        <v>208</v>
      </c>
      <c r="F20" s="317"/>
    </row>
    <row r="21" spans="1:6" x14ac:dyDescent="0.3">
      <c r="A21" s="2404"/>
      <c r="B21" s="301"/>
      <c r="C21" s="301"/>
      <c r="F21" s="317"/>
    </row>
    <row r="22" spans="1:6" x14ac:dyDescent="0.3">
      <c r="A22" s="2404"/>
      <c r="B22" s="301"/>
      <c r="C22" s="301"/>
      <c r="F22" s="317"/>
    </row>
    <row r="23" spans="1:6" x14ac:dyDescent="0.3">
      <c r="A23" s="2404"/>
      <c r="B23" s="301"/>
      <c r="C23" s="301"/>
      <c r="F23" s="317"/>
    </row>
    <row r="24" spans="1:6" x14ac:dyDescent="0.3">
      <c r="A24" s="2404"/>
      <c r="B24" s="301"/>
      <c r="C24" s="301"/>
      <c r="F24" s="317"/>
    </row>
    <row r="25" spans="1:6" x14ac:dyDescent="0.3">
      <c r="A25" s="2404"/>
      <c r="B25" s="301"/>
      <c r="C25" s="301">
        <v>10.5</v>
      </c>
      <c r="F25" s="317"/>
    </row>
    <row r="26" spans="1:6" x14ac:dyDescent="0.3">
      <c r="A26" s="2404"/>
      <c r="B26" s="301"/>
      <c r="C26" s="301">
        <f>EXP(C25)</f>
        <v>36315.502674246636</v>
      </c>
      <c r="F26" s="317"/>
    </row>
    <row r="27" spans="1:6" x14ac:dyDescent="0.3">
      <c r="A27" s="2404"/>
      <c r="B27" s="301"/>
      <c r="C27" s="301"/>
      <c r="F27" s="317"/>
    </row>
    <row r="28" spans="1:6" x14ac:dyDescent="0.3">
      <c r="A28" s="2404"/>
      <c r="B28" s="301"/>
      <c r="C28" s="301"/>
      <c r="F28" s="317"/>
    </row>
    <row r="29" spans="1:6" x14ac:dyDescent="0.3">
      <c r="A29" s="2404"/>
      <c r="B29" s="301"/>
      <c r="C29" s="301"/>
      <c r="F29" s="317"/>
    </row>
    <row r="30" spans="1:6" x14ac:dyDescent="0.3">
      <c r="A30" s="2404"/>
      <c r="B30" s="301"/>
      <c r="C30" s="301"/>
      <c r="F30" s="317"/>
    </row>
    <row r="31" spans="1:6" x14ac:dyDescent="0.3">
      <c r="A31" s="2404"/>
      <c r="B31" s="301"/>
      <c r="C31" s="301"/>
      <c r="F31" s="318"/>
    </row>
    <row r="32" spans="1:6" x14ac:dyDescent="0.3">
      <c r="A32" s="2404"/>
      <c r="B32" s="301"/>
      <c r="C32" s="301"/>
      <c r="F32" s="318"/>
    </row>
    <row r="33" spans="1:6" x14ac:dyDescent="0.3">
      <c r="A33" s="2404"/>
      <c r="B33" s="301"/>
      <c r="C33" s="301"/>
      <c r="F33" s="318"/>
    </row>
    <row r="34" spans="1:6" x14ac:dyDescent="0.3">
      <c r="A34" s="2404"/>
      <c r="B34" s="301"/>
      <c r="C34" s="301"/>
    </row>
    <row r="35" spans="1:6" x14ac:dyDescent="0.3">
      <c r="A35" s="2404"/>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tabSelected="1" zoomScaleNormal="100" workbookViewId="0">
      <pane xSplit="2" ySplit="3" topLeftCell="AB29" activePane="bottomRight" state="frozen"/>
      <selection pane="topRight" activeCell="C15" sqref="C15"/>
      <selection pane="bottomLeft" activeCell="C15" sqref="C15"/>
      <selection pane="bottomRight" activeCell="D28" sqref="D28"/>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441" t="s">
        <v>209</v>
      </c>
      <c r="B1" s="2444" t="s">
        <v>210</v>
      </c>
      <c r="C1" s="2452" t="s">
        <v>211</v>
      </c>
      <c r="D1" s="2453"/>
      <c r="E1" s="2454"/>
      <c r="F1" s="2454"/>
      <c r="G1" s="2455"/>
      <c r="H1" s="2418" t="s">
        <v>212</v>
      </c>
      <c r="I1" s="2419"/>
      <c r="J1" s="2419"/>
      <c r="K1" s="2419"/>
      <c r="L1" s="2419"/>
      <c r="M1" s="2419"/>
      <c r="N1" s="2419"/>
      <c r="O1" s="2419"/>
      <c r="P1" s="2419"/>
      <c r="Q1" s="2419"/>
      <c r="R1" s="2419"/>
      <c r="S1" s="2419"/>
      <c r="T1" s="2419"/>
      <c r="U1" s="2420"/>
      <c r="V1" s="2408" t="s">
        <v>213</v>
      </c>
      <c r="W1" s="2409"/>
      <c r="X1" s="2409"/>
      <c r="Y1" s="2409"/>
      <c r="Z1" s="2410"/>
      <c r="AA1" s="2411"/>
      <c r="AB1" s="2447" t="s">
        <v>214</v>
      </c>
      <c r="AC1" s="2448"/>
      <c r="AD1" s="2448"/>
      <c r="AE1" s="2448"/>
      <c r="AF1" s="2449"/>
      <c r="AG1" s="2449"/>
      <c r="AH1" s="2450"/>
      <c r="AI1" s="2451"/>
      <c r="AJ1" s="2412" t="s">
        <v>215</v>
      </c>
      <c r="AK1" s="2415" t="s">
        <v>216</v>
      </c>
      <c r="AL1" s="2405" t="s">
        <v>217</v>
      </c>
      <c r="AM1"/>
      <c r="AU1"/>
      <c r="AV1"/>
      <c r="AW1"/>
      <c r="AX1"/>
      <c r="AY1"/>
      <c r="AZ1"/>
      <c r="BA1"/>
      <c r="BB1"/>
      <c r="BC1"/>
      <c r="BD1"/>
      <c r="BE1"/>
      <c r="BF1"/>
      <c r="BG1"/>
      <c r="BH1"/>
      <c r="BI1"/>
      <c r="BJ1"/>
      <c r="BK1"/>
      <c r="BL1"/>
    </row>
    <row r="2" spans="1:64" s="2" customFormat="1" ht="26.7" customHeight="1" x14ac:dyDescent="0.3">
      <c r="A2" s="2442"/>
      <c r="B2" s="2445"/>
      <c r="C2" s="2460" t="s">
        <v>218</v>
      </c>
      <c r="D2" s="2462" t="s">
        <v>219</v>
      </c>
      <c r="E2" s="2462" t="s">
        <v>220</v>
      </c>
      <c r="F2" s="2464" t="s">
        <v>221</v>
      </c>
      <c r="G2" s="2466" t="s">
        <v>222</v>
      </c>
      <c r="H2" s="2421" t="s">
        <v>218</v>
      </c>
      <c r="I2" s="2422"/>
      <c r="J2" s="2422"/>
      <c r="K2" s="2422" t="s">
        <v>219</v>
      </c>
      <c r="L2" s="2422"/>
      <c r="M2" s="2422"/>
      <c r="N2" s="2422" t="s">
        <v>220</v>
      </c>
      <c r="O2" s="2422"/>
      <c r="P2" s="2422"/>
      <c r="Q2" s="2437" t="s">
        <v>223</v>
      </c>
      <c r="R2" s="2434" t="s">
        <v>224</v>
      </c>
      <c r="S2" s="2434"/>
      <c r="T2" s="2434"/>
      <c r="U2" s="2423" t="s">
        <v>222</v>
      </c>
      <c r="V2" s="2431" t="s">
        <v>225</v>
      </c>
      <c r="W2" s="2425" t="s">
        <v>226</v>
      </c>
      <c r="X2" s="2425" t="s">
        <v>227</v>
      </c>
      <c r="Y2" s="2425" t="s">
        <v>228</v>
      </c>
      <c r="Z2" s="2425" t="s">
        <v>229</v>
      </c>
      <c r="AA2" s="2427" t="s">
        <v>222</v>
      </c>
      <c r="AB2" s="2456" t="s">
        <v>230</v>
      </c>
      <c r="AC2" s="2429" t="s">
        <v>231</v>
      </c>
      <c r="AD2" s="2435" t="s">
        <v>232</v>
      </c>
      <c r="AE2" s="2468" t="s">
        <v>233</v>
      </c>
      <c r="AF2" s="2469"/>
      <c r="AG2" s="2469"/>
      <c r="AH2" s="2469"/>
      <c r="AI2" s="2458" t="s">
        <v>222</v>
      </c>
      <c r="AJ2" s="2413"/>
      <c r="AK2" s="2416"/>
      <c r="AL2" s="2406"/>
      <c r="AM2"/>
      <c r="AU2"/>
      <c r="AV2"/>
      <c r="AW2"/>
      <c r="AX2"/>
      <c r="AY2"/>
      <c r="AZ2"/>
      <c r="BA2"/>
      <c r="BB2"/>
      <c r="BC2"/>
      <c r="BD2"/>
      <c r="BE2"/>
      <c r="BF2"/>
      <c r="BG2"/>
      <c r="BH2"/>
      <c r="BI2"/>
      <c r="BJ2"/>
      <c r="BK2"/>
      <c r="BL2"/>
    </row>
    <row r="3" spans="1:64" s="1" customFormat="1" ht="43.8" thickBot="1" x14ac:dyDescent="0.35">
      <c r="A3" s="2443"/>
      <c r="B3" s="2446"/>
      <c r="C3" s="2461"/>
      <c r="D3" s="2463"/>
      <c r="E3" s="2463"/>
      <c r="F3" s="2465"/>
      <c r="G3" s="2467"/>
      <c r="H3" s="328" t="s">
        <v>234</v>
      </c>
      <c r="I3" s="329" t="s">
        <v>235</v>
      </c>
      <c r="J3" s="329" t="s">
        <v>236</v>
      </c>
      <c r="K3" s="329" t="s">
        <v>234</v>
      </c>
      <c r="L3" s="329" t="s">
        <v>235</v>
      </c>
      <c r="M3" s="329" t="s">
        <v>236</v>
      </c>
      <c r="N3" s="329" t="s">
        <v>234</v>
      </c>
      <c r="O3" s="329" t="s">
        <v>235</v>
      </c>
      <c r="P3" s="329" t="s">
        <v>236</v>
      </c>
      <c r="Q3" s="2438"/>
      <c r="R3" s="356" t="s">
        <v>237</v>
      </c>
      <c r="S3" s="357" t="s">
        <v>238</v>
      </c>
      <c r="T3" s="357" t="s">
        <v>239</v>
      </c>
      <c r="U3" s="2424"/>
      <c r="V3" s="2432"/>
      <c r="W3" s="2426"/>
      <c r="X3" s="2426"/>
      <c r="Y3" s="2426"/>
      <c r="Z3" s="2426"/>
      <c r="AA3" s="2428"/>
      <c r="AB3" s="2457"/>
      <c r="AC3" s="2430"/>
      <c r="AD3" s="2436"/>
      <c r="AE3" s="1061" t="s">
        <v>234</v>
      </c>
      <c r="AF3" s="1061" t="s">
        <v>240</v>
      </c>
      <c r="AG3" s="1061" t="s">
        <v>241</v>
      </c>
      <c r="AH3" s="1061" t="s">
        <v>242</v>
      </c>
      <c r="AI3" s="2459"/>
      <c r="AJ3" s="2414"/>
      <c r="AK3" s="2417"/>
      <c r="AL3" s="2407"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67"/>
      <c r="I4" s="2268"/>
      <c r="J4" s="2269"/>
      <c r="K4" s="2270"/>
      <c r="L4" s="2268"/>
      <c r="M4" s="2269"/>
      <c r="N4" s="2270"/>
      <c r="O4" s="2268"/>
      <c r="P4" s="2271"/>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2"/>
      <c r="AC4" s="2273"/>
      <c r="AD4" s="2273"/>
      <c r="AE4" s="2274"/>
      <c r="AF4" s="2275"/>
      <c r="AG4" s="2276"/>
      <c r="AH4" s="2276"/>
      <c r="AI4" s="2277"/>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67"/>
      <c r="I5" s="2268"/>
      <c r="J5" s="2269"/>
      <c r="K5" s="2270"/>
      <c r="L5" s="2268"/>
      <c r="M5" s="2269"/>
      <c r="N5" s="2270"/>
      <c r="O5" s="2268"/>
      <c r="P5" s="2271"/>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2"/>
      <c r="AC5" s="2278"/>
      <c r="AD5" s="2278"/>
      <c r="AE5" s="2279"/>
      <c r="AF5" s="2280"/>
      <c r="AG5" s="2281"/>
      <c r="AH5" s="2281"/>
      <c r="AI5" s="2282"/>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67"/>
      <c r="I6" s="2268"/>
      <c r="J6" s="2269"/>
      <c r="K6" s="2270"/>
      <c r="L6" s="2268"/>
      <c r="M6" s="2269"/>
      <c r="N6" s="2270"/>
      <c r="O6" s="2268"/>
      <c r="P6" s="2271"/>
      <c r="Q6" s="401"/>
      <c r="R6" s="359" t="str">
        <f t="shared" si="0"/>
        <v/>
      </c>
      <c r="S6" s="279" t="str">
        <f t="shared" si="1"/>
        <v/>
      </c>
      <c r="T6" s="279" t="str">
        <f t="shared" si="2"/>
        <v/>
      </c>
      <c r="U6" s="276"/>
      <c r="V6" s="321"/>
      <c r="W6" s="322"/>
      <c r="X6" s="322"/>
      <c r="Y6" s="322"/>
      <c r="Z6" s="323"/>
      <c r="AA6" s="225"/>
      <c r="AB6" s="2272"/>
      <c r="AC6" s="2278"/>
      <c r="AD6" s="2278"/>
      <c r="AE6" s="2279"/>
      <c r="AF6" s="2280"/>
      <c r="AG6" s="2281"/>
      <c r="AH6" s="2281"/>
      <c r="AI6" s="2282"/>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67"/>
      <c r="I7" s="2268"/>
      <c r="J7" s="2269"/>
      <c r="K7" s="2270"/>
      <c r="L7" s="2268"/>
      <c r="M7" s="2269"/>
      <c r="N7" s="2270"/>
      <c r="O7" s="2269"/>
      <c r="P7" s="2271"/>
      <c r="Q7" s="401"/>
      <c r="R7" s="359" t="str">
        <f t="shared" si="0"/>
        <v/>
      </c>
      <c r="S7" s="279" t="str">
        <f t="shared" si="1"/>
        <v/>
      </c>
      <c r="T7" s="279" t="str">
        <f t="shared" si="2"/>
        <v/>
      </c>
      <c r="U7" s="276"/>
      <c r="V7" s="321"/>
      <c r="W7" s="322"/>
      <c r="X7" s="322"/>
      <c r="Y7" s="322"/>
      <c r="Z7" s="323"/>
      <c r="AA7" s="225"/>
      <c r="AB7" s="2272"/>
      <c r="AC7" s="2278"/>
      <c r="AD7" s="2278"/>
      <c r="AE7" s="2279"/>
      <c r="AF7" s="2280"/>
      <c r="AG7" s="2281"/>
      <c r="AH7" s="2281"/>
      <c r="AI7" s="2282"/>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1" t="s">
        <v>244</v>
      </c>
      <c r="H8" s="2267"/>
      <c r="I8" s="2268"/>
      <c r="J8" s="2269"/>
      <c r="K8" s="2270"/>
      <c r="L8" s="2268"/>
      <c r="M8" s="2269"/>
      <c r="N8" s="2270"/>
      <c r="O8" s="2269"/>
      <c r="P8" s="2271"/>
      <c r="Q8" s="401"/>
      <c r="R8" s="359" t="str">
        <f t="shared" si="0"/>
        <v/>
      </c>
      <c r="S8" s="279" t="str">
        <f t="shared" si="1"/>
        <v/>
      </c>
      <c r="T8" s="279" t="str">
        <f t="shared" si="2"/>
        <v/>
      </c>
      <c r="U8" s="276"/>
      <c r="V8" s="321"/>
      <c r="W8" s="322"/>
      <c r="X8" s="322"/>
      <c r="Y8" s="322"/>
      <c r="Z8" s="323"/>
      <c r="AA8" s="225"/>
      <c r="AB8" s="2272"/>
      <c r="AC8" s="2278"/>
      <c r="AD8" s="2278"/>
      <c r="AE8" s="2279"/>
      <c r="AF8" s="2280"/>
      <c r="AG8" s="2281"/>
      <c r="AH8" s="2281"/>
      <c r="AI8" s="2282"/>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67" t="s">
        <v>245</v>
      </c>
      <c r="I9" s="2268"/>
      <c r="J9" s="2269"/>
      <c r="K9" s="2270"/>
      <c r="L9" s="2268"/>
      <c r="M9" s="2269"/>
      <c r="N9" s="2270"/>
      <c r="O9" s="2269"/>
      <c r="P9" s="2271"/>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80"/>
      <c r="AG9" s="2281"/>
      <c r="AH9" s="2281"/>
      <c r="AI9" s="421"/>
      <c r="AJ9" s="682"/>
      <c r="AK9" s="1712"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67" t="s">
        <v>245</v>
      </c>
      <c r="I10" s="2268"/>
      <c r="J10" s="2269"/>
      <c r="K10" s="2270"/>
      <c r="L10" s="2269"/>
      <c r="M10" s="2269"/>
      <c r="N10" s="2270"/>
      <c r="O10" s="2269"/>
      <c r="P10" s="2271"/>
      <c r="Q10" s="401"/>
      <c r="R10" s="359" t="str">
        <f t="shared" si="0"/>
        <v/>
      </c>
      <c r="S10" s="279" t="str">
        <f t="shared" si="1"/>
        <v/>
      </c>
      <c r="T10" s="279" t="str">
        <f t="shared" si="2"/>
        <v/>
      </c>
      <c r="U10" s="2283"/>
      <c r="V10" s="411"/>
      <c r="W10" s="412"/>
      <c r="X10" s="412"/>
      <c r="Y10" s="412"/>
      <c r="Z10" s="413"/>
      <c r="AA10" s="414"/>
      <c r="AB10" s="680"/>
      <c r="AC10" s="530" t="s">
        <v>247</v>
      </c>
      <c r="AD10" s="530"/>
      <c r="AE10" s="531" t="s">
        <v>247</v>
      </c>
      <c r="AF10" s="2280"/>
      <c r="AG10" s="2281"/>
      <c r="AH10" s="2281"/>
      <c r="AI10" s="421"/>
      <c r="AJ10" s="682"/>
      <c r="AK10" s="1712"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67" t="s">
        <v>245</v>
      </c>
      <c r="I11" s="2268"/>
      <c r="J11" s="2269"/>
      <c r="K11" s="2270"/>
      <c r="L11" s="2269"/>
      <c r="M11" s="2269"/>
      <c r="N11" s="402"/>
      <c r="O11" s="2269"/>
      <c r="P11" s="2271"/>
      <c r="Q11" s="401"/>
      <c r="R11" s="359" t="str">
        <f t="shared" si="0"/>
        <v/>
      </c>
      <c r="S11" s="279" t="str">
        <f t="shared" si="1"/>
        <v/>
      </c>
      <c r="T11" s="279" t="str">
        <f t="shared" si="2"/>
        <v/>
      </c>
      <c r="U11" s="2283"/>
      <c r="V11" s="411"/>
      <c r="W11" s="412"/>
      <c r="X11" s="412"/>
      <c r="Y11" s="412"/>
      <c r="Z11" s="413"/>
      <c r="AA11" s="414"/>
      <c r="AB11" s="680"/>
      <c r="AC11" s="530" t="s">
        <v>247</v>
      </c>
      <c r="AD11" s="530"/>
      <c r="AE11" s="531" t="s">
        <v>247</v>
      </c>
      <c r="AF11" s="2280"/>
      <c r="AG11" s="2281"/>
      <c r="AH11" s="2281"/>
      <c r="AI11" s="421"/>
      <c r="AJ11" s="682"/>
      <c r="AK11" s="1712" t="s">
        <v>248</v>
      </c>
      <c r="AL11" s="453" t="s">
        <v>249</v>
      </c>
    </row>
    <row r="12" spans="1:64" hidden="1" x14ac:dyDescent="0.3">
      <c r="A12" s="244" t="s">
        <v>243</v>
      </c>
      <c r="B12" s="352">
        <v>1988</v>
      </c>
      <c r="C12" s="819"/>
      <c r="D12" s="820"/>
      <c r="E12" s="821"/>
      <c r="F12" s="311"/>
      <c r="G12" s="362"/>
      <c r="H12" s="2267" t="s">
        <v>245</v>
      </c>
      <c r="I12" s="2268"/>
      <c r="J12" s="2269"/>
      <c r="K12" s="2270"/>
      <c r="L12" s="2269"/>
      <c r="M12" s="2269"/>
      <c r="N12" s="402"/>
      <c r="O12" s="2269"/>
      <c r="P12" s="2271"/>
      <c r="Q12" s="401"/>
      <c r="R12" s="359" t="str">
        <f t="shared" si="0"/>
        <v/>
      </c>
      <c r="S12" s="279" t="str">
        <f t="shared" si="1"/>
        <v/>
      </c>
      <c r="T12" s="279" t="str">
        <f t="shared" si="2"/>
        <v/>
      </c>
      <c r="U12" s="2283"/>
      <c r="V12" s="411"/>
      <c r="W12" s="412"/>
      <c r="X12" s="412"/>
      <c r="Y12" s="412"/>
      <c r="Z12" s="413"/>
      <c r="AA12" s="414"/>
      <c r="AB12" s="680"/>
      <c r="AC12" s="530" t="s">
        <v>247</v>
      </c>
      <c r="AD12" s="530"/>
      <c r="AE12" s="531" t="s">
        <v>247</v>
      </c>
      <c r="AF12" s="2280"/>
      <c r="AG12" s="2281"/>
      <c r="AH12" s="2281"/>
      <c r="AI12" s="421"/>
      <c r="AJ12" s="683"/>
      <c r="AK12" s="1712" t="s">
        <v>248</v>
      </c>
      <c r="AL12" s="453" t="s">
        <v>249</v>
      </c>
    </row>
    <row r="13" spans="1:64" hidden="1" x14ac:dyDescent="0.3">
      <c r="A13" s="244" t="s">
        <v>243</v>
      </c>
      <c r="B13" s="352">
        <v>1989</v>
      </c>
      <c r="C13" s="819"/>
      <c r="D13" s="820"/>
      <c r="E13" s="821"/>
      <c r="F13" s="311"/>
      <c r="G13" s="362"/>
      <c r="H13" s="2267" t="s">
        <v>245</v>
      </c>
      <c r="I13" s="2268"/>
      <c r="J13" s="2269"/>
      <c r="K13" s="2270"/>
      <c r="L13" s="2269"/>
      <c r="M13" s="2269"/>
      <c r="N13" s="402"/>
      <c r="O13" s="403"/>
      <c r="P13" s="404"/>
      <c r="Q13" s="401"/>
      <c r="R13" s="359" t="str">
        <f t="shared" si="0"/>
        <v/>
      </c>
      <c r="S13" s="279" t="str">
        <f t="shared" si="1"/>
        <v/>
      </c>
      <c r="T13" s="279" t="str">
        <f t="shared" si="2"/>
        <v/>
      </c>
      <c r="U13" s="2283"/>
      <c r="V13" s="411"/>
      <c r="W13" s="412"/>
      <c r="X13" s="412"/>
      <c r="Y13" s="412"/>
      <c r="Z13" s="413"/>
      <c r="AA13" s="414"/>
      <c r="AB13" s="680"/>
      <c r="AC13" s="530" t="s">
        <v>247</v>
      </c>
      <c r="AD13" s="530"/>
      <c r="AE13" s="531" t="s">
        <v>247</v>
      </c>
      <c r="AF13" s="2280"/>
      <c r="AG13" s="2281"/>
      <c r="AH13" s="2281"/>
      <c r="AI13" s="421"/>
      <c r="AJ13" s="682"/>
      <c r="AK13" s="1712" t="s">
        <v>248</v>
      </c>
      <c r="AL13" s="453" t="s">
        <v>249</v>
      </c>
    </row>
    <row r="14" spans="1:64" hidden="1" x14ac:dyDescent="0.3">
      <c r="A14" s="244" t="s">
        <v>243</v>
      </c>
      <c r="B14" s="352">
        <v>1990</v>
      </c>
      <c r="C14" s="819"/>
      <c r="D14" s="820"/>
      <c r="E14" s="821"/>
      <c r="F14" s="311"/>
      <c r="G14" s="362"/>
      <c r="H14" s="2267" t="s">
        <v>245</v>
      </c>
      <c r="I14" s="2268"/>
      <c r="J14" s="2269"/>
      <c r="K14" s="2270"/>
      <c r="L14" s="2269"/>
      <c r="M14" s="2269"/>
      <c r="N14" s="2270"/>
      <c r="O14" s="2269"/>
      <c r="P14" s="2271"/>
      <c r="Q14" s="401"/>
      <c r="R14" s="359" t="str">
        <f t="shared" si="0"/>
        <v/>
      </c>
      <c r="S14" s="279" t="str">
        <f t="shared" si="1"/>
        <v/>
      </c>
      <c r="T14" s="279" t="str">
        <f t="shared" si="2"/>
        <v/>
      </c>
      <c r="U14" s="2283"/>
      <c r="V14" s="411"/>
      <c r="W14" s="412"/>
      <c r="X14" s="412"/>
      <c r="Y14" s="412"/>
      <c r="Z14" s="413"/>
      <c r="AA14" s="414"/>
      <c r="AB14" s="680"/>
      <c r="AC14" s="530" t="s">
        <v>247</v>
      </c>
      <c r="AD14" s="530"/>
      <c r="AE14" s="531" t="s">
        <v>247</v>
      </c>
      <c r="AF14" s="2280"/>
      <c r="AG14" s="2281"/>
      <c r="AH14" s="2281"/>
      <c r="AI14" s="421"/>
      <c r="AJ14" s="682"/>
      <c r="AK14" s="1712" t="s">
        <v>248</v>
      </c>
      <c r="AL14" s="453" t="s">
        <v>249</v>
      </c>
    </row>
    <row r="15" spans="1:64" hidden="1" x14ac:dyDescent="0.3">
      <c r="A15" s="244" t="s">
        <v>243</v>
      </c>
      <c r="B15" s="352">
        <v>1991</v>
      </c>
      <c r="C15" s="819"/>
      <c r="D15" s="820"/>
      <c r="E15" s="821"/>
      <c r="F15" s="311"/>
      <c r="G15" s="362"/>
      <c r="H15" s="2267" t="s">
        <v>245</v>
      </c>
      <c r="I15" s="2268"/>
      <c r="J15" s="2269"/>
      <c r="K15" s="2270"/>
      <c r="L15" s="2269"/>
      <c r="M15" s="2269"/>
      <c r="N15" s="2270"/>
      <c r="O15" s="2269"/>
      <c r="P15" s="2271"/>
      <c r="Q15" s="401"/>
      <c r="R15" s="359" t="str">
        <f t="shared" si="0"/>
        <v/>
      </c>
      <c r="S15" s="279" t="str">
        <f t="shared" si="1"/>
        <v/>
      </c>
      <c r="T15" s="279" t="str">
        <f t="shared" si="2"/>
        <v/>
      </c>
      <c r="U15" s="2283"/>
      <c r="V15" s="411"/>
      <c r="W15" s="412"/>
      <c r="X15" s="412"/>
      <c r="Y15" s="412"/>
      <c r="Z15" s="413"/>
      <c r="AA15" s="414"/>
      <c r="AB15" s="680"/>
      <c r="AC15" s="530" t="s">
        <v>247</v>
      </c>
      <c r="AD15" s="530"/>
      <c r="AE15" s="531" t="s">
        <v>247</v>
      </c>
      <c r="AF15" s="2280"/>
      <c r="AG15" s="2281"/>
      <c r="AH15" s="2281"/>
      <c r="AI15" s="421"/>
      <c r="AJ15" s="682"/>
      <c r="AK15" s="1712" t="s">
        <v>248</v>
      </c>
      <c r="AL15" s="453" t="s">
        <v>249</v>
      </c>
    </row>
    <row r="16" spans="1:64" hidden="1" x14ac:dyDescent="0.3">
      <c r="A16" s="244" t="s">
        <v>243</v>
      </c>
      <c r="B16" s="352">
        <v>1992</v>
      </c>
      <c r="C16" s="819"/>
      <c r="D16" s="820"/>
      <c r="E16" s="821"/>
      <c r="F16" s="311"/>
      <c r="G16" s="362"/>
      <c r="H16" s="2267" t="s">
        <v>245</v>
      </c>
      <c r="I16" s="2268"/>
      <c r="J16" s="2269"/>
      <c r="K16" s="2270"/>
      <c r="L16" s="2269"/>
      <c r="M16" s="2269"/>
      <c r="N16" s="402"/>
      <c r="O16" s="2269"/>
      <c r="P16" s="2271"/>
      <c r="Q16" s="401"/>
      <c r="R16" s="359" t="str">
        <f t="shared" si="0"/>
        <v/>
      </c>
      <c r="S16" s="279" t="str">
        <f t="shared" si="1"/>
        <v/>
      </c>
      <c r="T16" s="279" t="str">
        <f t="shared" si="2"/>
        <v/>
      </c>
      <c r="U16" s="2283"/>
      <c r="V16" s="411"/>
      <c r="W16" s="412"/>
      <c r="X16" s="412"/>
      <c r="Y16" s="412"/>
      <c r="Z16" s="413"/>
      <c r="AA16" s="414"/>
      <c r="AB16" s="680"/>
      <c r="AC16" s="530" t="s">
        <v>247</v>
      </c>
      <c r="AD16" s="530"/>
      <c r="AE16" s="531" t="s">
        <v>247</v>
      </c>
      <c r="AF16" s="2280"/>
      <c r="AG16" s="2281"/>
      <c r="AH16" s="2281"/>
      <c r="AI16" s="421"/>
      <c r="AJ16" s="682"/>
      <c r="AK16" s="1712" t="s">
        <v>248</v>
      </c>
      <c r="AL16" s="453" t="s">
        <v>249</v>
      </c>
    </row>
    <row r="17" spans="1:38" hidden="1" x14ac:dyDescent="0.3">
      <c r="A17" s="244" t="s">
        <v>243</v>
      </c>
      <c r="B17" s="352">
        <v>1993</v>
      </c>
      <c r="C17" s="819"/>
      <c r="D17" s="820"/>
      <c r="E17" s="821"/>
      <c r="F17" s="311"/>
      <c r="G17" s="362"/>
      <c r="H17" s="2267" t="s">
        <v>245</v>
      </c>
      <c r="I17" s="2268"/>
      <c r="J17" s="2269"/>
      <c r="K17" s="2270"/>
      <c r="L17" s="2269"/>
      <c r="M17" s="2269"/>
      <c r="N17" s="2270"/>
      <c r="O17" s="2269"/>
      <c r="P17" s="2271"/>
      <c r="Q17" s="401"/>
      <c r="R17" s="359" t="str">
        <f t="shared" si="0"/>
        <v/>
      </c>
      <c r="S17" s="279" t="str">
        <f t="shared" si="1"/>
        <v/>
      </c>
      <c r="T17" s="279" t="str">
        <f t="shared" si="2"/>
        <v/>
      </c>
      <c r="U17" s="2283"/>
      <c r="V17" s="411"/>
      <c r="W17" s="412"/>
      <c r="X17" s="412"/>
      <c r="Y17" s="412"/>
      <c r="Z17" s="413"/>
      <c r="AA17" s="414"/>
      <c r="AB17" s="680"/>
      <c r="AC17" s="530" t="s">
        <v>247</v>
      </c>
      <c r="AD17" s="530"/>
      <c r="AE17" s="531" t="s">
        <v>247</v>
      </c>
      <c r="AF17" s="2280"/>
      <c r="AG17" s="2281"/>
      <c r="AH17" s="2281"/>
      <c r="AI17" s="421"/>
      <c r="AJ17" s="682"/>
      <c r="AK17" s="1712" t="s">
        <v>248</v>
      </c>
      <c r="AL17" s="453" t="s">
        <v>249</v>
      </c>
    </row>
    <row r="18" spans="1:38" hidden="1" x14ac:dyDescent="0.3">
      <c r="A18" s="244" t="s">
        <v>243</v>
      </c>
      <c r="B18" s="352">
        <v>1994</v>
      </c>
      <c r="C18" s="819"/>
      <c r="D18" s="820"/>
      <c r="E18" s="821"/>
      <c r="F18" s="311"/>
      <c r="G18" s="362"/>
      <c r="H18" s="2267" t="s">
        <v>245</v>
      </c>
      <c r="I18" s="2268"/>
      <c r="J18" s="2269"/>
      <c r="K18" s="2270"/>
      <c r="L18" s="2269"/>
      <c r="M18" s="2269"/>
      <c r="N18" s="402"/>
      <c r="O18" s="403"/>
      <c r="P18" s="404"/>
      <c r="Q18" s="401"/>
      <c r="R18" s="359" t="str">
        <f t="shared" si="0"/>
        <v/>
      </c>
      <c r="S18" s="279" t="str">
        <f t="shared" si="1"/>
        <v/>
      </c>
      <c r="T18" s="279" t="str">
        <f t="shared" si="2"/>
        <v/>
      </c>
      <c r="U18" s="2283"/>
      <c r="V18" s="411"/>
      <c r="W18" s="412"/>
      <c r="X18" s="412"/>
      <c r="Y18" s="412"/>
      <c r="Z18" s="413"/>
      <c r="AA18" s="414"/>
      <c r="AB18" s="680"/>
      <c r="AC18" s="530" t="s">
        <v>247</v>
      </c>
      <c r="AD18" s="530"/>
      <c r="AE18" s="531" t="s">
        <v>247</v>
      </c>
      <c r="AF18" s="2280"/>
      <c r="AG18" s="2281"/>
      <c r="AH18" s="2281"/>
      <c r="AI18" s="421"/>
      <c r="AJ18" s="682"/>
      <c r="AK18" s="1712" t="s">
        <v>248</v>
      </c>
      <c r="AL18" s="453" t="s">
        <v>249</v>
      </c>
    </row>
    <row r="19" spans="1:38" hidden="1" x14ac:dyDescent="0.3">
      <c r="A19" s="244" t="s">
        <v>243</v>
      </c>
      <c r="B19" s="352">
        <v>1995</v>
      </c>
      <c r="C19" s="819"/>
      <c r="D19" s="820"/>
      <c r="E19" s="821"/>
      <c r="F19" s="311"/>
      <c r="G19" s="362"/>
      <c r="H19" s="2267" t="s">
        <v>245</v>
      </c>
      <c r="I19" s="2268"/>
      <c r="J19" s="2269"/>
      <c r="K19" s="2270"/>
      <c r="L19" s="2269"/>
      <c r="M19" s="2269"/>
      <c r="N19" s="402"/>
      <c r="O19" s="2269"/>
      <c r="P19" s="2271"/>
      <c r="Q19" s="401"/>
      <c r="R19" s="359" t="str">
        <f t="shared" si="0"/>
        <v/>
      </c>
      <c r="S19" s="279" t="str">
        <f t="shared" si="1"/>
        <v/>
      </c>
      <c r="T19" s="279" t="str">
        <f t="shared" si="2"/>
        <v/>
      </c>
      <c r="U19" s="2283"/>
      <c r="V19" s="411"/>
      <c r="W19" s="412"/>
      <c r="X19" s="412"/>
      <c r="Y19" s="412"/>
      <c r="Z19" s="413"/>
      <c r="AA19" s="414"/>
      <c r="AB19" s="680"/>
      <c r="AC19" s="530" t="s">
        <v>247</v>
      </c>
      <c r="AD19" s="530"/>
      <c r="AE19" s="531" t="s">
        <v>247</v>
      </c>
      <c r="AF19" s="2280"/>
      <c r="AG19" s="2281"/>
      <c r="AH19" s="2281"/>
      <c r="AI19" s="421"/>
      <c r="AJ19" s="682"/>
      <c r="AK19" s="1712" t="s">
        <v>248</v>
      </c>
      <c r="AL19" s="453" t="s">
        <v>249</v>
      </c>
    </row>
    <row r="20" spans="1:38" hidden="1" x14ac:dyDescent="0.3">
      <c r="A20" s="244" t="s">
        <v>243</v>
      </c>
      <c r="B20" s="352">
        <v>1996</v>
      </c>
      <c r="C20" s="819"/>
      <c r="D20" s="820"/>
      <c r="E20" s="821"/>
      <c r="F20" s="311"/>
      <c r="G20" s="362"/>
      <c r="H20" s="2267" t="s">
        <v>245</v>
      </c>
      <c r="I20" s="2268"/>
      <c r="J20" s="2269"/>
      <c r="K20" s="2270"/>
      <c r="L20" s="2269"/>
      <c r="M20" s="2269"/>
      <c r="N20" s="2270"/>
      <c r="O20" s="2269"/>
      <c r="P20" s="2271"/>
      <c r="Q20" s="401"/>
      <c r="R20" s="359" t="str">
        <f t="shared" si="0"/>
        <v/>
      </c>
      <c r="S20" s="279" t="str">
        <f t="shared" si="1"/>
        <v/>
      </c>
      <c r="T20" s="279" t="str">
        <f t="shared" si="2"/>
        <v/>
      </c>
      <c r="U20" s="2283"/>
      <c r="V20" s="411"/>
      <c r="W20" s="412"/>
      <c r="X20" s="412"/>
      <c r="Y20" s="412"/>
      <c r="Z20" s="413"/>
      <c r="AA20" s="414"/>
      <c r="AB20" s="680"/>
      <c r="AC20" s="530" t="s">
        <v>247</v>
      </c>
      <c r="AD20" s="530"/>
      <c r="AE20" s="531" t="s">
        <v>247</v>
      </c>
      <c r="AF20" s="2280"/>
      <c r="AG20" s="2281"/>
      <c r="AH20" s="2281"/>
      <c r="AI20" s="421"/>
      <c r="AJ20" s="682" t="s">
        <v>245</v>
      </c>
      <c r="AK20" s="1712" t="s">
        <v>248</v>
      </c>
      <c r="AL20" s="453" t="s">
        <v>249</v>
      </c>
    </row>
    <row r="21" spans="1:38" hidden="1" x14ac:dyDescent="0.3">
      <c r="A21" s="244" t="s">
        <v>243</v>
      </c>
      <c r="B21" s="352">
        <v>1997</v>
      </c>
      <c r="C21" s="819"/>
      <c r="D21" s="820"/>
      <c r="E21" s="821"/>
      <c r="F21" s="311"/>
      <c r="G21" s="362"/>
      <c r="H21" s="2267" t="s">
        <v>245</v>
      </c>
      <c r="I21" s="2268"/>
      <c r="J21" s="2269"/>
      <c r="K21" s="2270"/>
      <c r="L21" s="2269"/>
      <c r="M21" s="2269"/>
      <c r="N21" s="2270"/>
      <c r="O21" s="2269"/>
      <c r="P21" s="2271"/>
      <c r="Q21" s="401"/>
      <c r="R21" s="359" t="str">
        <f t="shared" si="0"/>
        <v/>
      </c>
      <c r="S21" s="279" t="str">
        <f t="shared" si="1"/>
        <v/>
      </c>
      <c r="T21" s="279" t="str">
        <f t="shared" si="2"/>
        <v/>
      </c>
      <c r="U21" s="2283"/>
      <c r="V21" s="411"/>
      <c r="W21" s="412"/>
      <c r="X21" s="412"/>
      <c r="Y21" s="412"/>
      <c r="Z21" s="413"/>
      <c r="AA21" s="414"/>
      <c r="AB21" s="680"/>
      <c r="AC21" s="530" t="s">
        <v>247</v>
      </c>
      <c r="AD21" s="530"/>
      <c r="AE21" s="531" t="s">
        <v>247</v>
      </c>
      <c r="AF21" s="2280"/>
      <c r="AG21" s="2281"/>
      <c r="AH21" s="2281"/>
      <c r="AI21" s="2282"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67" t="s">
        <v>245</v>
      </c>
      <c r="I22" s="2268"/>
      <c r="J22" s="2269"/>
      <c r="K22" s="2270"/>
      <c r="L22" s="2269"/>
      <c r="M22" s="2269"/>
      <c r="N22" s="2270"/>
      <c r="O22" s="2269"/>
      <c r="P22" s="2271"/>
      <c r="Q22" s="401"/>
      <c r="R22" s="359" t="str">
        <f t="shared" si="0"/>
        <v/>
      </c>
      <c r="S22" s="279" t="str">
        <f t="shared" si="1"/>
        <v/>
      </c>
      <c r="T22" s="279" t="str">
        <f t="shared" si="2"/>
        <v/>
      </c>
      <c r="U22" s="2283"/>
      <c r="V22" s="411"/>
      <c r="W22" s="412"/>
      <c r="X22" s="412"/>
      <c r="Y22" s="412"/>
      <c r="Z22" s="413"/>
      <c r="AA22" s="414"/>
      <c r="AB22" s="681">
        <v>1209167</v>
      </c>
      <c r="AC22" s="692">
        <v>35737</v>
      </c>
      <c r="AD22" s="1192"/>
      <c r="AE22" s="531" t="s">
        <v>247</v>
      </c>
      <c r="AF22" s="2280">
        <v>68</v>
      </c>
      <c r="AG22" s="2281">
        <v>3.45</v>
      </c>
      <c r="AH22" s="2281" t="s">
        <v>252</v>
      </c>
      <c r="AI22" s="2282" t="s">
        <v>253</v>
      </c>
      <c r="AJ22" s="691" t="s">
        <v>254</v>
      </c>
      <c r="AK22" s="366" t="s">
        <v>255</v>
      </c>
      <c r="AL22" s="453" t="s">
        <v>249</v>
      </c>
    </row>
    <row r="23" spans="1:38" x14ac:dyDescent="0.3">
      <c r="A23" s="244" t="s">
        <v>243</v>
      </c>
      <c r="B23" s="352">
        <v>1999</v>
      </c>
      <c r="C23" s="819">
        <f>VLOOKUP($B23,'FW Age'!$A$6:$I$50,3)*$F23</f>
        <v>3025250.7566732978</v>
      </c>
      <c r="D23" s="820">
        <f>VLOOKUP($B23,'FW Age'!$A$6:$I$50,5)*$F23</f>
        <v>74492.243326702184</v>
      </c>
      <c r="E23" s="821">
        <f>VLOOKUP($B23,'FW Age'!$A$6:$I$50,7)*$F23</f>
        <v>0</v>
      </c>
      <c r="F23" s="311">
        <f t="shared" si="3"/>
        <v>3099743</v>
      </c>
      <c r="G23" s="362" t="s">
        <v>251</v>
      </c>
      <c r="H23" s="2267" t="s">
        <v>245</v>
      </c>
      <c r="I23" s="2268"/>
      <c r="J23" s="2269"/>
      <c r="K23" s="2270"/>
      <c r="L23" s="2269"/>
      <c r="M23" s="2269"/>
      <c r="N23" s="2270"/>
      <c r="O23" s="2269"/>
      <c r="P23" s="2271"/>
      <c r="Q23" s="401"/>
      <c r="R23" s="359" t="str">
        <f t="shared" si="0"/>
        <v/>
      </c>
      <c r="S23" s="279" t="str">
        <f t="shared" si="1"/>
        <v/>
      </c>
      <c r="T23" s="279" t="str">
        <f t="shared" si="2"/>
        <v/>
      </c>
      <c r="U23" s="2283"/>
      <c r="V23" s="411"/>
      <c r="W23" s="412"/>
      <c r="X23" s="412"/>
      <c r="Y23" s="412"/>
      <c r="Z23" s="413"/>
      <c r="AA23" s="414"/>
      <c r="AB23" s="681">
        <v>3099743</v>
      </c>
      <c r="AC23" s="692">
        <v>36070</v>
      </c>
      <c r="AD23" s="1192"/>
      <c r="AE23" s="2279">
        <v>341</v>
      </c>
      <c r="AF23" s="2280">
        <v>65</v>
      </c>
      <c r="AG23" s="2281">
        <v>3.3</v>
      </c>
      <c r="AH23" s="2281" t="s">
        <v>252</v>
      </c>
      <c r="AI23" s="2282" t="s">
        <v>256</v>
      </c>
      <c r="AJ23" s="682" t="s">
        <v>245</v>
      </c>
      <c r="AK23" s="366" t="s">
        <v>255</v>
      </c>
      <c r="AL23" s="453" t="s">
        <v>249</v>
      </c>
    </row>
    <row r="24" spans="1:38" x14ac:dyDescent="0.3">
      <c r="A24" s="244" t="s">
        <v>243</v>
      </c>
      <c r="B24" s="352">
        <v>2000</v>
      </c>
      <c r="C24" s="819">
        <f>VLOOKUP($B24,'FW Age'!$A$6:$I$50,3)*$F24</f>
        <v>210319.21331161959</v>
      </c>
      <c r="D24" s="820">
        <f>VLOOKUP($B24,'FW Age'!$A$6:$I$50,5)*$F24</f>
        <v>70318.640091335197</v>
      </c>
      <c r="E24" s="821">
        <f>VLOOKUP($B24,'FW Age'!$A$6:$I$50,7)*$F24</f>
        <v>695.14659704519477</v>
      </c>
      <c r="F24" s="311">
        <f t="shared" si="3"/>
        <v>281333</v>
      </c>
      <c r="G24" s="362" t="s">
        <v>251</v>
      </c>
      <c r="H24" s="2267" t="s">
        <v>245</v>
      </c>
      <c r="I24" s="2268"/>
      <c r="J24" s="2269"/>
      <c r="K24" s="2270"/>
      <c r="L24" s="2269"/>
      <c r="M24" s="2269"/>
      <c r="N24" s="2270"/>
      <c r="O24" s="2269"/>
      <c r="P24" s="2271"/>
      <c r="Q24" s="401"/>
      <c r="R24" s="359" t="str">
        <f t="shared" si="0"/>
        <v/>
      </c>
      <c r="S24" s="279" t="str">
        <f t="shared" si="1"/>
        <v/>
      </c>
      <c r="T24" s="279" t="str">
        <f t="shared" si="2"/>
        <v/>
      </c>
      <c r="U24" s="2283"/>
      <c r="V24" s="411"/>
      <c r="W24" s="412"/>
      <c r="X24" s="412"/>
      <c r="Y24" s="412"/>
      <c r="Z24" s="413"/>
      <c r="AA24" s="414"/>
      <c r="AB24" s="681">
        <v>281333</v>
      </c>
      <c r="AC24" s="692">
        <v>36428</v>
      </c>
      <c r="AD24" s="1192"/>
      <c r="AE24" s="531" t="s">
        <v>247</v>
      </c>
      <c r="AF24" s="2280"/>
      <c r="AG24" s="2281" t="s">
        <v>257</v>
      </c>
      <c r="AH24" s="2281"/>
      <c r="AI24" s="2282" t="s">
        <v>258</v>
      </c>
      <c r="AJ24" s="682" t="s">
        <v>245</v>
      </c>
      <c r="AK24" s="366" t="s">
        <v>255</v>
      </c>
      <c r="AL24" s="453" t="s">
        <v>249</v>
      </c>
    </row>
    <row r="25" spans="1:38" x14ac:dyDescent="0.3">
      <c r="A25" s="244" t="s">
        <v>243</v>
      </c>
      <c r="B25" s="352">
        <v>2001</v>
      </c>
      <c r="C25" s="819">
        <f>VLOOKUP($B25,'FW Age'!$A$6:$I$50,3)*$F25</f>
        <v>1335737.5101887116</v>
      </c>
      <c r="D25" s="820">
        <f>VLOOKUP($B25,'FW Age'!$A$6:$I$50,5)*$F25</f>
        <v>35796.03681759465</v>
      </c>
      <c r="E25" s="821">
        <f>VLOOKUP($B25,'FW Age'!$A$6:$I$50,7)*$F25</f>
        <v>75066.452993693732</v>
      </c>
      <c r="F25" s="311">
        <f t="shared" si="3"/>
        <v>1446600</v>
      </c>
      <c r="G25" s="362" t="s">
        <v>251</v>
      </c>
      <c r="H25" s="2267" t="s">
        <v>245</v>
      </c>
      <c r="I25" s="2268"/>
      <c r="J25" s="2269"/>
      <c r="K25" s="2270"/>
      <c r="L25" s="2269"/>
      <c r="M25" s="2269"/>
      <c r="N25" s="2270"/>
      <c r="O25" s="2269"/>
      <c r="P25" s="2271"/>
      <c r="Q25" s="401"/>
      <c r="R25" s="359" t="str">
        <f t="shared" si="0"/>
        <v/>
      </c>
      <c r="S25" s="279" t="str">
        <f t="shared" si="1"/>
        <v/>
      </c>
      <c r="T25" s="279" t="str">
        <f t="shared" si="2"/>
        <v/>
      </c>
      <c r="U25" s="2283"/>
      <c r="V25" s="411"/>
      <c r="W25" s="412"/>
      <c r="X25" s="412"/>
      <c r="Y25" s="412"/>
      <c r="Z25" s="413"/>
      <c r="AA25" s="414"/>
      <c r="AB25" s="681">
        <v>1446600</v>
      </c>
      <c r="AC25" s="692">
        <v>36796</v>
      </c>
      <c r="AD25" s="1192"/>
      <c r="AE25" s="2279">
        <v>91</v>
      </c>
      <c r="AF25" s="2280">
        <v>79</v>
      </c>
      <c r="AG25" s="2281">
        <v>5.5</v>
      </c>
      <c r="AH25" s="2281" t="s">
        <v>252</v>
      </c>
      <c r="AI25" s="2282" t="s">
        <v>259</v>
      </c>
      <c r="AJ25" s="682" t="s">
        <v>245</v>
      </c>
      <c r="AK25" s="366" t="s">
        <v>255</v>
      </c>
      <c r="AL25" s="453" t="s">
        <v>249</v>
      </c>
    </row>
    <row r="26" spans="1:38" x14ac:dyDescent="0.3">
      <c r="A26" s="244" t="s">
        <v>243</v>
      </c>
      <c r="B26" s="352">
        <v>2002</v>
      </c>
      <c r="C26" s="819">
        <f>VLOOKUP($B26,'FW Age'!$A$6:$I$50,3)*$F26</f>
        <v>2700101.026842413</v>
      </c>
      <c r="D26" s="820">
        <f>VLOOKUP($B26,'FW Age'!$A$6:$I$50,5)*$F26</f>
        <v>112443.60061692342</v>
      </c>
      <c r="E26" s="821">
        <f>VLOOKUP($B26,'FW Age'!$A$6:$I$50,7)*$F26</f>
        <v>67902.593880054774</v>
      </c>
      <c r="F26" s="311">
        <f t="shared" si="3"/>
        <v>2927009</v>
      </c>
      <c r="G26" s="362" t="s">
        <v>251</v>
      </c>
      <c r="H26" s="2267" t="s">
        <v>245</v>
      </c>
      <c r="I26" s="2268"/>
      <c r="J26" s="2269"/>
      <c r="K26" s="2270"/>
      <c r="L26" s="2269"/>
      <c r="M26" s="2269"/>
      <c r="N26" s="2270"/>
      <c r="O26" s="2269"/>
      <c r="P26" s="2271"/>
      <c r="Q26" s="401"/>
      <c r="R26" s="359" t="str">
        <f t="shared" si="0"/>
        <v/>
      </c>
      <c r="S26" s="279" t="str">
        <f t="shared" si="1"/>
        <v/>
      </c>
      <c r="T26" s="279" t="str">
        <f t="shared" si="2"/>
        <v/>
      </c>
      <c r="U26" s="2283"/>
      <c r="V26" s="411"/>
      <c r="W26" s="412"/>
      <c r="X26" s="412"/>
      <c r="Y26" s="412"/>
      <c r="Z26" s="413"/>
      <c r="AA26" s="414"/>
      <c r="AB26" s="681">
        <v>2927009</v>
      </c>
      <c r="AC26" s="692">
        <v>37222</v>
      </c>
      <c r="AD26" s="1192"/>
      <c r="AE26" s="2279">
        <v>120</v>
      </c>
      <c r="AF26" s="2280">
        <v>71.5</v>
      </c>
      <c r="AG26" s="2281">
        <v>3.4</v>
      </c>
      <c r="AH26" s="2281" t="s">
        <v>252</v>
      </c>
      <c r="AI26" s="2282" t="s">
        <v>260</v>
      </c>
      <c r="AJ26" s="682" t="s">
        <v>245</v>
      </c>
      <c r="AK26" s="366" t="s">
        <v>255</v>
      </c>
      <c r="AL26" s="453" t="s">
        <v>249</v>
      </c>
    </row>
    <row r="27" spans="1:38" x14ac:dyDescent="0.3">
      <c r="A27" s="244" t="s">
        <v>243</v>
      </c>
      <c r="B27" s="352">
        <v>2003</v>
      </c>
      <c r="C27" s="819">
        <f>VLOOKUP($B27,'FW Age'!$A$6:$I$50,3)*$F27</f>
        <v>1978103.1597367399</v>
      </c>
      <c r="D27" s="820">
        <f>VLOOKUP($B27,'FW Age'!$A$6:$I$50,5)*$F27</f>
        <v>47233.99996583438</v>
      </c>
      <c r="E27" s="821">
        <f>VLOOKUP($B27,'FW Age'!$A$6:$I$50,7)*$F27</f>
        <v>55640.840297425784</v>
      </c>
      <c r="F27" s="311">
        <f t="shared" si="3"/>
        <v>2080978</v>
      </c>
      <c r="G27" s="362" t="s">
        <v>251</v>
      </c>
      <c r="H27" s="2267" t="s">
        <v>245</v>
      </c>
      <c r="I27" s="2268"/>
      <c r="J27" s="2269"/>
      <c r="K27" s="2270"/>
      <c r="L27" s="2269"/>
      <c r="M27" s="2269"/>
      <c r="N27" s="2270"/>
      <c r="O27" s="2269"/>
      <c r="P27" s="2271"/>
      <c r="Q27" s="401"/>
      <c r="R27" s="359" t="str">
        <f t="shared" si="0"/>
        <v/>
      </c>
      <c r="S27" s="279" t="str">
        <f t="shared" si="1"/>
        <v/>
      </c>
      <c r="T27" s="279" t="str">
        <f t="shared" si="2"/>
        <v/>
      </c>
      <c r="U27" s="2283"/>
      <c r="V27" s="411"/>
      <c r="W27" s="412"/>
      <c r="X27" s="412"/>
      <c r="Y27" s="412"/>
      <c r="Z27" s="413"/>
      <c r="AA27" s="414"/>
      <c r="AB27" s="681">
        <v>2080978</v>
      </c>
      <c r="AC27" s="692">
        <v>37585</v>
      </c>
      <c r="AD27" s="1192"/>
      <c r="AE27" s="2279">
        <v>375</v>
      </c>
      <c r="AF27" s="2280">
        <v>72.599999999999994</v>
      </c>
      <c r="AG27" s="2281">
        <v>3.45</v>
      </c>
      <c r="AH27" s="2281" t="s">
        <v>252</v>
      </c>
      <c r="AI27" s="2282" t="s">
        <v>261</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67" t="s">
        <v>245</v>
      </c>
      <c r="I28" s="2268"/>
      <c r="J28" s="2269"/>
      <c r="K28" s="2270"/>
      <c r="L28" s="2269"/>
      <c r="M28" s="2269"/>
      <c r="N28" s="2270"/>
      <c r="O28" s="2269"/>
      <c r="P28" s="2271"/>
      <c r="Q28" s="401"/>
      <c r="R28" s="359" t="str">
        <f t="shared" si="0"/>
        <v/>
      </c>
      <c r="S28" s="279" t="str">
        <f t="shared" si="1"/>
        <v/>
      </c>
      <c r="T28" s="279" t="str">
        <f t="shared" si="2"/>
        <v/>
      </c>
      <c r="U28" s="2283"/>
      <c r="V28" s="411"/>
      <c r="W28" s="412"/>
      <c r="X28" s="412"/>
      <c r="Y28" s="412"/>
      <c r="Z28" s="413"/>
      <c r="AA28" s="414"/>
      <c r="AB28" s="681">
        <v>627855</v>
      </c>
      <c r="AC28" s="693">
        <v>38048</v>
      </c>
      <c r="AD28" s="1192"/>
      <c r="AE28" s="531" t="s">
        <v>247</v>
      </c>
      <c r="AF28" s="532">
        <v>46.6</v>
      </c>
      <c r="AG28" s="533">
        <v>1.44</v>
      </c>
      <c r="AH28" s="2281" t="s">
        <v>252</v>
      </c>
      <c r="AI28" s="2282" t="s">
        <v>262</v>
      </c>
      <c r="AJ28" s="691" t="s">
        <v>263</v>
      </c>
      <c r="AK28" s="366" t="s">
        <v>255</v>
      </c>
      <c r="AL28" s="453" t="s">
        <v>249</v>
      </c>
    </row>
    <row r="29" spans="1:38" x14ac:dyDescent="0.3">
      <c r="A29" s="244" t="s">
        <v>243</v>
      </c>
      <c r="B29" s="352">
        <v>2005</v>
      </c>
      <c r="C29" s="819">
        <f>VLOOKUP($B29,'FW Age'!$A$6:$I$50,3)*$F29</f>
        <v>723153.23474326544</v>
      </c>
      <c r="D29" s="820">
        <f>VLOOKUP($B29,'FW Age'!$A$6:$I$50,5)*$F29</f>
        <v>12651.765256734616</v>
      </c>
      <c r="E29" s="821">
        <f>VLOOKUP($B29,'FW Age'!$A$6:$I$50,7)*$F29</f>
        <v>0</v>
      </c>
      <c r="F29" s="311">
        <f t="shared" si="3"/>
        <v>735805</v>
      </c>
      <c r="G29" s="362" t="s">
        <v>251</v>
      </c>
      <c r="H29" s="2267" t="s">
        <v>245</v>
      </c>
      <c r="I29" s="2268"/>
      <c r="J29" s="2269"/>
      <c r="K29" s="2270"/>
      <c r="L29" s="2269"/>
      <c r="M29" s="2269"/>
      <c r="N29" s="2270"/>
      <c r="O29" s="2269"/>
      <c r="P29" s="2271"/>
      <c r="Q29" s="401"/>
      <c r="R29" s="359" t="str">
        <f t="shared" si="0"/>
        <v/>
      </c>
      <c r="S29" s="279" t="str">
        <f t="shared" si="1"/>
        <v/>
      </c>
      <c r="T29" s="279" t="str">
        <f t="shared" si="2"/>
        <v/>
      </c>
      <c r="U29" s="2283"/>
      <c r="V29" s="411"/>
      <c r="W29" s="412"/>
      <c r="X29" s="412"/>
      <c r="Y29" s="412"/>
      <c r="Z29" s="413"/>
      <c r="AA29" s="414"/>
      <c r="AB29" s="681">
        <v>735805</v>
      </c>
      <c r="AC29" s="693">
        <v>38402</v>
      </c>
      <c r="AD29" s="1192"/>
      <c r="AE29" s="2279">
        <v>82</v>
      </c>
      <c r="AF29" s="2280">
        <v>72</v>
      </c>
      <c r="AG29" s="2281">
        <v>4</v>
      </c>
      <c r="AH29" s="2281" t="s">
        <v>252</v>
      </c>
      <c r="AI29" s="690" t="s">
        <v>264</v>
      </c>
      <c r="AJ29" s="682" t="s">
        <v>245</v>
      </c>
      <c r="AK29" s="366" t="s">
        <v>255</v>
      </c>
      <c r="AL29" s="453" t="s">
        <v>249</v>
      </c>
    </row>
    <row r="30" spans="1:38" x14ac:dyDescent="0.3">
      <c r="A30" s="244" t="s">
        <v>243</v>
      </c>
      <c r="B30" s="352">
        <v>2006</v>
      </c>
      <c r="C30" s="819">
        <f>VLOOKUP($B30,'FW Age'!$A$6:$I$50,3)*$F30</f>
        <v>1763878.9201766672</v>
      </c>
      <c r="D30" s="820">
        <f>VLOOKUP($B30,'FW Age'!$A$6:$I$50,5)*$F30</f>
        <v>19621.079823332853</v>
      </c>
      <c r="E30" s="821">
        <f>VLOOKUP($B30,'FW Age'!$A$6:$I$50,7)*$F30</f>
        <v>0</v>
      </c>
      <c r="F30" s="311">
        <f t="shared" si="3"/>
        <v>1783500</v>
      </c>
      <c r="G30" s="362" t="s">
        <v>251</v>
      </c>
      <c r="H30" s="2267" t="s">
        <v>245</v>
      </c>
      <c r="I30" s="2268"/>
      <c r="J30" s="2269"/>
      <c r="K30" s="2270"/>
      <c r="L30" s="2269"/>
      <c r="M30" s="2269"/>
      <c r="N30" s="2270"/>
      <c r="O30" s="2269"/>
      <c r="P30" s="2271"/>
      <c r="Q30" s="401"/>
      <c r="R30" s="359" t="str">
        <f t="shared" si="0"/>
        <v/>
      </c>
      <c r="S30" s="279" t="str">
        <f t="shared" si="1"/>
        <v/>
      </c>
      <c r="T30" s="279" t="str">
        <f t="shared" si="2"/>
        <v/>
      </c>
      <c r="U30" s="2283"/>
      <c r="V30" s="411"/>
      <c r="W30" s="412"/>
      <c r="X30" s="412"/>
      <c r="Y30" s="412"/>
      <c r="Z30" s="413"/>
      <c r="AA30" s="414"/>
      <c r="AB30" s="681">
        <v>1783500</v>
      </c>
      <c r="AC30" s="693">
        <v>38735</v>
      </c>
      <c r="AD30" s="1192"/>
      <c r="AE30" s="2279">
        <v>292</v>
      </c>
      <c r="AF30" s="2280">
        <v>69.5</v>
      </c>
      <c r="AG30" s="2281">
        <v>3.4602739726027396</v>
      </c>
      <c r="AH30" s="2281" t="s">
        <v>252</v>
      </c>
      <c r="AI30" s="2282" t="s">
        <v>265</v>
      </c>
      <c r="AJ30" s="682" t="s">
        <v>245</v>
      </c>
      <c r="AK30" s="366" t="s">
        <v>255</v>
      </c>
      <c r="AL30" s="453" t="s">
        <v>249</v>
      </c>
    </row>
    <row r="31" spans="1:38" x14ac:dyDescent="0.3">
      <c r="A31" s="244" t="s">
        <v>243</v>
      </c>
      <c r="B31" s="352">
        <v>2007</v>
      </c>
      <c r="C31" s="819">
        <f>VLOOKUP($B31,'FW Age'!$A$6:$I$50,3)*$F31</f>
        <v>1968117.9513879544</v>
      </c>
      <c r="D31" s="820">
        <f>VLOOKUP($B31,'FW Age'!$A$6:$I$50,5)*$F31</f>
        <v>58591.048612045568</v>
      </c>
      <c r="E31" s="821">
        <f>VLOOKUP($B31,'FW Age'!$A$6:$I$50,7)*$F31</f>
        <v>0</v>
      </c>
      <c r="F31" s="311">
        <f t="shared" si="3"/>
        <v>2026709</v>
      </c>
      <c r="G31" s="362" t="s">
        <v>251</v>
      </c>
      <c r="H31" s="2267" t="s">
        <v>245</v>
      </c>
      <c r="I31" s="2268"/>
      <c r="J31" s="2269"/>
      <c r="K31" s="2270"/>
      <c r="L31" s="2269"/>
      <c r="M31" s="2269"/>
      <c r="N31" s="402"/>
      <c r="O31" s="2269"/>
      <c r="P31" s="2271"/>
      <c r="Q31" s="401"/>
      <c r="R31" s="359" t="str">
        <f t="shared" si="0"/>
        <v/>
      </c>
      <c r="S31" s="279" t="str">
        <f t="shared" si="1"/>
        <v/>
      </c>
      <c r="T31" s="279" t="str">
        <f t="shared" si="2"/>
        <v/>
      </c>
      <c r="U31" s="2283"/>
      <c r="V31" s="411"/>
      <c r="W31" s="412"/>
      <c r="X31" s="412"/>
      <c r="Y31" s="412"/>
      <c r="Z31" s="413"/>
      <c r="AA31" s="414"/>
      <c r="AB31" s="681">
        <v>2026709</v>
      </c>
      <c r="AC31" s="693">
        <v>39155</v>
      </c>
      <c r="AD31" s="1192"/>
      <c r="AE31" s="2279">
        <v>827</v>
      </c>
      <c r="AF31" s="2280">
        <v>70</v>
      </c>
      <c r="AG31" s="2281">
        <v>3.6011366384522363</v>
      </c>
      <c r="AH31" s="2281" t="s">
        <v>252</v>
      </c>
      <c r="AI31" s="2282" t="s">
        <v>266</v>
      </c>
      <c r="AJ31" s="682" t="s">
        <v>245</v>
      </c>
      <c r="AK31" s="366" t="s">
        <v>255</v>
      </c>
      <c r="AL31" s="453" t="s">
        <v>249</v>
      </c>
    </row>
    <row r="32" spans="1:38" x14ac:dyDescent="0.3">
      <c r="A32" s="244" t="s">
        <v>243</v>
      </c>
      <c r="B32" s="352">
        <v>2008</v>
      </c>
      <c r="C32" s="819">
        <f>VLOOKUP($B32,'FW Age'!$A$6:$I$50,3)*$F32</f>
        <v>2120211.4699002644</v>
      </c>
      <c r="D32" s="820">
        <f>VLOOKUP($B32,'FW Age'!$A$6:$I$50,5)*$F32</f>
        <v>13482.530099735462</v>
      </c>
      <c r="E32" s="821">
        <f>VLOOKUP($B32,'FW Age'!$A$6:$I$50,7)*$F32</f>
        <v>0</v>
      </c>
      <c r="F32" s="311">
        <f t="shared" si="3"/>
        <v>2133694</v>
      </c>
      <c r="G32" s="362" t="s">
        <v>251</v>
      </c>
      <c r="H32" s="2267" t="s">
        <v>245</v>
      </c>
      <c r="I32" s="2268"/>
      <c r="J32" s="2269"/>
      <c r="K32" s="2270"/>
      <c r="L32" s="2269"/>
      <c r="M32" s="2269"/>
      <c r="N32" s="2270"/>
      <c r="O32" s="2269"/>
      <c r="P32" s="2271"/>
      <c r="Q32" s="401"/>
      <c r="R32" s="359" t="str">
        <f t="shared" si="0"/>
        <v/>
      </c>
      <c r="S32" s="279" t="str">
        <f t="shared" si="1"/>
        <v/>
      </c>
      <c r="T32" s="279" t="str">
        <f t="shared" si="2"/>
        <v/>
      </c>
      <c r="U32" s="2283"/>
      <c r="V32" s="411"/>
      <c r="W32" s="412"/>
      <c r="X32" s="412"/>
      <c r="Y32" s="412"/>
      <c r="Z32" s="413"/>
      <c r="AA32" s="414"/>
      <c r="AB32" s="681">
        <v>2133694</v>
      </c>
      <c r="AC32" s="693">
        <v>39462</v>
      </c>
      <c r="AD32" s="1192"/>
      <c r="AE32" s="2279">
        <v>947</v>
      </c>
      <c r="AF32" s="2280">
        <v>69</v>
      </c>
      <c r="AG32" s="2281">
        <v>3.17</v>
      </c>
      <c r="AH32" s="2281" t="s">
        <v>252</v>
      </c>
      <c r="AI32" s="2282" t="s">
        <v>267</v>
      </c>
      <c r="AJ32" s="682" t="s">
        <v>245</v>
      </c>
      <c r="AK32" s="366" t="s">
        <v>255</v>
      </c>
      <c r="AL32" s="453" t="s">
        <v>249</v>
      </c>
    </row>
    <row r="33" spans="1:38" x14ac:dyDescent="0.3">
      <c r="A33" s="244" t="s">
        <v>243</v>
      </c>
      <c r="B33" s="352">
        <v>2009</v>
      </c>
      <c r="C33" s="819">
        <f>VLOOKUP($B33,'FW Age'!$A$6:$I$50,3)*$F33</f>
        <v>790554.91624050215</v>
      </c>
      <c r="D33" s="820">
        <f>VLOOKUP($B33,'FW Age'!$A$6:$I$50,5)*$F33</f>
        <v>84772.083759497851</v>
      </c>
      <c r="E33" s="821">
        <f>VLOOKUP($B33,'FW Age'!$A$6:$I$50,7)*$F33</f>
        <v>0</v>
      </c>
      <c r="F33" s="311">
        <f t="shared" si="3"/>
        <v>875327</v>
      </c>
      <c r="G33" s="362" t="s">
        <v>251</v>
      </c>
      <c r="H33" s="2267" t="s">
        <v>245</v>
      </c>
      <c r="I33" s="2268"/>
      <c r="J33" s="2269"/>
      <c r="K33" s="2270"/>
      <c r="L33" s="2269"/>
      <c r="M33" s="2269"/>
      <c r="N33" s="402"/>
      <c r="O33" s="2269"/>
      <c r="P33" s="2271"/>
      <c r="Q33" s="401"/>
      <c r="R33" s="359" t="str">
        <f t="shared" si="0"/>
        <v/>
      </c>
      <c r="S33" s="279" t="str">
        <f t="shared" si="1"/>
        <v/>
      </c>
      <c r="T33" s="279" t="str">
        <f t="shared" si="2"/>
        <v/>
      </c>
      <c r="U33" s="2283"/>
      <c r="V33" s="411"/>
      <c r="W33" s="412"/>
      <c r="X33" s="412"/>
      <c r="Y33" s="412"/>
      <c r="Z33" s="413"/>
      <c r="AA33" s="414"/>
      <c r="AB33" s="681">
        <v>875327</v>
      </c>
      <c r="AC33" s="692">
        <v>39757</v>
      </c>
      <c r="AD33" s="1192"/>
      <c r="AE33" s="2279">
        <v>438</v>
      </c>
      <c r="AF33" s="2280">
        <v>77</v>
      </c>
      <c r="AG33" s="2281">
        <v>5.6</v>
      </c>
      <c r="AH33" s="2281" t="s">
        <v>252</v>
      </c>
      <c r="AI33" s="2282" t="s">
        <v>268</v>
      </c>
      <c r="AJ33" s="682" t="s">
        <v>245</v>
      </c>
      <c r="AK33" s="366" t="s">
        <v>255</v>
      </c>
      <c r="AL33" s="453" t="s">
        <v>249</v>
      </c>
    </row>
    <row r="34" spans="1:38" x14ac:dyDescent="0.3">
      <c r="A34" s="244" t="s">
        <v>243</v>
      </c>
      <c r="B34" s="352">
        <v>2010</v>
      </c>
      <c r="C34" s="819">
        <f>VLOOKUP($B34,'FW Age'!$A$6:$I$50,3)*$F34</f>
        <v>7296903.2827671012</v>
      </c>
      <c r="D34" s="820">
        <f>VLOOKUP($B34,'FW Age'!$A$6:$I$50,5)*$F34</f>
        <v>191402.71723289814</v>
      </c>
      <c r="E34" s="821">
        <f>VLOOKUP($B34,'FW Age'!$A$6:$I$50,7)*$F34</f>
        <v>0</v>
      </c>
      <c r="F34" s="311">
        <f t="shared" si="3"/>
        <v>7488306</v>
      </c>
      <c r="G34" s="362" t="s">
        <v>251</v>
      </c>
      <c r="H34" s="2267" t="s">
        <v>245</v>
      </c>
      <c r="I34" s="2268"/>
      <c r="J34" s="2269"/>
      <c r="K34" s="2270"/>
      <c r="L34" s="2269"/>
      <c r="M34" s="2269"/>
      <c r="N34" s="402"/>
      <c r="O34" s="2269"/>
      <c r="P34" s="2271"/>
      <c r="Q34" s="401"/>
      <c r="R34" s="359" t="str">
        <f t="shared" si="0"/>
        <v/>
      </c>
      <c r="S34" s="279" t="str">
        <f t="shared" si="1"/>
        <v/>
      </c>
      <c r="T34" s="279" t="str">
        <f t="shared" si="2"/>
        <v/>
      </c>
      <c r="U34" s="2283"/>
      <c r="V34" s="411"/>
      <c r="W34" s="412"/>
      <c r="X34" s="412"/>
      <c r="Y34" s="412"/>
      <c r="Z34" s="413"/>
      <c r="AA34" s="414"/>
      <c r="AB34" s="681">
        <v>7488306</v>
      </c>
      <c r="AC34" s="693">
        <v>40219</v>
      </c>
      <c r="AD34" s="1192"/>
      <c r="AE34" s="2279">
        <v>791</v>
      </c>
      <c r="AF34" s="2280">
        <v>71</v>
      </c>
      <c r="AG34" s="2281">
        <v>3.3615676359039193</v>
      </c>
      <c r="AH34" s="2281" t="s">
        <v>252</v>
      </c>
      <c r="AI34" s="2282" t="s">
        <v>269</v>
      </c>
      <c r="AJ34" s="682"/>
      <c r="AK34" s="366" t="s">
        <v>255</v>
      </c>
      <c r="AL34" s="453" t="s">
        <v>249</v>
      </c>
    </row>
    <row r="35" spans="1:38" x14ac:dyDescent="0.3">
      <c r="A35" s="244" t="s">
        <v>243</v>
      </c>
      <c r="B35" s="352">
        <v>2011</v>
      </c>
      <c r="C35" s="819">
        <f>VLOOKUP($B35,'FW Age'!$A$6:$I$50,3)*$F35</f>
        <v>742325.05888447911</v>
      </c>
      <c r="D35" s="820">
        <f>VLOOKUP($B35,'FW Age'!$A$6:$I$50,5)*$F35</f>
        <v>70114.441115520953</v>
      </c>
      <c r="E35" s="821">
        <f>VLOOKUP($B35,'FW Age'!$A$6:$I$50,7)*$F35</f>
        <v>0</v>
      </c>
      <c r="F35" s="1078">
        <f>$AB35-Deduct_Hatchery_Survivors*$AD35</f>
        <v>812439.5</v>
      </c>
      <c r="G35" s="768" t="s">
        <v>270</v>
      </c>
      <c r="H35" s="2267" t="s">
        <v>245</v>
      </c>
      <c r="I35" s="2268"/>
      <c r="J35" s="2269"/>
      <c r="K35" s="2270"/>
      <c r="L35" s="2269"/>
      <c r="M35" s="2269"/>
      <c r="N35" s="402"/>
      <c r="O35" s="2269"/>
      <c r="P35" s="2271"/>
      <c r="Q35" s="401"/>
      <c r="R35" s="359" t="str">
        <f t="shared" si="0"/>
        <v/>
      </c>
      <c r="S35" s="279" t="str">
        <f t="shared" si="1"/>
        <v/>
      </c>
      <c r="T35" s="279" t="str">
        <f t="shared" si="2"/>
        <v/>
      </c>
      <c r="U35" s="2283"/>
      <c r="V35" s="411"/>
      <c r="W35" s="412"/>
      <c r="X35" s="412"/>
      <c r="Y35" s="412"/>
      <c r="Z35" s="413"/>
      <c r="AA35" s="414"/>
      <c r="AB35" s="712">
        <f>929531</f>
        <v>929531</v>
      </c>
      <c r="AC35" s="693">
        <v>40612</v>
      </c>
      <c r="AD35" s="1193">
        <f>'Hatchery releases'!K10</f>
        <v>117091.5</v>
      </c>
      <c r="AE35" s="2279">
        <v>461</v>
      </c>
      <c r="AF35" s="2280">
        <v>76.989999999999995</v>
      </c>
      <c r="AG35" s="2281">
        <v>4.8154013015184383</v>
      </c>
      <c r="AH35" s="2281" t="s">
        <v>252</v>
      </c>
      <c r="AI35" s="2282" t="s">
        <v>271</v>
      </c>
      <c r="AJ35" s="939" t="s">
        <v>272</v>
      </c>
      <c r="AK35" s="366" t="s">
        <v>255</v>
      </c>
      <c r="AL35" s="453" t="s">
        <v>249</v>
      </c>
    </row>
    <row r="36" spans="1:38" x14ac:dyDescent="0.3">
      <c r="A36" s="244" t="s">
        <v>243</v>
      </c>
      <c r="B36" s="352">
        <v>2012</v>
      </c>
      <c r="C36" s="819">
        <f>VLOOKUP($B36,'FW Age'!$A$6:$I$50,3)*$F36</f>
        <v>4417284.8335783156</v>
      </c>
      <c r="D36" s="820">
        <f>VLOOKUP($B36,'FW Age'!$A$6:$I$50,5)*$F36</f>
        <v>18515.166421684684</v>
      </c>
      <c r="E36" s="821">
        <f>VLOOKUP($B36,'FW Age'!$A$6:$I$50,7)*$F36</f>
        <v>0</v>
      </c>
      <c r="F36" s="311">
        <f t="shared" si="3"/>
        <v>4435800</v>
      </c>
      <c r="G36" s="362" t="s">
        <v>251</v>
      </c>
      <c r="H36" s="2267" t="s">
        <v>245</v>
      </c>
      <c r="I36" s="2268"/>
      <c r="J36" s="2269"/>
      <c r="K36" s="402"/>
      <c r="L36" s="2269"/>
      <c r="M36" s="2269"/>
      <c r="N36" s="402"/>
      <c r="O36" s="403"/>
      <c r="P36" s="404"/>
      <c r="Q36" s="401"/>
      <c r="R36" s="359" t="str">
        <f t="shared" si="0"/>
        <v/>
      </c>
      <c r="S36" s="279" t="str">
        <f t="shared" si="1"/>
        <v/>
      </c>
      <c r="T36" s="279" t="str">
        <f t="shared" si="2"/>
        <v/>
      </c>
      <c r="U36" s="410"/>
      <c r="V36" s="415"/>
      <c r="W36" s="416"/>
      <c r="X36" s="416"/>
      <c r="Y36" s="416"/>
      <c r="Z36" s="417"/>
      <c r="AA36" s="418"/>
      <c r="AB36" s="681">
        <v>4435800</v>
      </c>
      <c r="AC36" s="693">
        <v>40987</v>
      </c>
      <c r="AD36" s="1193"/>
      <c r="AE36" s="2279">
        <v>1341</v>
      </c>
      <c r="AF36" s="2280">
        <v>73</v>
      </c>
      <c r="AG36" s="2281">
        <v>3.9872483221476509</v>
      </c>
      <c r="AH36" s="2281" t="s">
        <v>252</v>
      </c>
      <c r="AI36" s="2282" t="s">
        <v>273</v>
      </c>
      <c r="AJ36" s="682" t="s">
        <v>245</v>
      </c>
      <c r="AK36" s="366" t="s">
        <v>255</v>
      </c>
      <c r="AL36" s="453" t="s">
        <v>249</v>
      </c>
    </row>
    <row r="37" spans="1:38" ht="15" customHeight="1" x14ac:dyDescent="0.3">
      <c r="A37" s="244" t="s">
        <v>243</v>
      </c>
      <c r="B37" s="352">
        <v>2013</v>
      </c>
      <c r="C37" s="819">
        <f>VLOOKUP($B37,'FW Age'!$A$6:$I$50,3)*$F37</f>
        <v>2552185.8102497705</v>
      </c>
      <c r="D37" s="820">
        <f>VLOOKUP($B37,'FW Age'!$A$6:$I$50,5)*$F37</f>
        <v>51421.18975022978</v>
      </c>
      <c r="E37" s="821">
        <f>VLOOKUP($B37,'FW Age'!$A$6:$I$50,7)*$F37</f>
        <v>0</v>
      </c>
      <c r="F37" s="1078">
        <f>$AB37-Deduct_Hatchery_Survivors*$AD37</f>
        <v>2603607</v>
      </c>
      <c r="G37" s="768" t="s">
        <v>270</v>
      </c>
      <c r="H37" s="2267" t="s">
        <v>245</v>
      </c>
      <c r="I37" s="2268"/>
      <c r="J37" s="2269"/>
      <c r="K37" s="402"/>
      <c r="L37" s="403"/>
      <c r="M37" s="403"/>
      <c r="N37" s="402"/>
      <c r="O37" s="403"/>
      <c r="P37" s="404"/>
      <c r="Q37" s="401"/>
      <c r="R37" s="359" t="str">
        <f t="shared" si="0"/>
        <v/>
      </c>
      <c r="S37" s="279" t="str">
        <f t="shared" si="1"/>
        <v/>
      </c>
      <c r="T37" s="279" t="str">
        <f t="shared" si="2"/>
        <v/>
      </c>
      <c r="U37" s="410"/>
      <c r="V37" s="419"/>
      <c r="W37" s="322">
        <f>DATE($B37,5,15)</f>
        <v>41409</v>
      </c>
      <c r="X37" s="322">
        <f>DATE($B37,5,24)</f>
        <v>41418</v>
      </c>
      <c r="Y37" s="322">
        <f>DATE($B37,6,2)</f>
        <v>41427</v>
      </c>
      <c r="Z37" s="417"/>
      <c r="AA37" s="418" t="s">
        <v>274</v>
      </c>
      <c r="AB37" s="712">
        <f>2898435</f>
        <v>2898435</v>
      </c>
      <c r="AC37" s="693">
        <v>41320</v>
      </c>
      <c r="AD37" s="1193">
        <f>'Hatchery releases'!K12</f>
        <v>294828</v>
      </c>
      <c r="AE37" s="2279">
        <v>1088</v>
      </c>
      <c r="AF37" s="2280">
        <v>70.999999999999986</v>
      </c>
      <c r="AG37" s="2281">
        <v>3.549448529411765</v>
      </c>
      <c r="AH37" s="2281" t="s">
        <v>252</v>
      </c>
      <c r="AI37" s="2282" t="s">
        <v>275</v>
      </c>
      <c r="AJ37" s="682" t="s">
        <v>245</v>
      </c>
      <c r="AK37" s="366" t="s">
        <v>255</v>
      </c>
      <c r="AL37" s="453" t="s">
        <v>249</v>
      </c>
    </row>
    <row r="38" spans="1:38" x14ac:dyDescent="0.3">
      <c r="A38" s="244" t="s">
        <v>243</v>
      </c>
      <c r="B38" s="352">
        <v>2014</v>
      </c>
      <c r="C38" s="819">
        <f>VLOOKUP($B38,'FW Age'!$A$6:$I$50,3)*$F38</f>
        <v>4914339.860655576</v>
      </c>
      <c r="D38" s="820">
        <f>VLOOKUP($B38,'FW Age'!$A$6:$I$50,5)*$F38</f>
        <v>24651.139344423962</v>
      </c>
      <c r="E38" s="821">
        <f>VLOOKUP($B38,'FW Age'!$A$6:$I$50,7)*$F38</f>
        <v>0</v>
      </c>
      <c r="F38" s="1078">
        <f>$AB38-Deduct_Hatchery_Survivors*$AD38</f>
        <v>4938991</v>
      </c>
      <c r="G38" s="768" t="s">
        <v>270</v>
      </c>
      <c r="H38" s="2267" t="s">
        <v>245</v>
      </c>
      <c r="I38" s="2268"/>
      <c r="J38" s="2269"/>
      <c r="K38" s="402"/>
      <c r="L38" s="403"/>
      <c r="M38" s="403"/>
      <c r="N38" s="402"/>
      <c r="O38" s="403"/>
      <c r="P38" s="404"/>
      <c r="Q38" s="401"/>
      <c r="R38" s="359" t="str">
        <f t="shared" si="0"/>
        <v/>
      </c>
      <c r="S38" s="279" t="str">
        <f t="shared" si="1"/>
        <v/>
      </c>
      <c r="T38" s="279" t="str">
        <f t="shared" si="2"/>
        <v/>
      </c>
      <c r="U38" s="410"/>
      <c r="V38" s="456"/>
      <c r="W38" s="322">
        <f>DATE($B38,5,16)</f>
        <v>41775</v>
      </c>
      <c r="X38" s="322">
        <f>DATE($B38,5,21)</f>
        <v>41780</v>
      </c>
      <c r="Y38" s="322">
        <f>DATE($B38,5,28)</f>
        <v>41787</v>
      </c>
      <c r="Z38" s="417"/>
      <c r="AA38" s="418" t="s">
        <v>274</v>
      </c>
      <c r="AB38" s="712">
        <f>5002124</f>
        <v>5002124</v>
      </c>
      <c r="AC38" s="693">
        <v>41716</v>
      </c>
      <c r="AD38" s="1193">
        <f>'Hatchery releases'!K13</f>
        <v>63133.000000000007</v>
      </c>
      <c r="AE38" s="2279">
        <v>1171</v>
      </c>
      <c r="AF38" s="2280">
        <v>66.333333333333329</v>
      </c>
      <c r="AG38" s="2281">
        <v>3.0657557643040136</v>
      </c>
      <c r="AH38" s="2281" t="s">
        <v>252</v>
      </c>
      <c r="AI38" s="2282" t="s">
        <v>276</v>
      </c>
      <c r="AJ38" s="682" t="s">
        <v>245</v>
      </c>
      <c r="AK38" s="366" t="s">
        <v>255</v>
      </c>
      <c r="AL38" s="453" t="s">
        <v>249</v>
      </c>
    </row>
    <row r="39" spans="1:38" x14ac:dyDescent="0.3">
      <c r="A39" s="244" t="s">
        <v>243</v>
      </c>
      <c r="B39" s="352">
        <v>2015</v>
      </c>
      <c r="C39" s="819">
        <f>VLOOKUP($B39,'FW Age'!$A$6:$I$50,3)*$F39</f>
        <v>2157174.0686871796</v>
      </c>
      <c r="D39" s="820">
        <f>VLOOKUP($B39,'FW Age'!$A$6:$I$50,5)*$F39</f>
        <v>52371.931312820649</v>
      </c>
      <c r="E39" s="821">
        <f>VLOOKUP($B39,'FW Age'!$A$6:$I$50,7)*$F39</f>
        <v>0</v>
      </c>
      <c r="F39" s="311">
        <f t="shared" si="3"/>
        <v>2209546</v>
      </c>
      <c r="G39" s="362" t="s">
        <v>251</v>
      </c>
      <c r="H39" s="2267" t="s">
        <v>245</v>
      </c>
      <c r="I39" s="2268"/>
      <c r="J39" s="2269"/>
      <c r="K39" s="2270"/>
      <c r="L39" s="2269"/>
      <c r="M39" s="2269"/>
      <c r="N39" s="402"/>
      <c r="O39" s="2269"/>
      <c r="P39" s="2271"/>
      <c r="Q39" s="401"/>
      <c r="R39" s="359" t="str">
        <f t="shared" si="0"/>
        <v/>
      </c>
      <c r="S39" s="279" t="str">
        <f t="shared" si="1"/>
        <v/>
      </c>
      <c r="T39" s="279" t="str">
        <f t="shared" si="2"/>
        <v/>
      </c>
      <c r="U39" s="2283"/>
      <c r="V39" s="456"/>
      <c r="W39" s="322">
        <f>DATE($B39,5,17)</f>
        <v>42141</v>
      </c>
      <c r="X39" s="322">
        <f>DATE($B39,5,21)</f>
        <v>42145</v>
      </c>
      <c r="Y39" s="322">
        <f>DATE($B39,5,27)</f>
        <v>42151</v>
      </c>
      <c r="Z39" s="416"/>
      <c r="AA39" s="418" t="s">
        <v>274</v>
      </c>
      <c r="AB39" s="681">
        <v>2209546</v>
      </c>
      <c r="AC39" s="693">
        <v>42062</v>
      </c>
      <c r="AD39" s="1192"/>
      <c r="AE39" s="2279">
        <v>601</v>
      </c>
      <c r="AF39" s="2280">
        <v>71.5</v>
      </c>
      <c r="AG39" s="2281">
        <v>3.9257903494176376</v>
      </c>
      <c r="AH39" s="2281" t="s">
        <v>252</v>
      </c>
      <c r="AI39" s="2282" t="s">
        <v>277</v>
      </c>
      <c r="AJ39" s="682" t="s">
        <v>245</v>
      </c>
      <c r="AK39" s="366" t="s">
        <v>255</v>
      </c>
      <c r="AL39" s="453" t="s">
        <v>249</v>
      </c>
    </row>
    <row r="40" spans="1:38" x14ac:dyDescent="0.3">
      <c r="A40" s="244" t="s">
        <v>243</v>
      </c>
      <c r="B40" s="352">
        <v>2016</v>
      </c>
      <c r="C40" s="819">
        <f>VLOOKUP($B40,'FW Age'!$A$6:$I$50,3)*$F40</f>
        <v>7332961.9242534088</v>
      </c>
      <c r="D40" s="820">
        <f>VLOOKUP($B40,'FW Age'!$A$6:$I$50,5)*$F40</f>
        <v>50189.075746590781</v>
      </c>
      <c r="E40" s="821">
        <f>VLOOKUP($B40,'FW Age'!$A$6:$I$50,7)*$F40</f>
        <v>0</v>
      </c>
      <c r="F40" s="311">
        <f t="shared" si="3"/>
        <v>7383151</v>
      </c>
      <c r="G40" s="362" t="s">
        <v>251</v>
      </c>
      <c r="H40" s="2267" t="s">
        <v>245</v>
      </c>
      <c r="I40" s="2268"/>
      <c r="J40" s="2269"/>
      <c r="K40" s="402"/>
      <c r="L40" s="2269"/>
      <c r="M40" s="2269"/>
      <c r="N40" s="402"/>
      <c r="O40" s="2269"/>
      <c r="P40" s="2271"/>
      <c r="Q40" s="401"/>
      <c r="R40" s="359" t="str">
        <f t="shared" si="0"/>
        <v/>
      </c>
      <c r="S40" s="279" t="str">
        <f t="shared" si="1"/>
        <v/>
      </c>
      <c r="T40" s="279" t="str">
        <f t="shared" si="2"/>
        <v/>
      </c>
      <c r="U40" s="410"/>
      <c r="V40" s="457"/>
      <c r="W40" s="322">
        <f>DATE($B40,5,1)</f>
        <v>42491</v>
      </c>
      <c r="X40" s="322">
        <f>DATE($B40,5,12)</f>
        <v>42502</v>
      </c>
      <c r="Y40" s="322">
        <f>DATE($B40,5,20)</f>
        <v>42510</v>
      </c>
      <c r="Z40" s="413"/>
      <c r="AA40" s="418" t="s">
        <v>274</v>
      </c>
      <c r="AB40" s="681">
        <v>7383151</v>
      </c>
      <c r="AC40" s="693">
        <v>42432</v>
      </c>
      <c r="AD40" s="1192"/>
      <c r="AE40" s="2279">
        <v>999</v>
      </c>
      <c r="AF40" s="532">
        <v>63</v>
      </c>
      <c r="AG40" s="533">
        <v>2.5393393393393393</v>
      </c>
      <c r="AH40" s="2281" t="s">
        <v>252</v>
      </c>
      <c r="AI40" s="421" t="s">
        <v>278</v>
      </c>
      <c r="AJ40" s="691" t="s">
        <v>279</v>
      </c>
      <c r="AK40" s="366" t="s">
        <v>255</v>
      </c>
      <c r="AL40" s="453" t="s">
        <v>249</v>
      </c>
    </row>
    <row r="41" spans="1:38" x14ac:dyDescent="0.3">
      <c r="A41" s="244" t="s">
        <v>243</v>
      </c>
      <c r="B41" s="352">
        <v>2017</v>
      </c>
      <c r="C41" s="819">
        <f>VLOOKUP($B41,'FW Age'!$A$6:$I$50,3)*$F41</f>
        <v>1849125.1252109017</v>
      </c>
      <c r="D41" s="820">
        <f>VLOOKUP($B41,'FW Age'!$A$6:$I$50,5)*$F41</f>
        <v>36586.874789098336</v>
      </c>
      <c r="E41" s="821">
        <f>VLOOKUP($B41,'FW Age'!$A$6:$I$50,7)*$F41</f>
        <v>0</v>
      </c>
      <c r="F41" s="311">
        <f t="shared" si="3"/>
        <v>1885712</v>
      </c>
      <c r="G41" s="362" t="s">
        <v>251</v>
      </c>
      <c r="H41" s="2267" t="s">
        <v>245</v>
      </c>
      <c r="I41" s="2268"/>
      <c r="J41" s="2269"/>
      <c r="K41" s="402"/>
      <c r="L41" s="2269"/>
      <c r="M41" s="2269"/>
      <c r="N41" s="402"/>
      <c r="O41" s="2269"/>
      <c r="P41" s="2271"/>
      <c r="Q41" s="401"/>
      <c r="R41" s="359" t="str">
        <f t="shared" si="0"/>
        <v/>
      </c>
      <c r="S41" s="279" t="str">
        <f t="shared" si="1"/>
        <v/>
      </c>
      <c r="T41" s="279" t="str">
        <f t="shared" si="2"/>
        <v/>
      </c>
      <c r="U41" s="410"/>
      <c r="V41" s="458"/>
      <c r="W41" s="322">
        <f>DATE($B41,5,14)</f>
        <v>42869</v>
      </c>
      <c r="X41" s="322">
        <f>DATE($B41,5,18)</f>
        <v>42873</v>
      </c>
      <c r="Y41" s="322">
        <f>DATE($B41,5,25)</f>
        <v>42880</v>
      </c>
      <c r="Z41" s="413"/>
      <c r="AA41" s="418" t="s">
        <v>274</v>
      </c>
      <c r="AB41" s="681">
        <v>1885712</v>
      </c>
      <c r="AC41" s="693">
        <v>42822</v>
      </c>
      <c r="AD41" s="1192"/>
      <c r="AE41" s="2279">
        <v>605</v>
      </c>
      <c r="AF41" s="2280">
        <v>81</v>
      </c>
      <c r="AG41" s="2281">
        <v>5.5925619834710742</v>
      </c>
      <c r="AH41" s="2281" t="s">
        <v>252</v>
      </c>
      <c r="AI41" s="2282" t="s">
        <v>280</v>
      </c>
      <c r="AJ41" s="682" t="s">
        <v>245</v>
      </c>
      <c r="AK41" s="366" t="s">
        <v>255</v>
      </c>
      <c r="AL41" s="453" t="s">
        <v>249</v>
      </c>
    </row>
    <row r="42" spans="1:38" x14ac:dyDescent="0.3">
      <c r="A42" s="244" t="s">
        <v>243</v>
      </c>
      <c r="B42" s="352">
        <v>2018</v>
      </c>
      <c r="C42" s="819">
        <f>VLOOKUP($B42,'FW Age'!$A$6:$I$50,3)*$F42</f>
        <v>4121374.9372780812</v>
      </c>
      <c r="D42" s="820">
        <f>VLOOKUP($B42,'FW Age'!$A$6:$I$50,5)*$F42</f>
        <v>1421.0627219189009</v>
      </c>
      <c r="E42" s="821">
        <f>VLOOKUP($B42,'FW Age'!$A$6:$I$50,7)*$F42</f>
        <v>0</v>
      </c>
      <c r="F42" s="311">
        <f t="shared" si="3"/>
        <v>4122796</v>
      </c>
      <c r="G42" s="362" t="s">
        <v>251</v>
      </c>
      <c r="H42" s="2267" t="s">
        <v>245</v>
      </c>
      <c r="I42" s="2268"/>
      <c r="J42" s="2269"/>
      <c r="K42" s="2270"/>
      <c r="L42" s="2269"/>
      <c r="M42" s="2269"/>
      <c r="N42" s="2270"/>
      <c r="O42" s="2269"/>
      <c r="P42" s="2271"/>
      <c r="Q42" s="401"/>
      <c r="R42" s="359" t="str">
        <f t="shared" si="0"/>
        <v/>
      </c>
      <c r="S42" s="279" t="str">
        <f t="shared" si="1"/>
        <v/>
      </c>
      <c r="T42" s="279" t="str">
        <f t="shared" si="2"/>
        <v/>
      </c>
      <c r="U42" s="2283"/>
      <c r="V42" s="458"/>
      <c r="W42" s="322">
        <f>DATE($B42,5,10)</f>
        <v>43230</v>
      </c>
      <c r="X42" s="322">
        <f>DATE($B42,5,15)</f>
        <v>43235</v>
      </c>
      <c r="Y42" s="322">
        <f>DATE($B42,5,24)</f>
        <v>43244</v>
      </c>
      <c r="Z42" s="413"/>
      <c r="AA42" s="418" t="s">
        <v>274</v>
      </c>
      <c r="AB42" s="681">
        <v>4122796</v>
      </c>
      <c r="AC42" s="693">
        <v>43146</v>
      </c>
      <c r="AD42" s="1192"/>
      <c r="AE42" s="2279">
        <v>984</v>
      </c>
      <c r="AF42" s="2280">
        <v>73.099999999999994</v>
      </c>
      <c r="AG42" s="2281">
        <v>3.8644512195121949</v>
      </c>
      <c r="AH42" s="2281" t="s">
        <v>252</v>
      </c>
      <c r="AI42" s="2282" t="s">
        <v>281</v>
      </c>
      <c r="AJ42" s="682" t="s">
        <v>245</v>
      </c>
      <c r="AK42" s="366" t="s">
        <v>255</v>
      </c>
      <c r="AL42" s="453" t="s">
        <v>249</v>
      </c>
    </row>
    <row r="43" spans="1:38" x14ac:dyDescent="0.3">
      <c r="A43" s="244" t="s">
        <v>243</v>
      </c>
      <c r="B43" s="352">
        <v>2019</v>
      </c>
      <c r="C43" s="819">
        <f>VLOOKUP($B43,'FW Age'!$A$6:$I$50,3)*$F43</f>
        <v>1556054</v>
      </c>
      <c r="D43" s="820">
        <f>VLOOKUP($B43,'FW Age'!$A$6:$I$50,5)*$F43</f>
        <v>0</v>
      </c>
      <c r="E43" s="821">
        <f>VLOOKUP($B43,'FW Age'!$A$6:$I$50,7)*$F43</f>
        <v>0</v>
      </c>
      <c r="F43" s="311">
        <f t="shared" si="3"/>
        <v>1556054</v>
      </c>
      <c r="G43" s="362" t="s">
        <v>251</v>
      </c>
      <c r="H43" s="2267" t="s">
        <v>245</v>
      </c>
      <c r="I43" s="2268"/>
      <c r="J43" s="2269"/>
      <c r="K43" s="402"/>
      <c r="L43" s="2269"/>
      <c r="M43" s="2269"/>
      <c r="N43" s="402"/>
      <c r="O43" s="2269"/>
      <c r="P43" s="2271"/>
      <c r="Q43" s="401"/>
      <c r="R43" s="359" t="str">
        <f t="shared" si="0"/>
        <v/>
      </c>
      <c r="S43" s="279" t="str">
        <f t="shared" si="1"/>
        <v/>
      </c>
      <c r="T43" s="279" t="str">
        <f t="shared" si="2"/>
        <v/>
      </c>
      <c r="U43" s="410"/>
      <c r="V43" s="420"/>
      <c r="W43" s="322">
        <f>DATE($B43,5,22)</f>
        <v>43607</v>
      </c>
      <c r="X43" s="322">
        <f>DATE($B43,5,25)</f>
        <v>43610</v>
      </c>
      <c r="Y43" s="322">
        <f>DATE($B43,6,5)</f>
        <v>43621</v>
      </c>
      <c r="Z43" s="413"/>
      <c r="AA43" s="418" t="s">
        <v>274</v>
      </c>
      <c r="AB43" s="940">
        <v>1556054</v>
      </c>
      <c r="AC43" s="692">
        <v>43388</v>
      </c>
      <c r="AD43" s="1192"/>
      <c r="AE43" s="2279">
        <v>300</v>
      </c>
      <c r="AF43" s="2280">
        <v>78.3</v>
      </c>
      <c r="AG43" s="2281">
        <v>5.28</v>
      </c>
      <c r="AH43" s="2281" t="s">
        <v>252</v>
      </c>
      <c r="AI43" s="2282" t="s">
        <v>282</v>
      </c>
      <c r="AJ43" s="691" t="s">
        <v>283</v>
      </c>
      <c r="AK43" s="366" t="s">
        <v>255</v>
      </c>
      <c r="AL43" s="453" t="s">
        <v>249</v>
      </c>
    </row>
    <row r="44" spans="1:38" x14ac:dyDescent="0.3">
      <c r="A44" s="244" t="s">
        <v>243</v>
      </c>
      <c r="B44" s="352">
        <v>2020</v>
      </c>
      <c r="C44" s="819">
        <f>VLOOKUP($B44,'FW Age'!$A$6:$I$50,3)*$F44</f>
        <v>2540161</v>
      </c>
      <c r="D44" s="820">
        <f>VLOOKUP($B44,'FW Age'!$A$6:$I$50,5)*$F44</f>
        <v>0</v>
      </c>
      <c r="E44" s="821">
        <f>VLOOKUP($B44,'FW Age'!$A$6:$I$50,7)*$F44</f>
        <v>0</v>
      </c>
      <c r="F44" s="311">
        <f t="shared" si="3"/>
        <v>2540161</v>
      </c>
      <c r="G44" s="362" t="s">
        <v>251</v>
      </c>
      <c r="H44" s="2267" t="s">
        <v>245</v>
      </c>
      <c r="I44" s="2268"/>
      <c r="J44" s="2269"/>
      <c r="K44" s="2270"/>
      <c r="L44" s="2269"/>
      <c r="M44" s="2269"/>
      <c r="N44" s="402"/>
      <c r="O44" s="2269"/>
      <c r="P44" s="2271"/>
      <c r="Q44" s="401"/>
      <c r="R44" s="359" t="str">
        <f t="shared" si="0"/>
        <v/>
      </c>
      <c r="S44" s="279" t="str">
        <f t="shared" si="1"/>
        <v/>
      </c>
      <c r="T44" s="279" t="str">
        <f t="shared" si="2"/>
        <v/>
      </c>
      <c r="U44" s="2283"/>
      <c r="V44" s="420"/>
      <c r="W44" s="322"/>
      <c r="X44" s="322"/>
      <c r="Y44" s="322"/>
      <c r="Z44" s="413"/>
      <c r="AA44" s="418" t="s">
        <v>247</v>
      </c>
      <c r="AB44" s="681">
        <v>2540161</v>
      </c>
      <c r="AC44" s="693">
        <v>43888</v>
      </c>
      <c r="AD44" s="1192"/>
      <c r="AE44" s="2279">
        <v>601</v>
      </c>
      <c r="AF44" s="2280">
        <v>65.099999999999994</v>
      </c>
      <c r="AG44" s="2281">
        <v>2.9243427620632279</v>
      </c>
      <c r="AH44" s="2281" t="s">
        <v>252</v>
      </c>
      <c r="AI44" s="2282" t="s">
        <v>269</v>
      </c>
      <c r="AJ44" s="682" t="s">
        <v>245</v>
      </c>
      <c r="AK44" s="366" t="s">
        <v>255</v>
      </c>
      <c r="AL44" s="453" t="s">
        <v>249</v>
      </c>
    </row>
    <row r="45" spans="1:38" x14ac:dyDescent="0.3">
      <c r="A45" s="244" t="s">
        <v>243</v>
      </c>
      <c r="B45" s="352">
        <v>2021</v>
      </c>
      <c r="C45" s="819">
        <f>VLOOKUP($B45,'FW Age'!$A$6:$I$50,3)*$F45</f>
        <v>1464091</v>
      </c>
      <c r="D45" s="820">
        <f>VLOOKUP($B45,'FW Age'!$A$6:$I$50,5)*$F45</f>
        <v>0</v>
      </c>
      <c r="E45" s="821">
        <f>VLOOKUP($B45,'FW Age'!$A$6:$I$50,7)*$F45</f>
        <v>0</v>
      </c>
      <c r="F45" s="311">
        <f t="shared" si="3"/>
        <v>1464091</v>
      </c>
      <c r="G45" s="362" t="s">
        <v>251</v>
      </c>
      <c r="H45" s="2267" t="s">
        <v>245</v>
      </c>
      <c r="I45" s="2268"/>
      <c r="J45" s="2269"/>
      <c r="K45" s="402"/>
      <c r="L45" s="405"/>
      <c r="M45" s="405"/>
      <c r="N45" s="402"/>
      <c r="O45" s="405"/>
      <c r="P45" s="406"/>
      <c r="Q45" s="401"/>
      <c r="R45" s="359" t="str">
        <f t="shared" si="0"/>
        <v/>
      </c>
      <c r="S45" s="279" t="str">
        <f t="shared" si="1"/>
        <v/>
      </c>
      <c r="T45" s="279" t="str">
        <f t="shared" si="2"/>
        <v/>
      </c>
      <c r="U45" s="410"/>
      <c r="V45" s="419"/>
      <c r="W45" s="322">
        <f>DATE($B45,5,20)</f>
        <v>44336</v>
      </c>
      <c r="X45" s="322">
        <f>DATE($B45,5,23)</f>
        <v>44339</v>
      </c>
      <c r="Y45" s="322">
        <f>DATE($B45,5,29)</f>
        <v>44345</v>
      </c>
      <c r="Z45" s="416"/>
      <c r="AA45" s="418" t="s">
        <v>274</v>
      </c>
      <c r="AB45" s="681">
        <v>1464091</v>
      </c>
      <c r="AC45" s="693">
        <v>44270</v>
      </c>
      <c r="AD45" s="1192"/>
      <c r="AE45" s="2279">
        <v>959</v>
      </c>
      <c r="AF45" s="2280">
        <v>73.933333333333337</v>
      </c>
      <c r="AG45" s="2281">
        <v>4.5243065693430662</v>
      </c>
      <c r="AH45" s="2281" t="s">
        <v>252</v>
      </c>
      <c r="AI45" s="2282" t="s">
        <v>273</v>
      </c>
      <c r="AJ45" s="682" t="s">
        <v>245</v>
      </c>
      <c r="AK45" s="366" t="s">
        <v>255</v>
      </c>
      <c r="AL45" s="453" t="s">
        <v>249</v>
      </c>
    </row>
    <row r="46" spans="1:38" x14ac:dyDescent="0.3">
      <c r="A46" s="81" t="s">
        <v>243</v>
      </c>
      <c r="B46" s="352">
        <v>2022</v>
      </c>
      <c r="C46" s="816">
        <f>VLOOKUP($B46,'FW Age'!$A$6:$I$50,3)*$F46</f>
        <v>3673223</v>
      </c>
      <c r="D46" s="817">
        <f>VLOOKUP($B46,'FW Age'!$A$6:$I$50,5)*$F46</f>
        <v>0</v>
      </c>
      <c r="E46" s="818">
        <f>VLOOKUP($B46,'FW Age'!$A$6:$I$50,7)*$F46</f>
        <v>0</v>
      </c>
      <c r="F46" s="312">
        <f t="shared" si="3"/>
        <v>3673223</v>
      </c>
      <c r="G46" s="698" t="s">
        <v>284</v>
      </c>
      <c r="H46" s="2267" t="s">
        <v>245</v>
      </c>
      <c r="I46" s="2268"/>
      <c r="J46" s="2269"/>
      <c r="K46" s="402"/>
      <c r="L46" s="405"/>
      <c r="M46" s="405"/>
      <c r="N46" s="402"/>
      <c r="O46" s="405"/>
      <c r="P46" s="406"/>
      <c r="Q46" s="401"/>
      <c r="R46" s="359" t="str">
        <f t="shared" si="0"/>
        <v/>
      </c>
      <c r="S46" s="279" t="str">
        <f t="shared" si="1"/>
        <v/>
      </c>
      <c r="T46" s="279" t="str">
        <f t="shared" si="2"/>
        <v/>
      </c>
      <c r="U46" s="410"/>
      <c r="V46" s="419"/>
      <c r="W46" s="322"/>
      <c r="X46" s="322"/>
      <c r="Y46" s="322"/>
      <c r="Z46" s="416"/>
      <c r="AA46" s="418"/>
      <c r="AB46" s="681">
        <v>3673223</v>
      </c>
      <c r="AC46" s="693"/>
      <c r="AD46" s="1192"/>
      <c r="AE46" s="2279"/>
      <c r="AF46" s="2280"/>
      <c r="AG46" s="2281"/>
      <c r="AH46" s="2281"/>
      <c r="AI46" s="421" t="s">
        <v>285</v>
      </c>
      <c r="AJ46" s="682"/>
      <c r="AK46" s="366" t="s">
        <v>255</v>
      </c>
      <c r="AL46" s="453" t="s">
        <v>286</v>
      </c>
    </row>
    <row r="47" spans="1:38" x14ac:dyDescent="0.3">
      <c r="A47" s="244" t="s">
        <v>243</v>
      </c>
      <c r="B47" s="352">
        <v>2023</v>
      </c>
      <c r="C47" s="816">
        <f>VLOOKUP($B47,'FW Age'!$A$6:$I$50,3)*$F47</f>
        <v>1212000</v>
      </c>
      <c r="D47" s="817">
        <f>VLOOKUP($B47,'FW Age'!$A$6:$I$50,5)*$F47</f>
        <v>0</v>
      </c>
      <c r="E47" s="818">
        <f>VLOOKUP($B47,'FW Age'!$A$6:$I$50,7)*$F47</f>
        <v>0</v>
      </c>
      <c r="F47" s="312">
        <f t="shared" si="3"/>
        <v>1212000</v>
      </c>
      <c r="G47" s="400" t="s">
        <v>287</v>
      </c>
      <c r="H47" s="2267" t="s">
        <v>245</v>
      </c>
      <c r="I47" s="2268"/>
      <c r="J47" s="2269"/>
      <c r="K47" s="402"/>
      <c r="L47" s="403"/>
      <c r="M47" s="403"/>
      <c r="N47" s="402"/>
      <c r="O47" s="403"/>
      <c r="P47" s="404"/>
      <c r="Q47" s="407"/>
      <c r="R47" s="409" t="s">
        <v>257</v>
      </c>
      <c r="S47" s="279" t="str">
        <f t="shared" si="1"/>
        <v/>
      </c>
      <c r="T47" s="279" t="str">
        <f t="shared" si="2"/>
        <v/>
      </c>
      <c r="U47" s="410"/>
      <c r="V47" s="420"/>
      <c r="W47" s="412"/>
      <c r="X47" s="412"/>
      <c r="Y47" s="412"/>
      <c r="Z47" s="413"/>
      <c r="AA47" s="418"/>
      <c r="AB47" s="940">
        <f>1212000</f>
        <v>1212000</v>
      </c>
      <c r="AC47" s="2278">
        <v>45006</v>
      </c>
      <c r="AD47" s="1192"/>
      <c r="AE47" s="2279"/>
      <c r="AF47" s="2280"/>
      <c r="AG47" s="2281"/>
      <c r="AH47" s="2281"/>
      <c r="AI47" s="2282" t="s">
        <v>288</v>
      </c>
      <c r="AJ47" s="682"/>
      <c r="AK47" s="57"/>
      <c r="AL47" s="324"/>
    </row>
    <row r="48" spans="1:38" hidden="1" x14ac:dyDescent="0.3">
      <c r="A48" s="81"/>
      <c r="B48" s="352"/>
      <c r="C48" s="308"/>
      <c r="D48" s="309"/>
      <c r="E48" s="310"/>
      <c r="F48" s="311" t="str">
        <f t="shared" ref="F48:F58" si="4">IF(C48,SUM(C48:E48),"")</f>
        <v/>
      </c>
      <c r="G48" s="400"/>
      <c r="H48" s="2267" t="s">
        <v>245</v>
      </c>
      <c r="I48" s="2268"/>
      <c r="J48" s="2269"/>
      <c r="K48" s="402"/>
      <c r="L48" s="2269"/>
      <c r="M48" s="2269"/>
      <c r="N48" s="402"/>
      <c r="O48" s="2269"/>
      <c r="P48" s="2271"/>
      <c r="Q48" s="401"/>
      <c r="R48" s="409" t="s">
        <v>257</v>
      </c>
      <c r="S48" s="279" t="str">
        <f t="shared" si="1"/>
        <v/>
      </c>
      <c r="T48" s="279" t="str">
        <f t="shared" si="2"/>
        <v/>
      </c>
      <c r="U48" s="410"/>
      <c r="V48" s="420"/>
      <c r="W48" s="412"/>
      <c r="X48" s="412"/>
      <c r="Y48" s="412"/>
      <c r="Z48" s="413"/>
      <c r="AA48" s="418"/>
      <c r="AB48" s="2284"/>
      <c r="AC48" s="2278"/>
      <c r="AD48" s="1192"/>
      <c r="AE48" s="2279"/>
      <c r="AF48" s="2280"/>
      <c r="AG48" s="424"/>
      <c r="AH48" s="424"/>
      <c r="AI48" s="2282"/>
      <c r="AJ48" s="682"/>
      <c r="AK48" s="57"/>
      <c r="AL48" s="324"/>
    </row>
    <row r="49" spans="1:38" hidden="1" x14ac:dyDescent="0.3">
      <c r="A49" s="81"/>
      <c r="B49" s="352"/>
      <c r="C49" s="308"/>
      <c r="D49" s="309"/>
      <c r="E49" s="310"/>
      <c r="F49" s="311" t="str">
        <f t="shared" si="4"/>
        <v/>
      </c>
      <c r="G49" s="400"/>
      <c r="H49" s="2267" t="s">
        <v>245</v>
      </c>
      <c r="I49" s="2268"/>
      <c r="J49" s="2269"/>
      <c r="K49" s="402"/>
      <c r="L49" s="2269"/>
      <c r="M49" s="2269"/>
      <c r="N49" s="402"/>
      <c r="O49" s="2269"/>
      <c r="P49" s="2271"/>
      <c r="Q49" s="401"/>
      <c r="R49" s="409" t="s">
        <v>257</v>
      </c>
      <c r="S49" s="279" t="str">
        <f t="shared" si="1"/>
        <v/>
      </c>
      <c r="T49" s="279" t="str">
        <f t="shared" si="2"/>
        <v/>
      </c>
      <c r="U49" s="410"/>
      <c r="V49" s="420"/>
      <c r="W49" s="412"/>
      <c r="X49" s="412"/>
      <c r="Y49" s="412"/>
      <c r="Z49" s="413"/>
      <c r="AA49" s="414"/>
      <c r="AB49" s="2284"/>
      <c r="AC49" s="2278"/>
      <c r="AD49" s="1192"/>
      <c r="AE49" s="2279"/>
      <c r="AF49" s="2280"/>
      <c r="AG49" s="2281"/>
      <c r="AH49" s="2281"/>
      <c r="AI49" s="2282"/>
      <c r="AJ49" s="682"/>
      <c r="AK49" s="57"/>
      <c r="AL49" s="324"/>
    </row>
    <row r="50" spans="1:38" hidden="1" x14ac:dyDescent="0.3">
      <c r="A50" s="81"/>
      <c r="B50" s="352"/>
      <c r="C50" s="308"/>
      <c r="D50" s="309"/>
      <c r="E50" s="310"/>
      <c r="F50" s="312" t="str">
        <f t="shared" si="4"/>
        <v/>
      </c>
      <c r="G50" s="400"/>
      <c r="H50" s="2267" t="s">
        <v>245</v>
      </c>
      <c r="I50" s="2268"/>
      <c r="J50" s="2269"/>
      <c r="K50" s="2270"/>
      <c r="L50" s="403"/>
      <c r="M50" s="403"/>
      <c r="N50" s="2270"/>
      <c r="O50" s="403"/>
      <c r="P50" s="404"/>
      <c r="Q50" s="408"/>
      <c r="R50" s="359" t="str">
        <f t="shared" si="0"/>
        <v/>
      </c>
      <c r="S50" s="279" t="str">
        <f t="shared" si="1"/>
        <v/>
      </c>
      <c r="T50" s="279" t="str">
        <f t="shared" si="2"/>
        <v/>
      </c>
      <c r="U50" s="281"/>
      <c r="V50" s="420"/>
      <c r="W50" s="412"/>
      <c r="X50" s="412"/>
      <c r="Y50" s="412"/>
      <c r="Z50" s="413"/>
      <c r="AA50" s="418"/>
      <c r="AB50" s="2284"/>
      <c r="AC50" s="422"/>
      <c r="AD50" s="1192"/>
      <c r="AE50" s="2279"/>
      <c r="AF50" s="423"/>
      <c r="AG50" s="2281"/>
      <c r="AH50" s="2281"/>
      <c r="AI50" s="421"/>
      <c r="AJ50" s="682"/>
      <c r="AK50" s="57"/>
      <c r="AL50" s="324"/>
    </row>
    <row r="51" spans="1:38" hidden="1" x14ac:dyDescent="0.3">
      <c r="A51" s="81"/>
      <c r="B51" s="352"/>
      <c r="C51" s="308"/>
      <c r="D51" s="309"/>
      <c r="E51" s="310"/>
      <c r="F51" s="312" t="str">
        <f t="shared" si="4"/>
        <v/>
      </c>
      <c r="G51" s="2285"/>
      <c r="H51" s="2267" t="s">
        <v>245</v>
      </c>
      <c r="I51" s="2268"/>
      <c r="J51" s="2269"/>
      <c r="K51" s="2270"/>
      <c r="L51" s="2269"/>
      <c r="M51" s="2269"/>
      <c r="N51" s="2270"/>
      <c r="O51" s="2269"/>
      <c r="P51" s="2271"/>
      <c r="Q51" s="401"/>
      <c r="R51" s="359" t="str">
        <f t="shared" si="0"/>
        <v/>
      </c>
      <c r="S51" s="279" t="str">
        <f t="shared" si="1"/>
        <v/>
      </c>
      <c r="T51" s="279" t="str">
        <f t="shared" si="2"/>
        <v/>
      </c>
      <c r="U51" s="276"/>
      <c r="V51" s="420"/>
      <c r="W51" s="412"/>
      <c r="X51" s="412"/>
      <c r="Y51" s="412"/>
      <c r="Z51" s="413"/>
      <c r="AA51" s="414"/>
      <c r="AB51" s="2284"/>
      <c r="AC51" s="2278"/>
      <c r="AD51" s="1192"/>
      <c r="AE51" s="2279"/>
      <c r="AF51" s="2280"/>
      <c r="AG51" s="2281"/>
      <c r="AH51" s="2281"/>
      <c r="AI51" s="2285"/>
      <c r="AJ51" s="682"/>
      <c r="AK51" s="57"/>
      <c r="AL51" s="324"/>
    </row>
    <row r="52" spans="1:38" hidden="1" x14ac:dyDescent="0.3">
      <c r="A52" s="81"/>
      <c r="B52" s="352"/>
      <c r="C52" s="308"/>
      <c r="D52" s="309"/>
      <c r="E52" s="310"/>
      <c r="F52" s="312" t="str">
        <f t="shared" si="4"/>
        <v/>
      </c>
      <c r="G52" s="2285"/>
      <c r="H52" s="2267" t="s">
        <v>245</v>
      </c>
      <c r="I52" s="2268"/>
      <c r="J52" s="2269"/>
      <c r="K52" s="2270"/>
      <c r="L52" s="2269"/>
      <c r="M52" s="2269"/>
      <c r="N52" s="2270"/>
      <c r="O52" s="2269"/>
      <c r="P52" s="2271"/>
      <c r="Q52" s="408"/>
      <c r="R52" s="359" t="str">
        <f t="shared" si="0"/>
        <v/>
      </c>
      <c r="S52" s="279" t="str">
        <f t="shared" si="1"/>
        <v/>
      </c>
      <c r="T52" s="279" t="str">
        <f t="shared" si="2"/>
        <v/>
      </c>
      <c r="U52" s="276"/>
      <c r="V52" s="321"/>
      <c r="W52" s="322"/>
      <c r="X52" s="322"/>
      <c r="Y52" s="322"/>
      <c r="Z52" s="323"/>
      <c r="AA52" s="225"/>
      <c r="AB52" s="2284"/>
      <c r="AC52" s="2278"/>
      <c r="AD52" s="1192"/>
      <c r="AE52" s="2279"/>
      <c r="AF52" s="2280"/>
      <c r="AG52" s="2281"/>
      <c r="AH52" s="2281"/>
      <c r="AI52" s="2285"/>
      <c r="AJ52" s="682"/>
      <c r="AK52" s="57"/>
      <c r="AL52" s="324"/>
    </row>
    <row r="53" spans="1:38" hidden="1" x14ac:dyDescent="0.3">
      <c r="A53" s="81"/>
      <c r="B53" s="352"/>
      <c r="C53" s="308"/>
      <c r="D53" s="309"/>
      <c r="E53" s="310"/>
      <c r="F53" s="312" t="str">
        <f t="shared" si="4"/>
        <v/>
      </c>
      <c r="G53" s="362"/>
      <c r="H53" s="2267" t="s">
        <v>245</v>
      </c>
      <c r="I53" s="2268"/>
      <c r="J53" s="2269"/>
      <c r="K53" s="2270"/>
      <c r="L53" s="2269"/>
      <c r="M53" s="2269"/>
      <c r="N53" s="2270"/>
      <c r="O53" s="2269"/>
      <c r="P53" s="2271"/>
      <c r="Q53" s="408"/>
      <c r="R53" s="359" t="str">
        <f t="shared" si="0"/>
        <v/>
      </c>
      <c r="S53" s="279" t="str">
        <f t="shared" si="1"/>
        <v/>
      </c>
      <c r="T53" s="279" t="str">
        <f t="shared" si="2"/>
        <v/>
      </c>
      <c r="U53" s="276"/>
      <c r="V53" s="321"/>
      <c r="W53" s="322"/>
      <c r="X53" s="322"/>
      <c r="Y53" s="322"/>
      <c r="Z53" s="323"/>
      <c r="AA53" s="225"/>
      <c r="AB53" s="2284"/>
      <c r="AC53" s="2278"/>
      <c r="AD53" s="1192"/>
      <c r="AE53" s="2279"/>
      <c r="AF53" s="2280"/>
      <c r="AG53" s="2286"/>
      <c r="AH53" s="2286"/>
      <c r="AI53" s="2282"/>
      <c r="AJ53" s="682"/>
      <c r="AK53" s="57"/>
      <c r="AL53" s="324"/>
    </row>
    <row r="54" spans="1:38" hidden="1" x14ac:dyDescent="0.3">
      <c r="A54" s="81"/>
      <c r="B54" s="352"/>
      <c r="C54" s="308"/>
      <c r="D54" s="309"/>
      <c r="E54" s="310"/>
      <c r="F54" s="312" t="str">
        <f t="shared" si="4"/>
        <v/>
      </c>
      <c r="G54" s="362"/>
      <c r="H54" s="2267" t="s">
        <v>245</v>
      </c>
      <c r="I54" s="2268"/>
      <c r="J54" s="2269"/>
      <c r="K54" s="2270"/>
      <c r="L54" s="2269"/>
      <c r="M54" s="2269"/>
      <c r="N54" s="2270"/>
      <c r="O54" s="2269"/>
      <c r="P54" s="2271"/>
      <c r="Q54" s="408"/>
      <c r="R54" s="359" t="str">
        <f t="shared" si="0"/>
        <v/>
      </c>
      <c r="S54" s="279" t="str">
        <f t="shared" si="1"/>
        <v/>
      </c>
      <c r="T54" s="279" t="str">
        <f t="shared" si="2"/>
        <v/>
      </c>
      <c r="U54" s="276"/>
      <c r="V54" s="321"/>
      <c r="W54" s="322"/>
      <c r="X54" s="322"/>
      <c r="Y54" s="322"/>
      <c r="Z54" s="323"/>
      <c r="AA54" s="225"/>
      <c r="AB54" s="2284"/>
      <c r="AC54" s="2278"/>
      <c r="AD54" s="1192"/>
      <c r="AE54" s="2279"/>
      <c r="AF54" s="2280"/>
      <c r="AG54" s="2286"/>
      <c r="AH54" s="2286"/>
      <c r="AI54" s="2282"/>
      <c r="AJ54" s="682"/>
      <c r="AK54" s="57"/>
      <c r="AL54" s="324"/>
    </row>
    <row r="55" spans="1:38" hidden="1" x14ac:dyDescent="0.3">
      <c r="A55" s="81"/>
      <c r="B55" s="352"/>
      <c r="C55" s="308"/>
      <c r="D55" s="309"/>
      <c r="E55" s="310"/>
      <c r="F55" s="311" t="str">
        <f t="shared" si="4"/>
        <v/>
      </c>
      <c r="G55" s="362"/>
      <c r="H55" s="2267" t="s">
        <v>245</v>
      </c>
      <c r="I55" s="2268"/>
      <c r="J55" s="2269"/>
      <c r="K55" s="2270"/>
      <c r="L55" s="2269"/>
      <c r="M55" s="2269"/>
      <c r="N55" s="2270"/>
      <c r="O55" s="2269"/>
      <c r="P55" s="2271"/>
      <c r="Q55" s="408"/>
      <c r="R55" s="359" t="str">
        <f t="shared" si="0"/>
        <v/>
      </c>
      <c r="S55" s="279" t="str">
        <f t="shared" si="1"/>
        <v/>
      </c>
      <c r="T55" s="279" t="str">
        <f t="shared" si="2"/>
        <v/>
      </c>
      <c r="U55" s="276"/>
      <c r="V55" s="321"/>
      <c r="W55" s="322"/>
      <c r="X55" s="322"/>
      <c r="Y55" s="322"/>
      <c r="Z55" s="323"/>
      <c r="AA55" s="225"/>
      <c r="AB55" s="2284"/>
      <c r="AC55" s="2278"/>
      <c r="AD55" s="1192"/>
      <c r="AE55" s="2279"/>
      <c r="AF55" s="2280"/>
      <c r="AG55" s="2286"/>
      <c r="AH55" s="2286"/>
      <c r="AI55" s="2282"/>
      <c r="AJ55" s="682"/>
      <c r="AK55" s="57"/>
      <c r="AL55" s="324"/>
    </row>
    <row r="56" spans="1:38" hidden="1" x14ac:dyDescent="0.3">
      <c r="A56" s="81"/>
      <c r="B56" s="352"/>
      <c r="C56" s="308"/>
      <c r="D56" s="309"/>
      <c r="E56" s="310"/>
      <c r="F56" s="311" t="str">
        <f t="shared" si="4"/>
        <v/>
      </c>
      <c r="G56" s="362"/>
      <c r="H56" s="2267" t="s">
        <v>245</v>
      </c>
      <c r="I56" s="2268"/>
      <c r="J56" s="2269"/>
      <c r="K56" s="2270"/>
      <c r="L56" s="2269"/>
      <c r="M56" s="2269"/>
      <c r="N56" s="2270"/>
      <c r="O56" s="2269"/>
      <c r="P56" s="2271"/>
      <c r="Q56" s="408"/>
      <c r="R56" s="359" t="str">
        <f t="shared" si="0"/>
        <v/>
      </c>
      <c r="S56" s="279" t="str">
        <f t="shared" si="1"/>
        <v/>
      </c>
      <c r="T56" s="279" t="str">
        <f t="shared" si="2"/>
        <v/>
      </c>
      <c r="U56" s="276"/>
      <c r="V56" s="321"/>
      <c r="W56" s="322"/>
      <c r="X56" s="322"/>
      <c r="Y56" s="322"/>
      <c r="Z56" s="323"/>
      <c r="AA56" s="225"/>
      <c r="AB56" s="2284"/>
      <c r="AC56" s="2278"/>
      <c r="AD56" s="1192"/>
      <c r="AE56" s="2279"/>
      <c r="AF56" s="2280"/>
      <c r="AG56" s="2286"/>
      <c r="AH56" s="2286"/>
      <c r="AI56" s="2282"/>
      <c r="AJ56" s="682"/>
      <c r="AK56" s="57"/>
      <c r="AL56" s="324"/>
    </row>
    <row r="57" spans="1:38" hidden="1" x14ac:dyDescent="0.3">
      <c r="A57" s="81"/>
      <c r="B57" s="352"/>
      <c r="C57" s="308"/>
      <c r="D57" s="309"/>
      <c r="E57" s="310"/>
      <c r="F57" s="311" t="str">
        <f t="shared" si="4"/>
        <v/>
      </c>
      <c r="G57" s="362"/>
      <c r="H57" s="2267" t="s">
        <v>245</v>
      </c>
      <c r="I57" s="2268"/>
      <c r="J57" s="2269"/>
      <c r="K57" s="2270"/>
      <c r="L57" s="2269"/>
      <c r="M57" s="2269"/>
      <c r="N57" s="2270"/>
      <c r="O57" s="2269"/>
      <c r="P57" s="2271"/>
      <c r="Q57" s="408"/>
      <c r="R57" s="359" t="str">
        <f t="shared" si="0"/>
        <v/>
      </c>
      <c r="S57" s="279" t="str">
        <f t="shared" si="1"/>
        <v/>
      </c>
      <c r="T57" s="279" t="str">
        <f t="shared" si="2"/>
        <v/>
      </c>
      <c r="U57" s="276"/>
      <c r="V57" s="321"/>
      <c r="W57" s="322"/>
      <c r="X57" s="322"/>
      <c r="Y57" s="322"/>
      <c r="Z57" s="323"/>
      <c r="AA57" s="225"/>
      <c r="AB57" s="2284"/>
      <c r="AC57" s="2278"/>
      <c r="AD57" s="1192"/>
      <c r="AE57" s="2279"/>
      <c r="AF57" s="2280"/>
      <c r="AG57" s="2286"/>
      <c r="AH57" s="2286"/>
      <c r="AI57" s="2282"/>
      <c r="AJ57" s="682"/>
      <c r="AK57" s="57"/>
      <c r="AL57" s="324"/>
    </row>
    <row r="58" spans="1:38" ht="15" thickBot="1" x14ac:dyDescent="0.35">
      <c r="A58" s="346"/>
      <c r="B58" s="353"/>
      <c r="C58" s="313"/>
      <c r="D58" s="314"/>
      <c r="E58" s="315"/>
      <c r="F58" s="1182" t="str">
        <f t="shared" si="4"/>
        <v/>
      </c>
      <c r="G58" s="1183"/>
      <c r="H58" s="2287" t="s">
        <v>245</v>
      </c>
      <c r="I58" s="2288"/>
      <c r="J58" s="2289"/>
      <c r="K58" s="2290"/>
      <c r="L58" s="2289"/>
      <c r="M58" s="2289"/>
      <c r="N58" s="2290"/>
      <c r="O58" s="2289"/>
      <c r="P58" s="2291"/>
      <c r="Q58" s="1184"/>
      <c r="R58" s="1185" t="str">
        <f t="shared" si="0"/>
        <v/>
      </c>
      <c r="S58" s="1186" t="str">
        <f t="shared" si="1"/>
        <v/>
      </c>
      <c r="T58" s="1186" t="str">
        <f t="shared" si="2"/>
        <v/>
      </c>
      <c r="U58" s="1187"/>
      <c r="V58" s="1188"/>
      <c r="W58" s="1189"/>
      <c r="X58" s="1189"/>
      <c r="Y58" s="1189"/>
      <c r="Z58" s="1190"/>
      <c r="AA58" s="1191"/>
      <c r="AB58" s="2292"/>
      <c r="AC58" s="2293"/>
      <c r="AD58" s="1192"/>
      <c r="AE58" s="2294"/>
      <c r="AF58" s="2295"/>
      <c r="AG58" s="2296"/>
      <c r="AH58" s="2296"/>
      <c r="AI58" s="2297"/>
      <c r="AJ58" s="684"/>
      <c r="AK58" s="59"/>
      <c r="AL58" s="350"/>
    </row>
    <row r="59" spans="1:38" x14ac:dyDescent="0.3">
      <c r="F59" s="1742"/>
      <c r="G59" s="1742"/>
      <c r="H59" s="1742"/>
      <c r="I59" s="1742"/>
      <c r="J59" s="1742"/>
      <c r="K59" s="1742"/>
      <c r="L59" s="1742"/>
      <c r="M59" s="1742"/>
      <c r="N59" s="1742"/>
      <c r="O59" s="1742"/>
      <c r="P59" s="1742"/>
      <c r="Q59" s="1742"/>
      <c r="R59" s="1742"/>
      <c r="S59" s="1742"/>
      <c r="T59" s="1742"/>
      <c r="U59" s="1742"/>
      <c r="V59" s="1742"/>
      <c r="W59" s="1742"/>
      <c r="X59" s="1742"/>
      <c r="Y59" s="1742"/>
      <c r="Z59" s="1742"/>
      <c r="AA59" s="1742"/>
      <c r="AB59" s="2439" t="s">
        <v>289</v>
      </c>
      <c r="AC59" s="2439"/>
      <c r="AD59" s="1683">
        <v>1</v>
      </c>
      <c r="AE59" s="2433" t="s">
        <v>290</v>
      </c>
      <c r="AF59" s="2433"/>
    </row>
    <row r="60" spans="1:38" x14ac:dyDescent="0.3">
      <c r="AB60" s="2440"/>
      <c r="AC60" s="2440"/>
    </row>
    <row r="61" spans="1:38" x14ac:dyDescent="0.3">
      <c r="AB61" s="2440"/>
      <c r="AC61" s="2440"/>
    </row>
  </sheetData>
  <sheetProtection formatCells="0" formatColumns="0" formatRows="0" sort="0" autoFilter="0" pivotTables="0"/>
  <mergeCells count="33">
    <mergeCell ref="A1:A3"/>
    <mergeCell ref="B1:B3"/>
    <mergeCell ref="AB1:AI1"/>
    <mergeCell ref="C1:G1"/>
    <mergeCell ref="AB2:AB3"/>
    <mergeCell ref="AI2:AI3"/>
    <mergeCell ref="C2:C3"/>
    <mergeCell ref="D2:D3"/>
    <mergeCell ref="E2:E3"/>
    <mergeCell ref="F2:F3"/>
    <mergeCell ref="G2:G3"/>
    <mergeCell ref="AE2:AH2"/>
    <mergeCell ref="Y2:Y3"/>
    <mergeCell ref="AE59:AF59"/>
    <mergeCell ref="R2:T2"/>
    <mergeCell ref="AD2:AD3"/>
    <mergeCell ref="Q2:Q3"/>
    <mergeCell ref="AB59:AC61"/>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441" t="s">
        <v>291</v>
      </c>
      <c r="B1" s="2478" t="s">
        <v>292</v>
      </c>
      <c r="C1" s="2480" t="s">
        <v>210</v>
      </c>
      <c r="D1" s="2490" t="s">
        <v>28</v>
      </c>
      <c r="E1" s="2491"/>
      <c r="F1" s="2491"/>
      <c r="G1" s="2492"/>
      <c r="H1" s="2474" t="s">
        <v>293</v>
      </c>
      <c r="I1" s="2474"/>
      <c r="J1" s="2475"/>
      <c r="K1" s="2475"/>
      <c r="L1" s="2476"/>
      <c r="M1" s="2477"/>
      <c r="N1" s="2482" t="s">
        <v>294</v>
      </c>
      <c r="O1" s="2483"/>
      <c r="P1" s="2484"/>
      <c r="Q1" s="2485"/>
      <c r="R1" s="2493" t="s">
        <v>295</v>
      </c>
      <c r="S1" s="2494"/>
      <c r="T1" s="2495"/>
      <c r="U1" s="2496"/>
      <c r="V1" s="2486" t="s">
        <v>296</v>
      </c>
      <c r="W1" s="2487"/>
      <c r="X1" s="2488"/>
      <c r="Y1" s="2489"/>
      <c r="Z1" s="2408" t="s">
        <v>297</v>
      </c>
      <c r="AA1" s="2409"/>
      <c r="AB1" s="2409"/>
      <c r="AC1" s="2409"/>
      <c r="AD1" s="2410"/>
      <c r="AE1" s="2411"/>
      <c r="AF1" s="2472" t="s">
        <v>298</v>
      </c>
      <c r="AG1" s="2470" t="s">
        <v>216</v>
      </c>
    </row>
    <row r="2" spans="1:33" s="1" customFormat="1" ht="43.2" customHeight="1" thickBot="1" x14ac:dyDescent="0.35">
      <c r="A2" s="2443"/>
      <c r="B2" s="2479"/>
      <c r="C2" s="2481"/>
      <c r="D2" s="110" t="s">
        <v>299</v>
      </c>
      <c r="E2" s="111" t="s">
        <v>300</v>
      </c>
      <c r="F2" s="111" t="s">
        <v>301</v>
      </c>
      <c r="G2" s="112" t="s">
        <v>302</v>
      </c>
      <c r="H2" s="102" t="s">
        <v>303</v>
      </c>
      <c r="I2" s="98" t="s">
        <v>218</v>
      </c>
      <c r="J2" s="3" t="s">
        <v>219</v>
      </c>
      <c r="K2" s="92" t="s">
        <v>221</v>
      </c>
      <c r="L2" s="160" t="s">
        <v>304</v>
      </c>
      <c r="M2" s="4" t="s">
        <v>302</v>
      </c>
      <c r="N2" s="129" t="s">
        <v>303</v>
      </c>
      <c r="O2" s="125" t="s">
        <v>218</v>
      </c>
      <c r="P2" s="5" t="s">
        <v>219</v>
      </c>
      <c r="Q2" s="202" t="s">
        <v>305</v>
      </c>
      <c r="R2" s="135" t="s">
        <v>303</v>
      </c>
      <c r="S2" s="131" t="s">
        <v>218</v>
      </c>
      <c r="T2" s="77" t="s">
        <v>219</v>
      </c>
      <c r="U2" s="78" t="s">
        <v>302</v>
      </c>
      <c r="V2" s="139" t="s">
        <v>303</v>
      </c>
      <c r="W2" s="140" t="s">
        <v>218</v>
      </c>
      <c r="X2" s="141" t="s">
        <v>219</v>
      </c>
      <c r="Y2" s="142" t="s">
        <v>302</v>
      </c>
      <c r="Z2" s="76" t="s">
        <v>225</v>
      </c>
      <c r="AA2" s="7" t="s">
        <v>306</v>
      </c>
      <c r="AB2" s="90" t="s">
        <v>227</v>
      </c>
      <c r="AC2" s="7" t="s">
        <v>307</v>
      </c>
      <c r="AD2" s="8" t="s">
        <v>229</v>
      </c>
      <c r="AE2" s="9" t="s">
        <v>302</v>
      </c>
      <c r="AF2" s="2473"/>
      <c r="AG2" s="2471"/>
    </row>
    <row r="3" spans="1:33" x14ac:dyDescent="0.3">
      <c r="A3" s="81" t="s">
        <v>308</v>
      </c>
      <c r="B3" s="82" t="s">
        <v>309</v>
      </c>
      <c r="C3" s="103">
        <v>2001</v>
      </c>
      <c r="D3" s="122">
        <v>3611402.2094552899</v>
      </c>
      <c r="E3" s="123"/>
      <c r="F3" s="124"/>
      <c r="G3" s="164" t="s">
        <v>310</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311</v>
      </c>
      <c r="V3" s="153" t="s">
        <v>245</v>
      </c>
      <c r="W3" s="152">
        <v>71</v>
      </c>
      <c r="X3" s="152">
        <v>15</v>
      </c>
      <c r="Y3" s="155" t="s">
        <v>312</v>
      </c>
      <c r="Z3" s="30">
        <v>37018</v>
      </c>
      <c r="AA3" s="31"/>
      <c r="AB3" s="32">
        <v>37028</v>
      </c>
      <c r="AC3" s="31"/>
      <c r="AD3" s="32">
        <v>37032</v>
      </c>
      <c r="AE3" s="33"/>
      <c r="AF3" s="34"/>
      <c r="AG3" s="35"/>
    </row>
    <row r="4" spans="1:33" x14ac:dyDescent="0.3">
      <c r="A4" s="81" t="s">
        <v>308</v>
      </c>
      <c r="B4" s="82" t="s">
        <v>309</v>
      </c>
      <c r="C4" s="104">
        <v>2002</v>
      </c>
      <c r="D4" s="113">
        <v>3600584.6755262143</v>
      </c>
      <c r="E4" s="107"/>
      <c r="F4" s="120"/>
      <c r="G4" s="167" t="s">
        <v>313</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311</v>
      </c>
      <c r="V4" s="153" t="s">
        <v>245</v>
      </c>
      <c r="W4" s="152">
        <v>96</v>
      </c>
      <c r="X4" s="152">
        <v>10</v>
      </c>
      <c r="Y4" s="155" t="s">
        <v>312</v>
      </c>
      <c r="Z4" s="37">
        <v>37368</v>
      </c>
      <c r="AA4" s="38"/>
      <c r="AB4" s="39">
        <v>37374</v>
      </c>
      <c r="AC4" s="39"/>
      <c r="AD4" s="32">
        <v>37389</v>
      </c>
      <c r="AE4" s="41"/>
      <c r="AF4" s="42"/>
      <c r="AG4" s="43"/>
    </row>
    <row r="5" spans="1:33" x14ac:dyDescent="0.3">
      <c r="A5" s="81" t="s">
        <v>308</v>
      </c>
      <c r="B5" s="82" t="s">
        <v>309</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311</v>
      </c>
      <c r="V5" s="153" t="s">
        <v>245</v>
      </c>
      <c r="W5" s="152">
        <v>100</v>
      </c>
      <c r="X5" s="152">
        <v>24</v>
      </c>
      <c r="Y5" s="143"/>
      <c r="Z5" s="37">
        <v>37722</v>
      </c>
      <c r="AA5" s="39"/>
      <c r="AB5" s="39">
        <v>37730</v>
      </c>
      <c r="AC5" s="39"/>
      <c r="AD5" s="32">
        <v>37742</v>
      </c>
      <c r="AE5" s="41"/>
      <c r="AF5" s="42"/>
      <c r="AG5" s="43"/>
    </row>
    <row r="6" spans="1:33" x14ac:dyDescent="0.3">
      <c r="A6" s="81" t="s">
        <v>308</v>
      </c>
      <c r="B6" s="82" t="s">
        <v>309</v>
      </c>
      <c r="C6" s="104">
        <v>2004</v>
      </c>
      <c r="D6" s="113">
        <v>7675779.1744782664</v>
      </c>
      <c r="E6" s="107"/>
      <c r="F6" s="120"/>
      <c r="G6" s="167" t="s">
        <v>314</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311</v>
      </c>
      <c r="V6" s="153" t="s">
        <v>245</v>
      </c>
      <c r="W6" s="152">
        <v>85</v>
      </c>
      <c r="X6" s="152">
        <v>2</v>
      </c>
      <c r="Y6" s="143"/>
      <c r="Z6" s="37">
        <v>38102</v>
      </c>
      <c r="AA6" s="39"/>
      <c r="AB6" s="39">
        <v>38110</v>
      </c>
      <c r="AC6" s="39"/>
      <c r="AD6" s="32">
        <v>38121</v>
      </c>
      <c r="AE6" s="41"/>
      <c r="AF6" s="42"/>
      <c r="AG6" s="43"/>
    </row>
    <row r="7" spans="1:33" x14ac:dyDescent="0.3">
      <c r="A7" s="81" t="s">
        <v>308</v>
      </c>
      <c r="B7" s="82" t="s">
        <v>309</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311</v>
      </c>
      <c r="V7" s="153" t="s">
        <v>245</v>
      </c>
      <c r="W7" s="152">
        <v>103</v>
      </c>
      <c r="X7" s="152">
        <v>14</v>
      </c>
      <c r="Y7" s="143"/>
      <c r="Z7" s="37">
        <v>38455</v>
      </c>
      <c r="AA7" s="39"/>
      <c r="AB7" s="39">
        <v>38463</v>
      </c>
      <c r="AC7" s="39"/>
      <c r="AD7" s="32">
        <v>38476</v>
      </c>
      <c r="AE7" s="41"/>
      <c r="AF7" s="42"/>
      <c r="AG7" s="43"/>
    </row>
    <row r="8" spans="1:33" x14ac:dyDescent="0.3">
      <c r="A8" s="81" t="s">
        <v>308</v>
      </c>
      <c r="B8" s="82" t="s">
        <v>309</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315</v>
      </c>
      <c r="V8" s="153" t="s">
        <v>245</v>
      </c>
      <c r="W8" s="152">
        <v>89</v>
      </c>
      <c r="X8" s="152">
        <v>22</v>
      </c>
      <c r="Y8" s="156" t="s">
        <v>316</v>
      </c>
      <c r="Z8" s="37">
        <v>38845</v>
      </c>
      <c r="AA8" s="39"/>
      <c r="AB8" s="39">
        <v>38853</v>
      </c>
      <c r="AC8" s="39"/>
      <c r="AD8" s="32">
        <v>38860</v>
      </c>
      <c r="AE8" s="41"/>
      <c r="AF8" s="42"/>
      <c r="AG8" s="43"/>
    </row>
    <row r="9" spans="1:33" x14ac:dyDescent="0.3">
      <c r="A9" s="81" t="s">
        <v>308</v>
      </c>
      <c r="B9" s="82" t="s">
        <v>309</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315</v>
      </c>
      <c r="V9" s="153" t="s">
        <v>245</v>
      </c>
      <c r="W9" s="152">
        <v>88</v>
      </c>
      <c r="X9" s="152">
        <v>6</v>
      </c>
      <c r="Y9" s="145"/>
      <c r="Z9" s="37">
        <v>39184</v>
      </c>
      <c r="AA9" s="39"/>
      <c r="AB9" s="39">
        <v>39191</v>
      </c>
      <c r="AC9" s="39"/>
      <c r="AD9" s="32">
        <v>39200</v>
      </c>
      <c r="AE9" s="41"/>
      <c r="AF9" s="42"/>
      <c r="AG9" s="43"/>
    </row>
    <row r="10" spans="1:33" x14ac:dyDescent="0.3">
      <c r="A10" s="81" t="s">
        <v>308</v>
      </c>
      <c r="B10" s="82" t="s">
        <v>309</v>
      </c>
      <c r="C10" s="104">
        <v>2008</v>
      </c>
      <c r="D10" s="113">
        <v>5222605.6595987929</v>
      </c>
      <c r="E10" s="107"/>
      <c r="F10" s="120"/>
      <c r="G10" s="167" t="s">
        <v>317</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318</v>
      </c>
      <c r="V10" s="153" t="s">
        <v>245</v>
      </c>
      <c r="W10" s="152">
        <v>96</v>
      </c>
      <c r="X10" s="152">
        <v>6</v>
      </c>
      <c r="Y10" s="145"/>
      <c r="Z10" s="37">
        <v>39551</v>
      </c>
      <c r="AA10" s="39"/>
      <c r="AB10" s="39">
        <v>39556</v>
      </c>
      <c r="AC10" s="39"/>
      <c r="AD10" s="32">
        <v>39572</v>
      </c>
      <c r="AE10" s="41"/>
      <c r="AF10" s="42"/>
      <c r="AG10" s="43"/>
    </row>
    <row r="11" spans="1:33" x14ac:dyDescent="0.3">
      <c r="A11" s="81" t="s">
        <v>308</v>
      </c>
      <c r="B11" s="82" t="s">
        <v>309</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308</v>
      </c>
      <c r="B12" s="82" t="s">
        <v>309</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308</v>
      </c>
      <c r="B13" s="82" t="s">
        <v>309</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319</v>
      </c>
      <c r="V13" s="153" t="s">
        <v>245</v>
      </c>
      <c r="W13" s="152">
        <v>93</v>
      </c>
      <c r="X13" s="152">
        <v>14</v>
      </c>
      <c r="Y13" s="145"/>
      <c r="Z13" s="37"/>
      <c r="AA13" s="39"/>
      <c r="AB13" s="39">
        <v>40650</v>
      </c>
      <c r="AC13" s="39"/>
      <c r="AD13" s="32">
        <v>40662</v>
      </c>
      <c r="AE13" s="41"/>
      <c r="AF13" s="91" t="s">
        <v>320</v>
      </c>
      <c r="AG13" s="43"/>
    </row>
    <row r="14" spans="1:33" x14ac:dyDescent="0.3">
      <c r="A14" s="81" t="s">
        <v>308</v>
      </c>
      <c r="B14" s="82" t="s">
        <v>309</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319</v>
      </c>
      <c r="V14" s="153" t="s">
        <v>245</v>
      </c>
      <c r="W14" s="152">
        <v>100</v>
      </c>
      <c r="X14" s="152">
        <v>2</v>
      </c>
      <c r="Y14" s="145"/>
      <c r="Z14" s="37">
        <v>41033</v>
      </c>
      <c r="AA14" s="39"/>
      <c r="AB14" s="39">
        <v>41038</v>
      </c>
      <c r="AC14" s="39"/>
      <c r="AD14" s="32">
        <v>41052</v>
      </c>
      <c r="AE14" s="41"/>
      <c r="AF14" s="42"/>
      <c r="AG14" s="43"/>
    </row>
    <row r="15" spans="1:33" x14ac:dyDescent="0.3">
      <c r="A15" s="81" t="s">
        <v>308</v>
      </c>
      <c r="B15" s="82" t="s">
        <v>309</v>
      </c>
      <c r="C15" s="103">
        <v>2013</v>
      </c>
      <c r="D15" s="168">
        <v>6268286.8692750772</v>
      </c>
      <c r="E15" s="107"/>
      <c r="F15" s="120"/>
      <c r="G15" s="169" t="s">
        <v>321</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319</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308</v>
      </c>
      <c r="B16" s="82" t="s">
        <v>309</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322</v>
      </c>
      <c r="AG16" s="43"/>
    </row>
    <row r="17" spans="1:33" x14ac:dyDescent="0.3">
      <c r="A17" s="81" t="s">
        <v>308</v>
      </c>
      <c r="B17" s="82" t="s">
        <v>309</v>
      </c>
      <c r="C17" s="103">
        <v>2015</v>
      </c>
      <c r="D17" s="113">
        <v>8081653.7474214658</v>
      </c>
      <c r="E17" s="107"/>
      <c r="F17" s="120"/>
      <c r="G17" s="165"/>
      <c r="H17" s="99">
        <v>0</v>
      </c>
      <c r="I17" s="99">
        <v>7968151</v>
      </c>
      <c r="J17" s="96">
        <v>19873</v>
      </c>
      <c r="K17" s="158">
        <f t="shared" si="0"/>
        <v>7988024</v>
      </c>
      <c r="L17" s="162">
        <f t="shared" si="1"/>
        <v>0.99751215068958232</v>
      </c>
      <c r="M17" s="136" t="s">
        <v>323</v>
      </c>
      <c r="N17" s="130" t="s">
        <v>245</v>
      </c>
      <c r="O17" s="127">
        <v>68</v>
      </c>
      <c r="P17" s="94">
        <v>104</v>
      </c>
      <c r="Q17" s="95" t="s">
        <v>324</v>
      </c>
      <c r="R17" s="71" t="s">
        <v>245</v>
      </c>
      <c r="S17" s="134">
        <v>3.4385632659758656</v>
      </c>
      <c r="T17" s="97">
        <v>5.1885053966808599</v>
      </c>
      <c r="U17" s="36" t="s">
        <v>325</v>
      </c>
      <c r="V17" s="153" t="s">
        <v>245</v>
      </c>
      <c r="W17" s="152">
        <v>80</v>
      </c>
      <c r="X17" s="152">
        <v>17</v>
      </c>
      <c r="Y17" s="156" t="s">
        <v>326</v>
      </c>
      <c r="Z17" s="37">
        <v>42127</v>
      </c>
      <c r="AA17" s="39"/>
      <c r="AB17" s="39">
        <v>42132</v>
      </c>
      <c r="AC17" s="39"/>
      <c r="AD17" s="32">
        <v>42148</v>
      </c>
      <c r="AE17" s="41"/>
      <c r="AF17" s="91" t="s">
        <v>327</v>
      </c>
      <c r="AG17" s="43"/>
    </row>
    <row r="18" spans="1:33" x14ac:dyDescent="0.3">
      <c r="A18" s="81" t="s">
        <v>308</v>
      </c>
      <c r="B18" s="82" t="s">
        <v>309</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326</v>
      </c>
      <c r="Z18" s="37">
        <v>42498</v>
      </c>
      <c r="AA18" s="39"/>
      <c r="AB18" s="39">
        <v>42503</v>
      </c>
      <c r="AC18" s="39"/>
      <c r="AD18" s="32">
        <v>42516</v>
      </c>
      <c r="AE18" s="41"/>
      <c r="AF18" s="91" t="s">
        <v>328</v>
      </c>
      <c r="AG18" s="43"/>
    </row>
    <row r="19" spans="1:33" x14ac:dyDescent="0.3">
      <c r="A19" s="81" t="s">
        <v>308</v>
      </c>
      <c r="B19" s="82" t="s">
        <v>309</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319</v>
      </c>
      <c r="R19" s="71">
        <v>4.310149063547291</v>
      </c>
      <c r="S19" s="134">
        <v>4.310149063547291</v>
      </c>
      <c r="T19" s="72">
        <v>4.8060271413421773</v>
      </c>
      <c r="U19" s="36"/>
      <c r="V19" s="153">
        <v>3</v>
      </c>
      <c r="W19" s="152">
        <v>90</v>
      </c>
      <c r="X19" s="152">
        <v>6</v>
      </c>
      <c r="Y19" s="156" t="s">
        <v>326</v>
      </c>
      <c r="Z19" s="37">
        <v>42834</v>
      </c>
      <c r="AA19" s="39">
        <f>(Z19+AB19)/2</f>
        <v>42837</v>
      </c>
      <c r="AB19" s="39">
        <v>42840</v>
      </c>
      <c r="AC19" s="39">
        <v>42847</v>
      </c>
      <c r="AD19" s="32">
        <v>42854</v>
      </c>
      <c r="AE19" s="41"/>
      <c r="AF19" s="42"/>
      <c r="AG19" s="43"/>
    </row>
    <row r="20" spans="1:33" x14ac:dyDescent="0.3">
      <c r="A20" s="81" t="s">
        <v>308</v>
      </c>
      <c r="B20" s="82" t="s">
        <v>309</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326</v>
      </c>
      <c r="Z20" s="37">
        <v>43220</v>
      </c>
      <c r="AA20" s="39"/>
      <c r="AB20" s="39">
        <v>43227</v>
      </c>
      <c r="AC20" s="39"/>
      <c r="AD20" s="32">
        <v>43237</v>
      </c>
      <c r="AE20" s="41"/>
      <c r="AF20" s="42"/>
      <c r="AG20" s="43"/>
    </row>
    <row r="21" spans="1:33" x14ac:dyDescent="0.3">
      <c r="A21" s="81" t="s">
        <v>308</v>
      </c>
      <c r="B21" s="82" t="s">
        <v>309</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319</v>
      </c>
      <c r="R21" s="72">
        <v>3.737359942623117</v>
      </c>
      <c r="S21" s="72">
        <v>3.737359942623117</v>
      </c>
      <c r="T21" s="72">
        <v>8.0177612443603721</v>
      </c>
      <c r="U21" s="36"/>
      <c r="V21" s="153">
        <v>15</v>
      </c>
      <c r="W21" s="152">
        <v>104</v>
      </c>
      <c r="X21" s="152">
        <v>15</v>
      </c>
      <c r="Y21" s="156" t="s">
        <v>326</v>
      </c>
      <c r="Z21" s="37">
        <v>43564</v>
      </c>
      <c r="AA21" s="39">
        <f>(Z21+AB21)/2</f>
        <v>43566.5</v>
      </c>
      <c r="AB21" s="39">
        <v>43569</v>
      </c>
      <c r="AC21" s="39">
        <v>43573.5</v>
      </c>
      <c r="AD21" s="32">
        <v>43578</v>
      </c>
      <c r="AE21" s="41"/>
      <c r="AF21" s="42"/>
      <c r="AG21" s="43"/>
    </row>
    <row r="22" spans="1:33" x14ac:dyDescent="0.3">
      <c r="A22" s="81" t="s">
        <v>308</v>
      </c>
      <c r="B22" s="82" t="s">
        <v>309</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319</v>
      </c>
      <c r="R22" s="72">
        <v>4.6121268404464875</v>
      </c>
      <c r="S22" s="72">
        <v>4.6121268404464875</v>
      </c>
      <c r="T22" s="72">
        <v>8.4353551822379771</v>
      </c>
      <c r="U22" s="36" t="s">
        <v>319</v>
      </c>
      <c r="V22" s="153">
        <v>4</v>
      </c>
      <c r="W22" s="152">
        <v>84</v>
      </c>
      <c r="X22" s="152">
        <v>16</v>
      </c>
      <c r="Y22" s="156" t="s">
        <v>326</v>
      </c>
      <c r="Z22" s="37"/>
      <c r="AA22" s="39">
        <f>(Z22+AB22)/2</f>
        <v>21969</v>
      </c>
      <c r="AB22" s="39">
        <v>43938</v>
      </c>
      <c r="AC22" s="39">
        <v>43944</v>
      </c>
      <c r="AD22" s="32"/>
      <c r="AE22" s="154" t="s">
        <v>329</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00" t="s">
        <v>291</v>
      </c>
      <c r="B1" s="2415" t="s">
        <v>292</v>
      </c>
      <c r="C1" s="2498" t="s">
        <v>330</v>
      </c>
      <c r="D1" s="2502" t="s">
        <v>331</v>
      </c>
      <c r="E1" s="2475"/>
      <c r="F1" s="2475"/>
      <c r="G1" s="2476"/>
      <c r="H1" s="2476"/>
      <c r="I1" s="2476"/>
      <c r="J1" s="2476"/>
      <c r="K1" s="2476"/>
      <c r="L1" s="2477"/>
      <c r="M1" s="2482" t="s">
        <v>332</v>
      </c>
      <c r="N1" s="2483"/>
      <c r="O1" s="2483"/>
      <c r="P1" s="2483"/>
      <c r="Q1" s="2483"/>
      <c r="R1" s="2483"/>
      <c r="S1" s="2484"/>
      <c r="T1" s="2484"/>
      <c r="U1" s="2503"/>
      <c r="V1" s="2507" t="s">
        <v>333</v>
      </c>
      <c r="W1" s="2508"/>
      <c r="X1" s="2508"/>
      <c r="Y1" s="2508"/>
      <c r="Z1" s="2508"/>
      <c r="AA1" s="2508"/>
      <c r="AB1" s="2509"/>
      <c r="AC1" s="2509"/>
      <c r="AD1" s="2510"/>
      <c r="AE1" s="2504" t="s">
        <v>334</v>
      </c>
      <c r="AF1" s="2505"/>
      <c r="AG1" s="2505"/>
      <c r="AH1" s="2505"/>
      <c r="AI1" s="2505"/>
      <c r="AJ1" s="2505"/>
      <c r="AK1" s="2505"/>
      <c r="AL1" s="2505"/>
      <c r="AM1" s="2506"/>
      <c r="AN1" s="2497" t="s">
        <v>335</v>
      </c>
      <c r="AO1" s="2409"/>
      <c r="AP1" s="2409"/>
      <c r="AQ1" s="2409"/>
      <c r="AR1" s="2410"/>
      <c r="AS1" s="2411"/>
      <c r="AT1" s="2472" t="s">
        <v>336</v>
      </c>
      <c r="AU1" s="2470" t="s">
        <v>216</v>
      </c>
    </row>
    <row r="2" spans="1:47" s="1" customFormat="1" ht="43.2" customHeight="1" thickBot="1" x14ac:dyDescent="0.4">
      <c r="A2" s="2501"/>
      <c r="B2" s="2417"/>
      <c r="C2" s="2499"/>
      <c r="D2" s="93" t="s">
        <v>337</v>
      </c>
      <c r="E2" s="70" t="s">
        <v>338</v>
      </c>
      <c r="F2" s="70" t="s">
        <v>339</v>
      </c>
      <c r="G2" s="70" t="s">
        <v>340</v>
      </c>
      <c r="H2" s="70" t="s">
        <v>341</v>
      </c>
      <c r="I2" s="70" t="s">
        <v>342</v>
      </c>
      <c r="J2" s="205" t="s">
        <v>343</v>
      </c>
      <c r="K2" s="170" t="s">
        <v>221</v>
      </c>
      <c r="L2" s="4" t="s">
        <v>302</v>
      </c>
      <c r="M2" s="129" t="s">
        <v>337</v>
      </c>
      <c r="N2" s="174" t="s">
        <v>338</v>
      </c>
      <c r="O2" s="174" t="s">
        <v>339</v>
      </c>
      <c r="P2" s="174" t="s">
        <v>340</v>
      </c>
      <c r="Q2" s="174" t="s">
        <v>341</v>
      </c>
      <c r="R2" s="174" t="s">
        <v>342</v>
      </c>
      <c r="S2" s="204" t="s">
        <v>343</v>
      </c>
      <c r="T2" s="6" t="s">
        <v>344</v>
      </c>
      <c r="U2" s="75" t="s">
        <v>302</v>
      </c>
      <c r="V2" s="175" t="s">
        <v>337</v>
      </c>
      <c r="W2" s="176" t="s">
        <v>338</v>
      </c>
      <c r="X2" s="176" t="s">
        <v>339</v>
      </c>
      <c r="Y2" s="176" t="s">
        <v>340</v>
      </c>
      <c r="Z2" s="176" t="s">
        <v>341</v>
      </c>
      <c r="AA2" s="176" t="s">
        <v>342</v>
      </c>
      <c r="AB2" s="206" t="s">
        <v>343</v>
      </c>
      <c r="AC2" s="195" t="s">
        <v>344</v>
      </c>
      <c r="AD2" s="215" t="s">
        <v>302</v>
      </c>
      <c r="AE2" s="233" t="s">
        <v>345</v>
      </c>
      <c r="AF2" s="208" t="s">
        <v>346</v>
      </c>
      <c r="AG2" s="208" t="s">
        <v>347</v>
      </c>
      <c r="AH2" s="208" t="s">
        <v>348</v>
      </c>
      <c r="AI2" s="208" t="s">
        <v>349</v>
      </c>
      <c r="AJ2" s="208" t="s">
        <v>350</v>
      </c>
      <c r="AK2" s="207" t="s">
        <v>343</v>
      </c>
      <c r="AL2" s="208" t="s">
        <v>221</v>
      </c>
      <c r="AM2" s="209" t="s">
        <v>302</v>
      </c>
      <c r="AN2" s="76" t="s">
        <v>225</v>
      </c>
      <c r="AO2" s="7" t="s">
        <v>306</v>
      </c>
      <c r="AP2" s="7" t="s">
        <v>351</v>
      </c>
      <c r="AQ2" s="7" t="s">
        <v>307</v>
      </c>
      <c r="AR2" s="8" t="s">
        <v>229</v>
      </c>
      <c r="AS2" s="9" t="s">
        <v>302</v>
      </c>
      <c r="AT2" s="2473"/>
      <c r="AU2" s="2471"/>
    </row>
    <row r="3" spans="1:47" x14ac:dyDescent="0.3">
      <c r="A3" s="81" t="s">
        <v>308</v>
      </c>
      <c r="B3" s="82" t="s">
        <v>309</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308</v>
      </c>
      <c r="B4" s="82" t="s">
        <v>309</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308</v>
      </c>
      <c r="B5" s="82" t="s">
        <v>309</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308</v>
      </c>
      <c r="B6" s="82" t="s">
        <v>309</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308</v>
      </c>
      <c r="B7" s="82" t="s">
        <v>309</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308</v>
      </c>
      <c r="B8" s="82" t="s">
        <v>309</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308</v>
      </c>
      <c r="B9" s="82" t="s">
        <v>309</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352</v>
      </c>
      <c r="AN9" s="219">
        <v>39259</v>
      </c>
      <c r="AO9" s="21"/>
      <c r="AP9" s="20">
        <v>39269</v>
      </c>
      <c r="AQ9" s="21"/>
      <c r="AR9" s="20">
        <v>39299</v>
      </c>
      <c r="AS9" s="11"/>
      <c r="AT9" s="14"/>
      <c r="AU9" s="17"/>
    </row>
    <row r="10" spans="1:47" x14ac:dyDescent="0.3">
      <c r="A10" s="81" t="s">
        <v>308</v>
      </c>
      <c r="B10" s="82" t="s">
        <v>309</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308</v>
      </c>
      <c r="B11" s="82" t="s">
        <v>309</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308</v>
      </c>
      <c r="B12" s="82" t="s">
        <v>309</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308</v>
      </c>
      <c r="B13" s="82" t="s">
        <v>309</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308</v>
      </c>
      <c r="B14" s="82" t="s">
        <v>309</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308</v>
      </c>
      <c r="B15" s="82" t="s">
        <v>309</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308</v>
      </c>
      <c r="B16" s="82" t="s">
        <v>309</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353</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308</v>
      </c>
      <c r="B17" s="82" t="s">
        <v>309</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308</v>
      </c>
      <c r="B18" s="82" t="s">
        <v>309</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308</v>
      </c>
      <c r="B19" s="82" t="s">
        <v>309</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308</v>
      </c>
      <c r="B20" s="82" t="s">
        <v>309</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308</v>
      </c>
      <c r="B21" s="82" t="s">
        <v>309</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308</v>
      </c>
      <c r="B22" s="82" t="s">
        <v>309</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C13" activePane="bottomRight" state="frozen"/>
      <selection pane="topRight" activeCell="C15" sqref="C15"/>
      <selection pane="bottomLeft" activeCell="C15" sqref="C15"/>
      <selection pane="bottomRight" activeCell="F9" sqref="F9"/>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00" t="s">
        <v>209</v>
      </c>
      <c r="B1" s="2498" t="s">
        <v>330</v>
      </c>
      <c r="C1" s="2523" t="s">
        <v>354</v>
      </c>
      <c r="D1" s="2524"/>
      <c r="E1" s="2524"/>
      <c r="F1" s="2525"/>
      <c r="G1" s="2525"/>
      <c r="H1" s="2525"/>
      <c r="I1" s="2525"/>
      <c r="J1" s="2525"/>
      <c r="K1" s="2525"/>
      <c r="L1" s="2526"/>
      <c r="M1" s="2493" t="s">
        <v>355</v>
      </c>
      <c r="N1" s="2494"/>
      <c r="O1" s="2494"/>
      <c r="P1" s="2494"/>
      <c r="Q1" s="2494"/>
      <c r="R1" s="2494"/>
      <c r="S1" s="2494"/>
      <c r="T1" s="2494"/>
      <c r="U1" s="2494"/>
      <c r="V1" s="2494"/>
      <c r="W1" s="2494"/>
      <c r="X1" s="2494"/>
      <c r="Y1" s="2494"/>
      <c r="Z1" s="2494"/>
      <c r="AA1" s="2494"/>
      <c r="AB1" s="2494"/>
      <c r="AC1" s="2494"/>
      <c r="AD1" s="2494"/>
      <c r="AE1" s="2494"/>
      <c r="AF1" s="2494"/>
      <c r="AG1" s="2494"/>
      <c r="AH1" s="2494"/>
      <c r="AI1" s="2494"/>
      <c r="AJ1" s="2495"/>
      <c r="AK1" s="2495"/>
      <c r="AL1" s="2495"/>
      <c r="AM1" s="2527"/>
      <c r="AN1" s="2527"/>
      <c r="AO1" s="2527"/>
      <c r="AP1" s="2408" t="s">
        <v>356</v>
      </c>
      <c r="AQ1" s="2409"/>
      <c r="AR1" s="2409"/>
      <c r="AS1" s="2409"/>
      <c r="AT1" s="2409"/>
      <c r="AU1" s="2411"/>
      <c r="AV1" s="2472" t="s">
        <v>215</v>
      </c>
      <c r="AW1" s="2470" t="s">
        <v>216</v>
      </c>
      <c r="AX1" s="2405" t="s">
        <v>217</v>
      </c>
    </row>
    <row r="2" spans="1:58" s="2" customFormat="1" ht="15" x14ac:dyDescent="0.35">
      <c r="A2" s="2442"/>
      <c r="B2" s="2522"/>
      <c r="C2" s="2533" t="s">
        <v>357</v>
      </c>
      <c r="D2" s="2534"/>
      <c r="E2" s="2534"/>
      <c r="F2" s="2534"/>
      <c r="G2" s="2534"/>
      <c r="H2" s="2534"/>
      <c r="I2" s="2534"/>
      <c r="J2" s="2535"/>
      <c r="K2" s="2511" t="s">
        <v>221</v>
      </c>
      <c r="L2" s="2513" t="s">
        <v>222</v>
      </c>
      <c r="M2" s="2518" t="s">
        <v>358</v>
      </c>
      <c r="N2" s="2517"/>
      <c r="O2" s="2517"/>
      <c r="P2" s="2517" t="s">
        <v>359</v>
      </c>
      <c r="Q2" s="2517"/>
      <c r="R2" s="2517"/>
      <c r="S2" s="2517" t="s">
        <v>360</v>
      </c>
      <c r="T2" s="2517"/>
      <c r="U2" s="2517"/>
      <c r="V2" s="2517" t="s">
        <v>361</v>
      </c>
      <c r="W2" s="2517"/>
      <c r="X2" s="2517"/>
      <c r="Y2" s="2517" t="s">
        <v>362</v>
      </c>
      <c r="Z2" s="2517"/>
      <c r="AA2" s="2517"/>
      <c r="AB2" s="2517" t="s">
        <v>363</v>
      </c>
      <c r="AC2" s="2517"/>
      <c r="AD2" s="2517"/>
      <c r="AE2" s="2517" t="s">
        <v>364</v>
      </c>
      <c r="AF2" s="2517"/>
      <c r="AG2" s="2517"/>
      <c r="AH2" s="2528">
        <f>OtherAge</f>
        <v>3.1</v>
      </c>
      <c r="AI2" s="2528"/>
      <c r="AJ2" s="2528"/>
      <c r="AK2" s="2529" t="s">
        <v>224</v>
      </c>
      <c r="AL2" s="2530"/>
      <c r="AM2" s="2530"/>
      <c r="AN2" s="2437" t="s">
        <v>365</v>
      </c>
      <c r="AO2" s="2531" t="s">
        <v>222</v>
      </c>
      <c r="AP2" s="2519" t="s">
        <v>225</v>
      </c>
      <c r="AQ2" s="2520" t="s">
        <v>366</v>
      </c>
      <c r="AR2" s="2520" t="s">
        <v>367</v>
      </c>
      <c r="AS2" s="2520" t="s">
        <v>368</v>
      </c>
      <c r="AT2" s="2520" t="s">
        <v>229</v>
      </c>
      <c r="AU2" s="2521" t="s">
        <v>222</v>
      </c>
      <c r="AV2" s="2515"/>
      <c r="AW2" s="2516"/>
      <c r="AX2" s="2406"/>
    </row>
    <row r="3" spans="1:58" s="1" customFormat="1" ht="44.4" thickBot="1" x14ac:dyDescent="0.4">
      <c r="A3" s="2501"/>
      <c r="B3" s="2499"/>
      <c r="C3" s="379" t="s">
        <v>358</v>
      </c>
      <c r="D3" s="380" t="s">
        <v>369</v>
      </c>
      <c r="E3" s="380" t="s">
        <v>370</v>
      </c>
      <c r="F3" s="380" t="s">
        <v>361</v>
      </c>
      <c r="G3" s="380" t="s">
        <v>362</v>
      </c>
      <c r="H3" s="380" t="s">
        <v>371</v>
      </c>
      <c r="I3" s="380" t="s">
        <v>372</v>
      </c>
      <c r="J3" s="446">
        <v>3.1</v>
      </c>
      <c r="K3" s="2512"/>
      <c r="L3" s="2514"/>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38"/>
      <c r="AO3" s="2532"/>
      <c r="AP3" s="2432"/>
      <c r="AQ3" s="2426"/>
      <c r="AR3" s="2426"/>
      <c r="AS3" s="2426"/>
      <c r="AT3" s="2426"/>
      <c r="AU3" s="2428"/>
      <c r="AV3" s="2473"/>
      <c r="AW3" s="2471"/>
      <c r="AX3" s="2407" t="s">
        <v>217</v>
      </c>
    </row>
    <row r="4" spans="1:58" x14ac:dyDescent="0.3">
      <c r="A4" s="425" t="s">
        <v>373</v>
      </c>
      <c r="B4" s="426">
        <v>1980</v>
      </c>
      <c r="C4" s="792">
        <f t="shared" ref="C4:C47" si="0">IF(ISNUMBER(VLOOKUP($B4,AdultAgeComp,6)),VLOOKUP($B4,AdultAgeComp,2)*VLOOKUP($B4,AdultAgeComp,6),0)</f>
        <v>0</v>
      </c>
      <c r="D4" s="793">
        <f t="shared" ref="D4:D47" si="1">IF(ISNUMBER(VLOOKUP($B4,AdultAgeComp,7)),VLOOKUP($B4,AdultAgeComp,2)*VLOOKUP($B4,AdultAgeComp,7),0)</f>
        <v>0</v>
      </c>
      <c r="E4" s="793">
        <f t="shared" ref="E4:E47" si="2">IF(ISNUMBER(VLOOKUP($B4,AdultAgeComp,8)),VLOOKUP($B4,AdultAgeComp,2)*VLOOKUP($B4,AdultAgeComp,8),0)</f>
        <v>0</v>
      </c>
      <c r="F4" s="793">
        <f t="shared" ref="F4:F47" si="3">IF(ISNUMBER(VLOOKUP($B4,AdultAgeComp,9)),VLOOKUP($B4,AdultAgeComp,2)*VLOOKUP($B4,AdultAgeComp,9),0)</f>
        <v>0</v>
      </c>
      <c r="G4" s="793">
        <f t="shared" ref="G4:G47" si="4">IF(ISNUMBER(VLOOKUP($B4,AdultAgeComp,10)),VLOOKUP($B4,AdultAgeComp,2)*VLOOKUP($B4,AdultAgeComp,10),0)</f>
        <v>0</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0</v>
      </c>
      <c r="L4" s="460" t="s">
        <v>374</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375</v>
      </c>
      <c r="AX4" s="325"/>
      <c r="BA4" s="440"/>
      <c r="BD4" s="442"/>
      <c r="BE4" s="442"/>
      <c r="BF4" s="442"/>
    </row>
    <row r="5" spans="1:58" x14ac:dyDescent="0.3">
      <c r="A5" s="425" t="s">
        <v>373</v>
      </c>
      <c r="B5" s="427">
        <v>1981</v>
      </c>
      <c r="C5" s="795">
        <f t="shared" si="0"/>
        <v>0</v>
      </c>
      <c r="D5" s="796">
        <f t="shared" si="1"/>
        <v>0</v>
      </c>
      <c r="E5" s="796">
        <f t="shared" si="2"/>
        <v>0</v>
      </c>
      <c r="F5" s="796">
        <f t="shared" si="3"/>
        <v>0</v>
      </c>
      <c r="G5" s="796">
        <f t="shared" si="4"/>
        <v>0</v>
      </c>
      <c r="H5" s="796">
        <f t="shared" si="5"/>
        <v>0</v>
      </c>
      <c r="I5" s="796">
        <f t="shared" si="6"/>
        <v>0</v>
      </c>
      <c r="J5" s="797">
        <f t="shared" si="7"/>
        <v>0</v>
      </c>
      <c r="K5" s="451">
        <f t="shared" ref="K5:K47" si="11">SUM(C5:J5)</f>
        <v>0</v>
      </c>
      <c r="L5" s="460" t="s">
        <v>374</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375</v>
      </c>
      <c r="AX5" s="453" t="s">
        <v>376</v>
      </c>
      <c r="BA5" s="440"/>
      <c r="BD5" s="442"/>
      <c r="BE5" s="442"/>
      <c r="BF5" s="442"/>
    </row>
    <row r="6" spans="1:58" x14ac:dyDescent="0.3">
      <c r="A6" s="425" t="s">
        <v>373</v>
      </c>
      <c r="B6" s="427">
        <v>1982</v>
      </c>
      <c r="C6" s="795">
        <f t="shared" si="0"/>
        <v>0</v>
      </c>
      <c r="D6" s="796">
        <f t="shared" si="1"/>
        <v>0</v>
      </c>
      <c r="E6" s="796">
        <f t="shared" si="2"/>
        <v>0</v>
      </c>
      <c r="F6" s="796">
        <f t="shared" si="3"/>
        <v>0</v>
      </c>
      <c r="G6" s="796">
        <f t="shared" si="4"/>
        <v>0</v>
      </c>
      <c r="H6" s="796">
        <f t="shared" si="5"/>
        <v>0</v>
      </c>
      <c r="I6" s="796">
        <f t="shared" si="6"/>
        <v>0</v>
      </c>
      <c r="J6" s="797">
        <f t="shared" si="7"/>
        <v>0</v>
      </c>
      <c r="K6" s="451">
        <f t="shared" si="11"/>
        <v>0</v>
      </c>
      <c r="L6" s="460" t="s">
        <v>374</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375</v>
      </c>
      <c r="AX6" s="453" t="s">
        <v>376</v>
      </c>
      <c r="BA6" s="440"/>
      <c r="BD6" s="442"/>
      <c r="BE6" s="442"/>
      <c r="BF6" s="442"/>
    </row>
    <row r="7" spans="1:58" x14ac:dyDescent="0.3">
      <c r="A7" s="425" t="s">
        <v>373</v>
      </c>
      <c r="B7" s="427">
        <v>1983</v>
      </c>
      <c r="C7" s="795">
        <f t="shared" si="0"/>
        <v>0</v>
      </c>
      <c r="D7" s="796">
        <f t="shared" si="1"/>
        <v>0</v>
      </c>
      <c r="E7" s="796">
        <f t="shared" si="2"/>
        <v>0</v>
      </c>
      <c r="F7" s="796">
        <f t="shared" si="3"/>
        <v>0</v>
      </c>
      <c r="G7" s="796">
        <f t="shared" si="4"/>
        <v>0</v>
      </c>
      <c r="H7" s="796">
        <f t="shared" si="5"/>
        <v>0</v>
      </c>
      <c r="I7" s="796">
        <f t="shared" si="6"/>
        <v>0</v>
      </c>
      <c r="J7" s="797">
        <f t="shared" si="7"/>
        <v>0</v>
      </c>
      <c r="K7" s="451">
        <f t="shared" si="11"/>
        <v>0</v>
      </c>
      <c r="L7" s="460" t="s">
        <v>374</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375</v>
      </c>
      <c r="AX7" s="453" t="s">
        <v>376</v>
      </c>
      <c r="BA7" s="440"/>
      <c r="BC7" s="442"/>
      <c r="BD7" s="442"/>
      <c r="BE7" s="442"/>
      <c r="BF7" s="442"/>
    </row>
    <row r="8" spans="1:58" x14ac:dyDescent="0.3">
      <c r="A8" s="425" t="s">
        <v>373</v>
      </c>
      <c r="B8" s="427">
        <v>1984</v>
      </c>
      <c r="C8" s="795">
        <f t="shared" si="0"/>
        <v>0</v>
      </c>
      <c r="D8" s="796">
        <f t="shared" si="1"/>
        <v>0</v>
      </c>
      <c r="E8" s="796">
        <f t="shared" si="2"/>
        <v>0</v>
      </c>
      <c r="F8" s="796">
        <f t="shared" si="3"/>
        <v>0</v>
      </c>
      <c r="G8" s="796">
        <f t="shared" si="4"/>
        <v>0</v>
      </c>
      <c r="H8" s="796">
        <f t="shared" si="5"/>
        <v>0</v>
      </c>
      <c r="I8" s="796">
        <f t="shared" si="6"/>
        <v>0</v>
      </c>
      <c r="J8" s="797">
        <f t="shared" si="7"/>
        <v>0</v>
      </c>
      <c r="K8" s="451">
        <f t="shared" si="11"/>
        <v>0</v>
      </c>
      <c r="L8" s="460" t="s">
        <v>374</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375</v>
      </c>
      <c r="AX8" s="453" t="s">
        <v>376</v>
      </c>
      <c r="BA8" s="440"/>
      <c r="BC8" s="442"/>
      <c r="BD8" s="442"/>
      <c r="BE8" s="442"/>
      <c r="BF8" s="442"/>
    </row>
    <row r="9" spans="1:58" x14ac:dyDescent="0.3">
      <c r="A9" s="425" t="s">
        <v>373</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374</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375</v>
      </c>
      <c r="AX9" s="453" t="s">
        <v>376</v>
      </c>
      <c r="BA9" s="440"/>
      <c r="BC9" s="442"/>
      <c r="BD9" s="442"/>
      <c r="BE9" s="442"/>
      <c r="BF9" s="442"/>
    </row>
    <row r="10" spans="1:58" x14ac:dyDescent="0.3">
      <c r="A10" s="425" t="s">
        <v>373</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374</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377</v>
      </c>
      <c r="AX10" s="453" t="s">
        <v>376</v>
      </c>
      <c r="BA10" s="440"/>
      <c r="BC10" s="442"/>
      <c r="BD10" s="442"/>
      <c r="BE10" s="442"/>
      <c r="BF10" s="442"/>
    </row>
    <row r="11" spans="1:58" x14ac:dyDescent="0.3">
      <c r="A11" s="425" t="s">
        <v>373</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374</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377</v>
      </c>
      <c r="AX11" s="453" t="s">
        <v>376</v>
      </c>
      <c r="BA11" s="440"/>
      <c r="BC11" s="442"/>
      <c r="BD11" s="442"/>
      <c r="BE11" s="442"/>
      <c r="BF11" s="442"/>
    </row>
    <row r="12" spans="1:58" x14ac:dyDescent="0.3">
      <c r="A12" s="425" t="s">
        <v>373</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374</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377</v>
      </c>
      <c r="AX12" s="453" t="s">
        <v>376</v>
      </c>
      <c r="BA12" s="440"/>
      <c r="BC12" s="442"/>
      <c r="BD12" s="442"/>
      <c r="BE12" s="442"/>
      <c r="BF12" s="442"/>
    </row>
    <row r="13" spans="1:58" x14ac:dyDescent="0.3">
      <c r="A13" s="425" t="s">
        <v>373</v>
      </c>
      <c r="B13" s="427">
        <v>1989</v>
      </c>
      <c r="C13" s="795">
        <f t="shared" si="0"/>
        <v>0</v>
      </c>
      <c r="D13" s="796">
        <f t="shared" si="1"/>
        <v>0</v>
      </c>
      <c r="E13" s="796">
        <f t="shared" si="2"/>
        <v>0</v>
      </c>
      <c r="F13" s="796">
        <f t="shared" si="3"/>
        <v>0</v>
      </c>
      <c r="G13" s="796">
        <f t="shared" si="4"/>
        <v>0</v>
      </c>
      <c r="H13" s="796">
        <f t="shared" si="5"/>
        <v>0</v>
      </c>
      <c r="I13" s="796">
        <f t="shared" si="6"/>
        <v>0</v>
      </c>
      <c r="J13" s="797">
        <f t="shared" si="7"/>
        <v>0</v>
      </c>
      <c r="K13" s="451">
        <f t="shared" si="11"/>
        <v>0</v>
      </c>
      <c r="L13" s="460" t="s">
        <v>374</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377</v>
      </c>
      <c r="AX13" s="453" t="s">
        <v>376</v>
      </c>
      <c r="BA13" s="440"/>
      <c r="BC13" s="442"/>
      <c r="BD13" s="442"/>
      <c r="BE13" s="442"/>
      <c r="BF13" s="442"/>
    </row>
    <row r="14" spans="1:58" x14ac:dyDescent="0.3">
      <c r="A14" s="425" t="s">
        <v>373</v>
      </c>
      <c r="B14" s="427">
        <v>1990</v>
      </c>
      <c r="C14" s="795">
        <f t="shared" si="0"/>
        <v>0</v>
      </c>
      <c r="D14" s="796">
        <f t="shared" si="1"/>
        <v>0</v>
      </c>
      <c r="E14" s="796">
        <f t="shared" si="2"/>
        <v>0</v>
      </c>
      <c r="F14" s="796">
        <f t="shared" si="3"/>
        <v>0</v>
      </c>
      <c r="G14" s="796">
        <f t="shared" si="4"/>
        <v>0</v>
      </c>
      <c r="H14" s="796">
        <f t="shared" si="5"/>
        <v>0</v>
      </c>
      <c r="I14" s="796">
        <f t="shared" si="6"/>
        <v>0</v>
      </c>
      <c r="J14" s="797">
        <f t="shared" si="7"/>
        <v>0</v>
      </c>
      <c r="K14" s="451">
        <f t="shared" si="11"/>
        <v>0</v>
      </c>
      <c r="L14" s="460" t="s">
        <v>374</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377</v>
      </c>
      <c r="AX14" s="453" t="s">
        <v>376</v>
      </c>
      <c r="BA14" s="440"/>
      <c r="BC14" s="442"/>
      <c r="BD14" s="442"/>
      <c r="BE14" s="442"/>
      <c r="BF14" s="442"/>
    </row>
    <row r="15" spans="1:58" x14ac:dyDescent="0.3">
      <c r="A15" s="425" t="s">
        <v>373</v>
      </c>
      <c r="B15" s="427">
        <v>1991</v>
      </c>
      <c r="C15" s="795">
        <f t="shared" si="0"/>
        <v>0</v>
      </c>
      <c r="D15" s="796">
        <f t="shared" si="1"/>
        <v>0</v>
      </c>
      <c r="E15" s="796">
        <f t="shared" si="2"/>
        <v>0</v>
      </c>
      <c r="F15" s="796">
        <f t="shared" si="3"/>
        <v>0</v>
      </c>
      <c r="G15" s="796">
        <f t="shared" si="4"/>
        <v>0</v>
      </c>
      <c r="H15" s="796">
        <f t="shared" si="5"/>
        <v>0</v>
      </c>
      <c r="I15" s="796">
        <f t="shared" si="6"/>
        <v>0</v>
      </c>
      <c r="J15" s="797">
        <f t="shared" si="7"/>
        <v>0</v>
      </c>
      <c r="K15" s="451">
        <f t="shared" si="11"/>
        <v>0</v>
      </c>
      <c r="L15" s="460" t="s">
        <v>374</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377</v>
      </c>
      <c r="AX15" s="453" t="s">
        <v>376</v>
      </c>
      <c r="BA15" s="440"/>
      <c r="BC15" s="442"/>
      <c r="BD15" s="442"/>
      <c r="BE15" s="442"/>
      <c r="BF15" s="442"/>
    </row>
    <row r="16" spans="1:58" x14ac:dyDescent="0.3">
      <c r="A16" s="425" t="s">
        <v>373</v>
      </c>
      <c r="B16" s="427">
        <v>1992</v>
      </c>
      <c r="C16" s="795">
        <f t="shared" si="0"/>
        <v>0</v>
      </c>
      <c r="D16" s="796">
        <f t="shared" si="1"/>
        <v>0</v>
      </c>
      <c r="E16" s="796">
        <f t="shared" si="2"/>
        <v>0</v>
      </c>
      <c r="F16" s="796">
        <f t="shared" si="3"/>
        <v>0</v>
      </c>
      <c r="G16" s="796">
        <f t="shared" si="4"/>
        <v>0</v>
      </c>
      <c r="H16" s="796">
        <f t="shared" si="5"/>
        <v>0</v>
      </c>
      <c r="I16" s="796">
        <f t="shared" si="6"/>
        <v>0</v>
      </c>
      <c r="J16" s="797">
        <f t="shared" si="7"/>
        <v>0</v>
      </c>
      <c r="K16" s="451">
        <f t="shared" si="11"/>
        <v>0</v>
      </c>
      <c r="L16" s="460" t="s">
        <v>374</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377</v>
      </c>
      <c r="AX16" s="453" t="s">
        <v>376</v>
      </c>
      <c r="BA16" s="440"/>
      <c r="BC16" s="442"/>
      <c r="BD16" s="442"/>
      <c r="BE16" s="442"/>
      <c r="BF16" s="442"/>
    </row>
    <row r="17" spans="1:58" x14ac:dyDescent="0.3">
      <c r="A17" s="425" t="s">
        <v>373</v>
      </c>
      <c r="B17" s="427">
        <v>1993</v>
      </c>
      <c r="C17" s="795">
        <f t="shared" si="0"/>
        <v>0</v>
      </c>
      <c r="D17" s="796">
        <f t="shared" si="1"/>
        <v>0</v>
      </c>
      <c r="E17" s="796">
        <f t="shared" si="2"/>
        <v>0</v>
      </c>
      <c r="F17" s="796">
        <f t="shared" si="3"/>
        <v>0</v>
      </c>
      <c r="G17" s="796">
        <f t="shared" si="4"/>
        <v>0</v>
      </c>
      <c r="H17" s="796">
        <f t="shared" si="5"/>
        <v>0</v>
      </c>
      <c r="I17" s="796">
        <f t="shared" si="6"/>
        <v>0</v>
      </c>
      <c r="J17" s="797">
        <f t="shared" si="7"/>
        <v>0</v>
      </c>
      <c r="K17" s="451">
        <f t="shared" si="11"/>
        <v>0</v>
      </c>
      <c r="L17" s="460" t="s">
        <v>374</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377</v>
      </c>
      <c r="AX17" s="453" t="s">
        <v>376</v>
      </c>
      <c r="BA17" s="440"/>
      <c r="BC17" s="442"/>
      <c r="BD17" s="442"/>
      <c r="BE17" s="442"/>
      <c r="BF17" s="442"/>
    </row>
    <row r="18" spans="1:58" x14ac:dyDescent="0.3">
      <c r="A18" s="425" t="s">
        <v>373</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374</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377</v>
      </c>
      <c r="AX18" s="453" t="s">
        <v>376</v>
      </c>
      <c r="BA18" s="440"/>
      <c r="BC18" s="442"/>
      <c r="BD18" s="442"/>
      <c r="BE18" s="442"/>
      <c r="BF18" s="442"/>
    </row>
    <row r="19" spans="1:58" x14ac:dyDescent="0.3">
      <c r="A19" s="425" t="s">
        <v>373</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7">
        <f t="shared" si="11"/>
        <v>5238</v>
      </c>
      <c r="L19" s="460" t="s">
        <v>374</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377</v>
      </c>
      <c r="AX19" s="453" t="s">
        <v>376</v>
      </c>
      <c r="BA19" s="440"/>
      <c r="BC19" s="442"/>
      <c r="BD19" s="442"/>
      <c r="BE19" s="442"/>
      <c r="BF19" s="442"/>
    </row>
    <row r="20" spans="1:58" x14ac:dyDescent="0.3">
      <c r="A20" s="425" t="s">
        <v>373</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374</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377</v>
      </c>
      <c r="AX20" s="453" t="s">
        <v>376</v>
      </c>
      <c r="BA20" s="440"/>
      <c r="BC20" s="442"/>
      <c r="BD20" s="442"/>
      <c r="BE20" s="442"/>
      <c r="BF20" s="442"/>
    </row>
    <row r="21" spans="1:58" x14ac:dyDescent="0.3">
      <c r="A21" s="425" t="s">
        <v>373</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374</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377</v>
      </c>
      <c r="AX21" s="453" t="s">
        <v>376</v>
      </c>
      <c r="BA21" s="440"/>
      <c r="BC21" s="442"/>
      <c r="BD21" s="442"/>
      <c r="BE21" s="442"/>
      <c r="BF21" s="442"/>
    </row>
    <row r="22" spans="1:58" x14ac:dyDescent="0.3">
      <c r="A22" s="425" t="s">
        <v>373</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374</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377</v>
      </c>
      <c r="AX22" s="453" t="s">
        <v>376</v>
      </c>
      <c r="BA22" s="440"/>
      <c r="BC22" s="442"/>
      <c r="BD22" s="442"/>
      <c r="BE22" s="442"/>
      <c r="BF22" s="442"/>
    </row>
    <row r="23" spans="1:58" x14ac:dyDescent="0.3">
      <c r="A23" s="425" t="s">
        <v>373</v>
      </c>
      <c r="B23" s="427">
        <v>1999</v>
      </c>
      <c r="C23" s="798">
        <f t="shared" si="0"/>
        <v>1903.6063936063938</v>
      </c>
      <c r="D23" s="799">
        <f t="shared" si="1"/>
        <v>14176.858141858142</v>
      </c>
      <c r="E23" s="799">
        <f t="shared" si="2"/>
        <v>634.5354645354646</v>
      </c>
      <c r="F23" s="800">
        <f t="shared" si="3"/>
        <v>0</v>
      </c>
      <c r="G23" s="800">
        <f t="shared" si="4"/>
        <v>0</v>
      </c>
      <c r="H23" s="796">
        <f t="shared" si="5"/>
        <v>0</v>
      </c>
      <c r="I23" s="796">
        <f t="shared" si="6"/>
        <v>0</v>
      </c>
      <c r="J23" s="797">
        <f t="shared" si="7"/>
        <v>0</v>
      </c>
      <c r="K23" s="1647">
        <f t="shared" si="11"/>
        <v>16715</v>
      </c>
      <c r="L23" s="460" t="s">
        <v>374</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377</v>
      </c>
      <c r="AX23" s="453" t="s">
        <v>376</v>
      </c>
      <c r="BA23" s="440"/>
      <c r="BC23" s="442"/>
      <c r="BD23" s="442"/>
      <c r="BE23" s="442"/>
      <c r="BF23" s="442"/>
    </row>
    <row r="24" spans="1:58" x14ac:dyDescent="0.3">
      <c r="A24" s="425" t="s">
        <v>373</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7">
        <f t="shared" si="11"/>
        <v>73865.999999999985</v>
      </c>
      <c r="L24" s="460" t="s">
        <v>374</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377</v>
      </c>
      <c r="AX24" s="453" t="s">
        <v>376</v>
      </c>
      <c r="BA24" s="440"/>
      <c r="BC24" s="442"/>
      <c r="BD24" s="442"/>
      <c r="BE24" s="442"/>
      <c r="BF24" s="442"/>
    </row>
    <row r="25" spans="1:58" x14ac:dyDescent="0.3">
      <c r="A25" s="425" t="s">
        <v>373</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7">
        <f t="shared" si="11"/>
        <v>83706.999999999956</v>
      </c>
      <c r="L25" s="460" t="s">
        <v>374</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377</v>
      </c>
      <c r="AX25" s="453" t="s">
        <v>376</v>
      </c>
      <c r="BA25" s="440"/>
      <c r="BC25" s="442"/>
      <c r="BD25" s="442"/>
      <c r="BE25" s="442"/>
      <c r="BF25" s="442"/>
    </row>
    <row r="26" spans="1:58" x14ac:dyDescent="0.3">
      <c r="A26" s="425" t="s">
        <v>373</v>
      </c>
      <c r="B26" s="427">
        <v>2002</v>
      </c>
      <c r="C26" s="1308">
        <f t="shared" si="0"/>
        <v>288.12</v>
      </c>
      <c r="D26" s="1309">
        <f t="shared" si="1"/>
        <v>7159.7820000000002</v>
      </c>
      <c r="E26" s="1309">
        <f t="shared" si="2"/>
        <v>187.27799999999999</v>
      </c>
      <c r="F26" s="1309">
        <f t="shared" si="3"/>
        <v>2132.0879999999997</v>
      </c>
      <c r="G26" s="1309">
        <f t="shared" si="4"/>
        <v>3183.7260000000001</v>
      </c>
      <c r="H26" s="803">
        <f t="shared" si="5"/>
        <v>0</v>
      </c>
      <c r="I26" s="796">
        <f t="shared" si="6"/>
        <v>1455.0060000000001</v>
      </c>
      <c r="J26" s="797">
        <f t="shared" si="7"/>
        <v>0</v>
      </c>
      <c r="K26" s="1647">
        <f t="shared" si="11"/>
        <v>14406</v>
      </c>
      <c r="L26" s="460" t="s">
        <v>374</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377</v>
      </c>
      <c r="AX26" s="453" t="s">
        <v>376</v>
      </c>
      <c r="BA26" s="440"/>
      <c r="BC26" s="442"/>
      <c r="BD26" s="442"/>
      <c r="BE26" s="442"/>
      <c r="BF26" s="442"/>
    </row>
    <row r="27" spans="1:58" x14ac:dyDescent="0.3">
      <c r="A27" s="425" t="s">
        <v>373</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7">
        <f t="shared" si="11"/>
        <v>34992</v>
      </c>
      <c r="L27" s="460" t="s">
        <v>374</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263</v>
      </c>
      <c r="AW27" s="327" t="s">
        <v>377</v>
      </c>
      <c r="AX27" s="453" t="s">
        <v>376</v>
      </c>
      <c r="BA27" s="440"/>
      <c r="BC27" s="442"/>
      <c r="BD27" s="442"/>
      <c r="BE27" s="442"/>
      <c r="BF27" s="442"/>
    </row>
    <row r="28" spans="1:58" x14ac:dyDescent="0.3">
      <c r="A28" s="425" t="s">
        <v>373</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7">
        <f t="shared" si="11"/>
        <v>91546.999999999985</v>
      </c>
      <c r="L28" s="460" t="s">
        <v>374</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377</v>
      </c>
      <c r="AX28" s="453" t="s">
        <v>376</v>
      </c>
      <c r="BA28" s="440"/>
      <c r="BC28" s="442"/>
      <c r="BD28" s="442"/>
      <c r="BE28" s="442"/>
      <c r="BF28" s="442"/>
    </row>
    <row r="29" spans="1:58" x14ac:dyDescent="0.3">
      <c r="A29" s="425" t="s">
        <v>373</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7">
        <f t="shared" si="11"/>
        <v>59169.999999999993</v>
      </c>
      <c r="L29" s="460" t="s">
        <v>374</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377</v>
      </c>
      <c r="AX29" s="453" t="s">
        <v>376</v>
      </c>
      <c r="BA29" s="440"/>
      <c r="BC29" s="442"/>
      <c r="BD29" s="442"/>
      <c r="BE29" s="442"/>
      <c r="BF29" s="442"/>
    </row>
    <row r="30" spans="1:58" x14ac:dyDescent="0.3">
      <c r="A30" s="425" t="s">
        <v>373</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7">
        <f t="shared" si="11"/>
        <v>27615.999999999996</v>
      </c>
      <c r="L30" s="460" t="s">
        <v>374</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377</v>
      </c>
      <c r="AX30" s="453" t="s">
        <v>376</v>
      </c>
      <c r="BA30" s="440"/>
      <c r="BC30" s="442"/>
      <c r="BD30" s="442"/>
      <c r="BE30" s="442"/>
      <c r="BF30" s="442"/>
    </row>
    <row r="31" spans="1:58" x14ac:dyDescent="0.3">
      <c r="A31" s="425" t="s">
        <v>373</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7">
        <f t="shared" si="11"/>
        <v>19662.388732394367</v>
      </c>
      <c r="L31" s="460" t="s">
        <v>374</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377</v>
      </c>
      <c r="AX31" s="453" t="s">
        <v>376</v>
      </c>
      <c r="BA31" s="440"/>
      <c r="BC31" s="442"/>
      <c r="BD31" s="442"/>
      <c r="BE31" s="442"/>
      <c r="BF31" s="442"/>
    </row>
    <row r="32" spans="1:58" x14ac:dyDescent="0.3">
      <c r="A32" s="425" t="s">
        <v>373</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7">
        <f t="shared" si="11"/>
        <v>178893.99999999997</v>
      </c>
      <c r="L32" s="460" t="s">
        <v>374</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377</v>
      </c>
      <c r="AX32" s="453" t="s">
        <v>376</v>
      </c>
      <c r="BA32" s="440"/>
      <c r="BC32" s="442"/>
      <c r="BD32" s="442"/>
      <c r="BE32" s="442"/>
      <c r="BF32" s="442"/>
    </row>
    <row r="33" spans="1:58" x14ac:dyDescent="0.3">
      <c r="A33" s="425" t="s">
        <v>373</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7">
        <f t="shared" si="11"/>
        <v>135328.99999999997</v>
      </c>
      <c r="L33" s="460" t="s">
        <v>374</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377</v>
      </c>
      <c r="AX33" s="453" t="s">
        <v>376</v>
      </c>
      <c r="BA33" s="440"/>
      <c r="BC33" s="442"/>
      <c r="BD33" s="442"/>
      <c r="BE33" s="442"/>
      <c r="BF33" s="442"/>
    </row>
    <row r="34" spans="1:58" x14ac:dyDescent="0.3">
      <c r="A34" s="425" t="s">
        <v>373</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7">
        <f t="shared" si="11"/>
        <v>342215.00000000006</v>
      </c>
      <c r="L34" s="460" t="s">
        <v>374</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272</v>
      </c>
      <c r="AW34" s="327" t="s">
        <v>377</v>
      </c>
      <c r="AX34" s="453" t="s">
        <v>376</v>
      </c>
      <c r="BA34" s="440"/>
      <c r="BC34" s="442"/>
      <c r="BD34" s="442"/>
      <c r="BE34" s="442"/>
      <c r="BF34" s="442"/>
    </row>
    <row r="35" spans="1:58" x14ac:dyDescent="0.3">
      <c r="A35" s="425" t="s">
        <v>373</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1">
        <f t="shared" si="11"/>
        <v>59581</v>
      </c>
      <c r="L35" s="460" t="s">
        <v>374</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377</v>
      </c>
      <c r="AX35" s="453" t="s">
        <v>376</v>
      </c>
      <c r="BA35" s="440"/>
      <c r="BC35" s="442"/>
      <c r="BD35" s="442"/>
      <c r="BE35" s="442"/>
      <c r="BF35" s="442"/>
    </row>
    <row r="36" spans="1:58" x14ac:dyDescent="0.3">
      <c r="A36" s="425" t="s">
        <v>373</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374</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377</v>
      </c>
      <c r="AX36" s="453" t="s">
        <v>376</v>
      </c>
      <c r="BA36" s="440"/>
      <c r="BC36" s="442"/>
      <c r="BD36" s="442"/>
      <c r="BE36" s="442"/>
      <c r="BF36" s="442"/>
    </row>
    <row r="37" spans="1:58" x14ac:dyDescent="0.3">
      <c r="A37" s="425" t="s">
        <v>373</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51">
        <f t="shared" si="11"/>
        <v>98428</v>
      </c>
      <c r="L37" s="460" t="s">
        <v>374</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377</v>
      </c>
      <c r="AX37" s="453" t="s">
        <v>376</v>
      </c>
      <c r="BA37" s="440"/>
      <c r="BC37" s="442"/>
      <c r="BD37" s="442"/>
      <c r="BE37" s="442"/>
      <c r="BF37" s="442"/>
    </row>
    <row r="38" spans="1:58" x14ac:dyDescent="0.3">
      <c r="A38" s="425" t="s">
        <v>373</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374</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377</v>
      </c>
      <c r="AX38" s="453" t="s">
        <v>376</v>
      </c>
      <c r="BA38" s="440"/>
      <c r="BC38" s="442"/>
      <c r="BD38" s="442"/>
      <c r="BE38" s="442"/>
      <c r="BF38" s="442"/>
    </row>
    <row r="39" spans="1:58" x14ac:dyDescent="0.3">
      <c r="A39" s="425" t="s">
        <v>373</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374</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378</v>
      </c>
      <c r="AW39" s="327" t="s">
        <v>377</v>
      </c>
      <c r="AX39" s="453" t="s">
        <v>376</v>
      </c>
      <c r="BA39" s="440"/>
      <c r="BC39" s="442"/>
      <c r="BD39" s="442"/>
      <c r="BE39" s="442"/>
      <c r="BF39" s="442"/>
    </row>
    <row r="40" spans="1:58" x14ac:dyDescent="0.3">
      <c r="A40" s="425" t="s">
        <v>373</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374</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377</v>
      </c>
      <c r="AX40" s="453" t="s">
        <v>376</v>
      </c>
      <c r="BA40" s="440"/>
      <c r="BC40" s="442"/>
      <c r="BD40" s="442"/>
      <c r="BE40" s="442"/>
      <c r="BF40" s="442"/>
    </row>
    <row r="41" spans="1:58" x14ac:dyDescent="0.3">
      <c r="A41" s="425" t="s">
        <v>373</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374</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377</v>
      </c>
      <c r="AX41" s="453" t="s">
        <v>376</v>
      </c>
      <c r="BA41" s="440"/>
      <c r="BC41" s="442"/>
      <c r="BD41" s="442"/>
      <c r="BE41" s="442"/>
      <c r="BF41" s="442"/>
    </row>
    <row r="42" spans="1:58" x14ac:dyDescent="0.3">
      <c r="A42" s="425" t="s">
        <v>373</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7">
        <f t="shared" si="11"/>
        <v>79516.000000000015</v>
      </c>
      <c r="L42" s="460" t="s">
        <v>374</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377</v>
      </c>
      <c r="AX42" s="453" t="s">
        <v>376</v>
      </c>
      <c r="BA42" s="440"/>
      <c r="BC42" s="442"/>
      <c r="BD42" s="442"/>
      <c r="BE42" s="442"/>
      <c r="BF42" s="442"/>
    </row>
    <row r="43" spans="1:58" x14ac:dyDescent="0.3">
      <c r="A43" s="425" t="s">
        <v>373</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374</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377</v>
      </c>
      <c r="AX43" s="453" t="s">
        <v>376</v>
      </c>
      <c r="BA43" s="440"/>
      <c r="BC43" s="442"/>
      <c r="BD43" s="442"/>
      <c r="BE43" s="442"/>
      <c r="BF43" s="442"/>
    </row>
    <row r="44" spans="1:58" x14ac:dyDescent="0.3">
      <c r="A44" s="425" t="s">
        <v>373</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374</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377</v>
      </c>
      <c r="AX44" s="453" t="s">
        <v>376</v>
      </c>
      <c r="BA44" s="440"/>
      <c r="BC44" s="442"/>
      <c r="BD44" s="442"/>
      <c r="BE44" s="442"/>
      <c r="BF44" s="442"/>
    </row>
    <row r="45" spans="1:58" x14ac:dyDescent="0.3">
      <c r="A45" s="425" t="s">
        <v>373</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379</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380</v>
      </c>
      <c r="AW45" s="327" t="s">
        <v>377</v>
      </c>
      <c r="AX45" s="453" t="s">
        <v>376</v>
      </c>
      <c r="BA45" s="440"/>
      <c r="BC45" s="442"/>
      <c r="BD45" s="442"/>
      <c r="BE45" s="442"/>
      <c r="BF45" s="442"/>
    </row>
    <row r="46" spans="1:58" x14ac:dyDescent="0.3">
      <c r="A46" s="425" t="s">
        <v>373</v>
      </c>
      <c r="B46" s="427">
        <v>2022</v>
      </c>
      <c r="C46" s="798">
        <f t="shared" si="0"/>
        <v>7877.0832056169038</v>
      </c>
      <c r="D46" s="799">
        <f t="shared" si="1"/>
        <v>356956.24421242916</v>
      </c>
      <c r="E46" s="799">
        <f t="shared" si="2"/>
        <v>3316.666612891328</v>
      </c>
      <c r="F46" s="799">
        <f t="shared" si="3"/>
        <v>49749.99919336992</v>
      </c>
      <c r="G46" s="799">
        <f t="shared" si="4"/>
        <v>0</v>
      </c>
      <c r="H46" s="799">
        <f t="shared" si="5"/>
        <v>0</v>
      </c>
      <c r="I46" s="796">
        <f t="shared" si="6"/>
        <v>0</v>
      </c>
      <c r="J46" s="797">
        <f t="shared" si="7"/>
        <v>0</v>
      </c>
      <c r="K46" s="451">
        <f t="shared" si="11"/>
        <v>417899.99322430731</v>
      </c>
      <c r="L46" s="455" t="s">
        <v>381</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373</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382</v>
      </c>
      <c r="B55" s="1688" t="s">
        <v>383</v>
      </c>
      <c r="C55" s="1689" t="str">
        <f>C3</f>
        <v>1.1 (32)</v>
      </c>
      <c r="D55" s="1050" t="str">
        <f>D3</f>
        <v>1.2 (42)</v>
      </c>
      <c r="E55" s="1050" t="str">
        <f>E3</f>
        <v>2.1 (43)</v>
      </c>
      <c r="F55" s="1050" t="str">
        <f>F3</f>
        <v>1.3 (52)</v>
      </c>
      <c r="G55" s="1690" t="str">
        <f>G3</f>
        <v>2.2 (53)</v>
      </c>
      <c r="H55" s="1691" t="s">
        <v>384</v>
      </c>
      <c r="I55" s="1692" t="s">
        <v>385</v>
      </c>
      <c r="J55" s="1693" t="s">
        <v>386</v>
      </c>
    </row>
    <row r="56" spans="1:50" x14ac:dyDescent="0.3">
      <c r="A56" s="700" t="s">
        <v>387</v>
      </c>
      <c r="B56" s="775">
        <f>B35</f>
        <v>2011</v>
      </c>
      <c r="C56" s="885">
        <f t="shared" ref="C56:G65" si="15">C35/$K35</f>
        <v>0.15300546448087435</v>
      </c>
      <c r="D56" s="880">
        <f t="shared" si="15"/>
        <v>0.80327868852459017</v>
      </c>
      <c r="E56" s="880">
        <f t="shared" si="15"/>
        <v>2.7322404371584695E-3</v>
      </c>
      <c r="F56" s="880">
        <f t="shared" si="15"/>
        <v>4.0983606557377046E-2</v>
      </c>
      <c r="G56" s="883">
        <f t="shared" si="15"/>
        <v>0</v>
      </c>
      <c r="H56" s="1686">
        <f>E56+C56</f>
        <v>0.15573770491803282</v>
      </c>
      <c r="I56" s="1684">
        <f t="shared" ref="I56:I66" si="16">D56+G56</f>
        <v>0.80327868852459017</v>
      </c>
      <c r="J56" s="1685">
        <f>F56</f>
        <v>4.0983606557377046E-2</v>
      </c>
    </row>
    <row r="57" spans="1:50" x14ac:dyDescent="0.3">
      <c r="A57" s="700" t="s">
        <v>388</v>
      </c>
      <c r="B57" s="775">
        <f t="shared" ref="B57:B66" si="17">B36</f>
        <v>2012</v>
      </c>
      <c r="C57" s="885">
        <f t="shared" si="15"/>
        <v>2.5575447570332483E-3</v>
      </c>
      <c r="D57" s="880">
        <f t="shared" si="15"/>
        <v>0.97698209718670082</v>
      </c>
      <c r="E57" s="880">
        <f t="shared" si="15"/>
        <v>7.6726342710997444E-3</v>
      </c>
      <c r="F57" s="880">
        <f t="shared" si="15"/>
        <v>1.0230179028132993E-2</v>
      </c>
      <c r="G57" s="883">
        <f t="shared" si="15"/>
        <v>2.5575447570332483E-3</v>
      </c>
      <c r="H57" s="1686">
        <f t="shared" ref="H57:H66" si="18">E57+C57</f>
        <v>1.0230179028132993E-2</v>
      </c>
      <c r="I57" s="1684">
        <f t="shared" si="16"/>
        <v>0.97953964194373411</v>
      </c>
      <c r="J57" s="1685">
        <f t="shared" ref="J57:J66" si="19">F57</f>
        <v>1.0230179028132993E-2</v>
      </c>
    </row>
    <row r="58" spans="1:50" x14ac:dyDescent="0.3">
      <c r="A58" s="700" t="s">
        <v>389</v>
      </c>
      <c r="B58" s="775">
        <f t="shared" si="17"/>
        <v>2013</v>
      </c>
      <c r="C58" s="885">
        <f t="shared" si="15"/>
        <v>0.18025751072961374</v>
      </c>
      <c r="D58" s="880">
        <f t="shared" si="15"/>
        <v>0.66094420600858372</v>
      </c>
      <c r="E58" s="880">
        <f t="shared" si="15"/>
        <v>3.0042918454935622E-2</v>
      </c>
      <c r="F58" s="880">
        <f t="shared" si="15"/>
        <v>3.0042918454935622E-2</v>
      </c>
      <c r="G58" s="883">
        <f t="shared" si="15"/>
        <v>9.8712446351931327E-2</v>
      </c>
      <c r="H58" s="1686">
        <f t="shared" si="18"/>
        <v>0.21030042918454936</v>
      </c>
      <c r="I58" s="1684">
        <f t="shared" si="16"/>
        <v>0.75965665236051505</v>
      </c>
      <c r="J58" s="1685">
        <f t="shared" si="19"/>
        <v>3.0042918454935622E-2</v>
      </c>
    </row>
    <row r="59" spans="1:50" x14ac:dyDescent="0.3">
      <c r="B59" s="775">
        <f t="shared" si="17"/>
        <v>2014</v>
      </c>
      <c r="C59" s="885">
        <f t="shared" si="15"/>
        <v>6.9930069930069935E-2</v>
      </c>
      <c r="D59" s="880">
        <f t="shared" si="15"/>
        <v>0.8951048951048951</v>
      </c>
      <c r="E59" s="880">
        <f t="shared" si="15"/>
        <v>0</v>
      </c>
      <c r="F59" s="880">
        <f t="shared" si="15"/>
        <v>3.2634032634032632E-2</v>
      </c>
      <c r="G59" s="883">
        <f t="shared" si="15"/>
        <v>2.331002331002331E-3</v>
      </c>
      <c r="H59" s="1686">
        <f t="shared" si="18"/>
        <v>6.9930069930069935E-2</v>
      </c>
      <c r="I59" s="1684">
        <f t="shared" si="16"/>
        <v>0.89743589743589747</v>
      </c>
      <c r="J59" s="1685">
        <f t="shared" si="19"/>
        <v>3.2634032634032632E-2</v>
      </c>
    </row>
    <row r="60" spans="1:50" x14ac:dyDescent="0.3">
      <c r="B60" s="775">
        <f t="shared" si="17"/>
        <v>2015</v>
      </c>
      <c r="C60" s="885">
        <f t="shared" si="15"/>
        <v>0</v>
      </c>
      <c r="D60" s="880">
        <f t="shared" si="15"/>
        <v>0.9391304347826086</v>
      </c>
      <c r="E60" s="880">
        <f t="shared" si="15"/>
        <v>8.6956521739130418E-3</v>
      </c>
      <c r="F60" s="880">
        <f t="shared" si="15"/>
        <v>4.3478260869565209E-2</v>
      </c>
      <c r="G60" s="883">
        <f t="shared" si="15"/>
        <v>8.6956521739130418E-3</v>
      </c>
      <c r="H60" s="1686">
        <f t="shared" si="18"/>
        <v>8.6956521739130418E-3</v>
      </c>
      <c r="I60" s="1684">
        <f t="shared" si="16"/>
        <v>0.9478260869565216</v>
      </c>
      <c r="J60" s="1685">
        <f t="shared" si="19"/>
        <v>4.3478260869565209E-2</v>
      </c>
    </row>
    <row r="61" spans="1:50" x14ac:dyDescent="0.3">
      <c r="B61" s="775">
        <f t="shared" si="17"/>
        <v>2016</v>
      </c>
      <c r="C61" s="885">
        <f t="shared" si="15"/>
        <v>1.015228426395939E-2</v>
      </c>
      <c r="D61" s="880">
        <f t="shared" si="15"/>
        <v>0.95685279187817263</v>
      </c>
      <c r="E61" s="880">
        <f t="shared" si="15"/>
        <v>2.5380710659898475E-3</v>
      </c>
      <c r="F61" s="880">
        <f t="shared" si="15"/>
        <v>2.5380710659898477E-2</v>
      </c>
      <c r="G61" s="883">
        <f t="shared" si="15"/>
        <v>5.076142131979695E-3</v>
      </c>
      <c r="H61" s="1686">
        <f t="shared" si="18"/>
        <v>1.2690355329949238E-2</v>
      </c>
      <c r="I61" s="1684">
        <f t="shared" si="16"/>
        <v>0.96192893401015234</v>
      </c>
      <c r="J61" s="1685">
        <f t="shared" si="19"/>
        <v>2.5380710659898477E-2</v>
      </c>
    </row>
    <row r="62" spans="1:50" x14ac:dyDescent="0.3">
      <c r="B62" s="775">
        <f t="shared" si="17"/>
        <v>2017</v>
      </c>
      <c r="C62" s="885">
        <f t="shared" si="15"/>
        <v>8.3993660855784469E-2</v>
      </c>
      <c r="D62" s="880">
        <f t="shared" si="15"/>
        <v>0.74960380348652922</v>
      </c>
      <c r="E62" s="880">
        <f t="shared" si="15"/>
        <v>1.5847860538827259E-2</v>
      </c>
      <c r="F62" s="880">
        <f t="shared" si="15"/>
        <v>0.1473851030110935</v>
      </c>
      <c r="G62" s="883">
        <f t="shared" si="15"/>
        <v>3.1695721077654514E-3</v>
      </c>
      <c r="H62" s="1686">
        <f t="shared" si="18"/>
        <v>9.9841521394611721E-2</v>
      </c>
      <c r="I62" s="1684">
        <f t="shared" si="16"/>
        <v>0.75277337559429469</v>
      </c>
      <c r="J62" s="1685">
        <f t="shared" si="19"/>
        <v>0.1473851030110935</v>
      </c>
    </row>
    <row r="63" spans="1:50" x14ac:dyDescent="0.3">
      <c r="B63" s="775">
        <f t="shared" si="17"/>
        <v>2018</v>
      </c>
      <c r="C63" s="885">
        <f t="shared" si="15"/>
        <v>1.9723865877712028E-3</v>
      </c>
      <c r="D63" s="880">
        <f t="shared" si="15"/>
        <v>0.97633136094674544</v>
      </c>
      <c r="E63" s="880">
        <f t="shared" si="15"/>
        <v>5.9171597633136085E-3</v>
      </c>
      <c r="F63" s="880">
        <f t="shared" si="15"/>
        <v>1.380670611439842E-2</v>
      </c>
      <c r="G63" s="883">
        <f t="shared" si="15"/>
        <v>1.9723865877712028E-3</v>
      </c>
      <c r="H63" s="1686">
        <f t="shared" si="18"/>
        <v>7.8895463510848113E-3</v>
      </c>
      <c r="I63" s="1684">
        <f t="shared" si="16"/>
        <v>0.97830374753451665</v>
      </c>
      <c r="J63" s="1685">
        <f t="shared" si="19"/>
        <v>1.380670611439842E-2</v>
      </c>
    </row>
    <row r="64" spans="1:50" x14ac:dyDescent="0.3">
      <c r="B64" s="775">
        <f t="shared" si="17"/>
        <v>2019</v>
      </c>
      <c r="C64" s="885">
        <f t="shared" si="15"/>
        <v>0.16715542521994134</v>
      </c>
      <c r="D64" s="880">
        <f t="shared" si="15"/>
        <v>0.52492668621700889</v>
      </c>
      <c r="E64" s="880">
        <f t="shared" si="15"/>
        <v>5.8651026392961877E-3</v>
      </c>
      <c r="F64" s="880">
        <f t="shared" si="15"/>
        <v>0.29912023460410564</v>
      </c>
      <c r="G64" s="883">
        <f t="shared" si="15"/>
        <v>2.9325513196480938E-3</v>
      </c>
      <c r="H64" s="1686">
        <f t="shared" si="18"/>
        <v>0.17302052785923752</v>
      </c>
      <c r="I64" s="1684">
        <f t="shared" si="16"/>
        <v>0.52785923753665698</v>
      </c>
      <c r="J64" s="1685">
        <f t="shared" si="19"/>
        <v>0.29912023460410564</v>
      </c>
    </row>
    <row r="65" spans="2:10" x14ac:dyDescent="0.3">
      <c r="B65" s="775">
        <f t="shared" si="17"/>
        <v>2020</v>
      </c>
      <c r="C65" s="885">
        <f t="shared" si="15"/>
        <v>1.1000000000000001E-2</v>
      </c>
      <c r="D65" s="880">
        <f t="shared" si="15"/>
        <v>0.97100000000000009</v>
      </c>
      <c r="E65" s="880">
        <f t="shared" si="15"/>
        <v>0</v>
      </c>
      <c r="F65" s="880">
        <f t="shared" si="15"/>
        <v>1.8000000000000002E-2</v>
      </c>
      <c r="G65" s="883">
        <f t="shared" si="15"/>
        <v>0</v>
      </c>
      <c r="H65" s="1686">
        <f t="shared" si="18"/>
        <v>1.1000000000000001E-2</v>
      </c>
      <c r="I65" s="1684">
        <f t="shared" si="16"/>
        <v>0.97100000000000009</v>
      </c>
      <c r="J65" s="1685">
        <f t="shared" si="19"/>
        <v>1.8000000000000002E-2</v>
      </c>
    </row>
    <row r="66" spans="2:10" x14ac:dyDescent="0.3">
      <c r="B66" s="775">
        <f t="shared" si="17"/>
        <v>2021</v>
      </c>
      <c r="C66" s="885">
        <f t="shared" ref="C66:G68" si="20">C45/$K45</f>
        <v>0.17799999999999996</v>
      </c>
      <c r="D66" s="880">
        <f t="shared" si="20"/>
        <v>0.76500000000000001</v>
      </c>
      <c r="E66" s="880">
        <f t="shared" si="20"/>
        <v>0</v>
      </c>
      <c r="F66" s="880">
        <f t="shared" si="20"/>
        <v>5.6999999999999995E-2</v>
      </c>
      <c r="G66" s="883">
        <f t="shared" si="20"/>
        <v>0</v>
      </c>
      <c r="H66" s="1686">
        <f t="shared" si="18"/>
        <v>0.17799999999999996</v>
      </c>
      <c r="I66" s="1684">
        <f t="shared" si="16"/>
        <v>0.76500000000000001</v>
      </c>
      <c r="J66" s="1685">
        <f t="shared" si="19"/>
        <v>5.6999999999999995E-2</v>
      </c>
    </row>
    <row r="67" spans="2:10" x14ac:dyDescent="0.3">
      <c r="B67" s="1687">
        <f>B46</f>
        <v>2022</v>
      </c>
      <c r="C67" s="885">
        <f t="shared" si="20"/>
        <v>1.8849206349206348E-2</v>
      </c>
      <c r="D67" s="880">
        <f t="shared" si="20"/>
        <v>0.85416666666666663</v>
      </c>
      <c r="E67" s="880">
        <f t="shared" si="20"/>
        <v>7.9365079365079361E-3</v>
      </c>
      <c r="F67" s="880">
        <f t="shared" si="20"/>
        <v>0.11904761904761905</v>
      </c>
      <c r="G67" s="883">
        <f t="shared" si="20"/>
        <v>0</v>
      </c>
      <c r="H67" s="1686">
        <f t="shared" ref="H67" si="21">E67+C67</f>
        <v>2.6785714285714284E-2</v>
      </c>
      <c r="I67" s="1684">
        <f t="shared" ref="I67" si="22">D67+G67</f>
        <v>0.85416666666666663</v>
      </c>
      <c r="J67" s="1685">
        <f t="shared" ref="J67" si="23">F67</f>
        <v>0.11904761904761905</v>
      </c>
    </row>
    <row r="68" spans="2:10" ht="15" thickBot="1" x14ac:dyDescent="0.35">
      <c r="B68" s="1687">
        <f>B47</f>
        <v>2023</v>
      </c>
      <c r="C68" s="885">
        <f t="shared" si="20"/>
        <v>8.8999999999999982E-2</v>
      </c>
      <c r="D68" s="880">
        <f t="shared" si="20"/>
        <v>0.81199999999999994</v>
      </c>
      <c r="E68" s="880">
        <f t="shared" si="20"/>
        <v>2.9999999999999996E-3</v>
      </c>
      <c r="F68" s="880">
        <f t="shared" si="20"/>
        <v>9.5999999999999988E-2</v>
      </c>
      <c r="G68" s="883">
        <f t="shared" si="20"/>
        <v>0</v>
      </c>
      <c r="H68" s="1686">
        <f t="shared" ref="H68" si="24">E68+C68</f>
        <v>9.1999999999999985E-2</v>
      </c>
      <c r="I68" s="1684">
        <f t="shared" ref="I68" si="25">D68+G68</f>
        <v>0.81199999999999994</v>
      </c>
      <c r="J68" s="1685">
        <f t="shared" ref="J68" si="26">F68</f>
        <v>9.5999999999999988E-2</v>
      </c>
    </row>
    <row r="69" spans="2:10" ht="15" thickBot="1" x14ac:dyDescent="0.35">
      <c r="B69" s="1176" t="s">
        <v>390</v>
      </c>
      <c r="C69" s="896">
        <f>AVERAGE(C56:C68)</f>
        <v>7.4297965628788765E-2</v>
      </c>
      <c r="D69" s="896">
        <f t="shared" ref="D69:G69" si="27">AVERAGE(D56:D68)</f>
        <v>0.83733243313865391</v>
      </c>
      <c r="E69" s="896">
        <f t="shared" si="27"/>
        <v>6.9421651754647479E-3</v>
      </c>
      <c r="F69" s="896">
        <f t="shared" si="27"/>
        <v>7.1777643921627582E-2</v>
      </c>
      <c r="G69" s="896">
        <f t="shared" si="27"/>
        <v>9.6497921354649525E-3</v>
      </c>
      <c r="H69" s="899">
        <f>E69+C69</f>
        <v>8.1240130804253519E-2</v>
      </c>
      <c r="I69" s="900">
        <f>D69+G69</f>
        <v>0.84698222527411882</v>
      </c>
      <c r="J69" s="901">
        <f>F69</f>
        <v>7.1777643921627582E-2</v>
      </c>
    </row>
    <row r="70" spans="2:10" x14ac:dyDescent="0.3">
      <c r="B70" s="874"/>
    </row>
    <row r="71" spans="2:10" x14ac:dyDescent="0.3">
      <c r="B71" s="874"/>
    </row>
    <row r="72" spans="2:10" x14ac:dyDescent="0.3">
      <c r="B72" s="874"/>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1:A3"/>
    <mergeCell ref="B1:B3"/>
    <mergeCell ref="C1:L1"/>
    <mergeCell ref="M1:AO1"/>
    <mergeCell ref="AH2:AJ2"/>
    <mergeCell ref="AK2:AM2"/>
    <mergeCell ref="S2:U2"/>
    <mergeCell ref="V2:X2"/>
    <mergeCell ref="Y2:AA2"/>
    <mergeCell ref="AE2:AG2"/>
    <mergeCell ref="AO2:AO3"/>
    <mergeCell ref="AB2:AD2"/>
    <mergeCell ref="AN2:AN3"/>
    <mergeCell ref="C2:J2"/>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C33" activePane="bottomRight" state="frozen"/>
      <selection pane="topRight" activeCell="C15" sqref="C15"/>
      <selection pane="bottomLeft" activeCell="C15" sqref="C15"/>
      <selection pane="bottomRight" activeCell="T38" sqref="T38"/>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539" t="s">
        <v>391</v>
      </c>
      <c r="B1" s="2540"/>
      <c r="C1" s="2540"/>
      <c r="D1" s="2540"/>
      <c r="E1" s="2540"/>
      <c r="F1" s="2540"/>
      <c r="G1" s="2540"/>
      <c r="H1" s="2540"/>
      <c r="I1" s="2540"/>
      <c r="J1" s="2540"/>
      <c r="K1" s="2541"/>
      <c r="L1" s="866"/>
      <c r="M1" s="866"/>
    </row>
    <row r="2" spans="1:44" ht="58.95" customHeight="1" thickBot="1" x14ac:dyDescent="0.35">
      <c r="A2" s="2544" t="s">
        <v>209</v>
      </c>
      <c r="B2" s="2546" t="s">
        <v>210</v>
      </c>
      <c r="C2" s="2548" t="s">
        <v>392</v>
      </c>
      <c r="D2" s="2550" t="s">
        <v>393</v>
      </c>
      <c r="E2" s="2542" t="s">
        <v>394</v>
      </c>
      <c r="F2" s="2552" t="s">
        <v>395</v>
      </c>
      <c r="G2" s="2553"/>
      <c r="H2" s="2553"/>
      <c r="I2" s="2553"/>
      <c r="J2" s="2553"/>
      <c r="K2" s="2554"/>
      <c r="L2" s="867"/>
      <c r="M2" s="867"/>
      <c r="AR2"/>
    </row>
    <row r="3" spans="1:44" ht="29.4" thickBot="1" x14ac:dyDescent="0.35">
      <c r="A3" s="2545"/>
      <c r="B3" s="2547"/>
      <c r="C3" s="2549"/>
      <c r="D3" s="2551"/>
      <c r="E3" s="2543"/>
      <c r="F3" s="381" t="s">
        <v>396</v>
      </c>
      <c r="G3" s="393" t="s">
        <v>397</v>
      </c>
      <c r="H3" s="387" t="s">
        <v>298</v>
      </c>
      <c r="I3" s="338" t="s">
        <v>216</v>
      </c>
      <c r="J3" s="339" t="s">
        <v>217</v>
      </c>
      <c r="K3" s="1310" t="s">
        <v>398</v>
      </c>
      <c r="L3" s="872"/>
      <c r="M3" s="393" t="s">
        <v>399</v>
      </c>
      <c r="N3" s="1005" t="s">
        <v>400</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2"/>
      <c r="M4" s="905"/>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2"/>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2"/>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2"/>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2"/>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5" t="str">
        <f t="shared" ca="1" si="5"/>
        <v/>
      </c>
      <c r="F9" s="672" t="str">
        <f t="shared" ref="F9" si="6">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7">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401</v>
      </c>
      <c r="L9" s="865"/>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8">IF(ISNUMBER(VLOOKUP(B10,JuvAbund,5)),VLOOKUP(B10,JuvAbund,5),"")</f>
        <v/>
      </c>
      <c r="D10" s="448">
        <f t="shared" ca="1" si="4"/>
        <v>126229.20999999999</v>
      </c>
      <c r="E10" s="1645" t="str">
        <f t="shared" ca="1" si="5"/>
        <v/>
      </c>
      <c r="F10" s="383" t="str">
        <f t="shared" ref="F10:F57" ca="1" si="9">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10">IF(1&lt;LEN(VLOOKUP($B10,JuvAbund,34)),"JUV: "&amp;VLOOKUP($B10,JuvAbund,34)&amp;"; ","")&amp;IF(ISTEXT(VLOOKUP($B10+2,AdultReturns,47)),"ADULT: "&amp;$B10+2&amp;" "&amp;VLOOKUP($B10+2,AdultReturns,47),"")</f>
        <v/>
      </c>
      <c r="I10" s="364" t="str">
        <f t="shared" ref="I10:I57" ca="1" si="11">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2">IF(1&lt;LEN(VLOOKUP($B10,JuvAbund,36)),"JUV: "&amp;VLOOKUP($B10,JuvAbund,36)&amp;"; ","")&amp;IF(ISTEXT(VLOOKUP($B10+2,AdultReturns,49)),"ADULT: "&amp;$B10+2&amp;" "&amp;VLOOKUP($B10+2,AdultReturns,49),"")</f>
        <v>JUV: ATS Equivalents SY1985-1997 deleted [2023-09-05]; ADULT: 1988 howard.stiff@shaw.ca</v>
      </c>
      <c r="K10" s="367"/>
      <c r="L10" s="862"/>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8"/>
        <v/>
      </c>
      <c r="D11" s="378">
        <f t="shared" ca="1" si="4"/>
        <v>940.65599999999995</v>
      </c>
      <c r="E11" s="1630" t="str">
        <f t="shared" ca="1" si="5"/>
        <v/>
      </c>
      <c r="F11" s="383" t="str">
        <f t="shared" ca="1" si="9"/>
        <v/>
      </c>
      <c r="G11"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10"/>
        <v/>
      </c>
      <c r="I11" s="364" t="str">
        <f t="shared" ca="1" si="11"/>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2"/>
        <v>JUV: ATS Equivalents SY1985-1997 deleted [2023-09-05]; ADULT: 1989 howard.stiff@shaw.ca</v>
      </c>
      <c r="K11" s="367"/>
      <c r="L11" s="862"/>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8"/>
        <v/>
      </c>
      <c r="D12" s="378" t="str">
        <f t="shared" ca="1" si="4"/>
        <v/>
      </c>
      <c r="E12" s="1646" t="str">
        <f t="shared" ca="1" si="5"/>
        <v/>
      </c>
      <c r="F12" s="384" t="str">
        <f t="shared" ca="1" si="9"/>
        <v/>
      </c>
      <c r="G12" s="394" t="str">
        <f t="shared" ca="1" si="7"/>
        <v xml:space="preserve">Returns At Age Incomplete (Adults N/A)? </v>
      </c>
      <c r="H12" s="390" t="str">
        <f t="shared" ca="1" si="10"/>
        <v/>
      </c>
      <c r="I12" s="334" t="str">
        <f t="shared" ca="1" si="11"/>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2"/>
        <v>JUV: ATS Equivalents SY1985-1997 deleted [2023-09-05]; ADULT: 1990 howard.stiff@shaw.ca</v>
      </c>
      <c r="K12" s="367"/>
      <c r="L12" s="862"/>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8"/>
        <v/>
      </c>
      <c r="D13" s="378" t="str">
        <f t="shared" ca="1" si="4"/>
        <v/>
      </c>
      <c r="E13" s="1630" t="str">
        <f t="shared" ca="1" si="5"/>
        <v/>
      </c>
      <c r="F13" s="384" t="str">
        <f t="shared" ca="1" si="9"/>
        <v/>
      </c>
      <c r="G13" s="394" t="str">
        <f t="shared" ca="1" si="7"/>
        <v xml:space="preserve">Returns At Age Incomplete (Adults N/A)? </v>
      </c>
      <c r="H13" s="391" t="str">
        <f t="shared" ca="1" si="10"/>
        <v/>
      </c>
      <c r="I13" s="336" t="str">
        <f t="shared" ca="1" si="11"/>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2"/>
        <v>JUV: ATS Equivalents SY1985-1997 deleted [2023-09-05]; ADULT: 1991 howard.stiff@shaw.ca</v>
      </c>
      <c r="K13" s="367"/>
      <c r="L13" s="862"/>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8"/>
        <v/>
      </c>
      <c r="D14" s="378" t="str">
        <f t="shared" ca="1" si="4"/>
        <v/>
      </c>
      <c r="E14" s="1630" t="str">
        <f t="shared" ca="1" si="5"/>
        <v/>
      </c>
      <c r="F14" s="384" t="str">
        <f t="shared" ca="1" si="9"/>
        <v/>
      </c>
      <c r="G14" s="394" t="str">
        <f t="shared" ca="1" si="7"/>
        <v xml:space="preserve">Returns At Age Incomplete (Adults N/A)? </v>
      </c>
      <c r="H14" s="391" t="str">
        <f t="shared" ca="1" si="10"/>
        <v/>
      </c>
      <c r="I14" s="336" t="str">
        <f t="shared" ca="1" si="11"/>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2"/>
        <v>JUV: ATS Equivalents SY1985-1997 deleted [2023-09-05]; ADULT: 1992 howard.stiff@shaw.ca</v>
      </c>
      <c r="K14" s="367"/>
      <c r="L14" s="862"/>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8"/>
        <v/>
      </c>
      <c r="D15" s="333" t="str">
        <f t="shared" ca="1" si="4"/>
        <v/>
      </c>
      <c r="E15" s="1630" t="str">
        <f t="shared" ca="1" si="5"/>
        <v/>
      </c>
      <c r="F15" s="384" t="str">
        <f t="shared" ca="1" si="9"/>
        <v/>
      </c>
      <c r="G15" s="394" t="str">
        <f t="shared" ca="1" si="7"/>
        <v xml:space="preserve">Returns At Age Incomplete (Adults N/A)? </v>
      </c>
      <c r="H15" s="391" t="str">
        <f t="shared" ca="1" si="10"/>
        <v/>
      </c>
      <c r="I15" s="336" t="str">
        <f t="shared" ca="1" si="11"/>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2"/>
        <v>JUV: ATS Equivalents SY1985-1997 deleted [2023-09-05]; ADULT: 1993 howard.stiff@shaw.ca</v>
      </c>
      <c r="K15" s="367"/>
      <c r="L15" s="862"/>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8"/>
        <v/>
      </c>
      <c r="D16" s="333">
        <f t="shared" ca="1" si="4"/>
        <v>383.11646092184372</v>
      </c>
      <c r="E16" s="1630" t="str">
        <f t="shared" ca="1" si="5"/>
        <v/>
      </c>
      <c r="F16" s="384" t="str">
        <f t="shared" ca="1" si="9"/>
        <v/>
      </c>
      <c r="G16" s="394" t="str">
        <f t="shared" ca="1" si="7"/>
        <v xml:space="preserve">Returns Complete! ABUND: Ok adults at mouth of Columbia (based on BONN counts (adj. 24-hr counts) + [[downstream harvest (Zones 1-5) apportioned to stock (based on annual RRH:Rock dam ratios)]]. [hs 2023-02-03]; </v>
      </c>
      <c r="H16" s="391" t="str">
        <f t="shared" ca="1" si="10"/>
        <v/>
      </c>
      <c r="I16" s="336" t="str">
        <f t="shared" ca="1" si="11"/>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2"/>
        <v>JUV: ATS Equivalents SY1985-1997 deleted [2023-09-05]; ADULT: 1994 howard.stiff@shaw.ca</v>
      </c>
      <c r="K16" s="367"/>
      <c r="L16" s="862"/>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8"/>
        <v/>
      </c>
      <c r="D17" s="333">
        <f t="shared" ca="1" si="4"/>
        <v>3927.92545490982</v>
      </c>
      <c r="E17" s="1630" t="str">
        <f t="shared" ca="1" si="5"/>
        <v/>
      </c>
      <c r="F17" s="384" t="str">
        <f t="shared" ca="1" si="9"/>
        <v/>
      </c>
      <c r="G17" s="394" t="str">
        <f t="shared" ca="1" si="7"/>
        <v xml:space="preserve">Returns Complete! ABUND: Ok adults at mouth of Columbia (based on BONN counts (adj. 24-hr counts) + [[downstream harvest (Zones 1-5) apportioned to stock (based on annual RRH:Rock dam ratios)]]. [hs 2023-02-03]; </v>
      </c>
      <c r="H17" s="391" t="str">
        <f t="shared" ca="1" si="10"/>
        <v/>
      </c>
      <c r="I17" s="336" t="str">
        <f t="shared" ca="1" si="11"/>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2"/>
        <v>JUV: ATS Equivalents SY1985-1997 deleted [2023-09-05]; ADULT: 1995 howard.stiff@shaw.ca</v>
      </c>
      <c r="K17" s="367"/>
      <c r="L17" s="862"/>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8"/>
        <v/>
      </c>
      <c r="D18" s="333">
        <f t="shared" ca="1" si="4"/>
        <v>24219.032084168335</v>
      </c>
      <c r="E18" s="1630" t="str">
        <f t="shared" ca="1" si="5"/>
        <v/>
      </c>
      <c r="F18" s="384" t="str">
        <f t="shared" ca="1" si="9"/>
        <v/>
      </c>
      <c r="G18" s="394" t="str">
        <f t="shared" ca="1" si="7"/>
        <v xml:space="preserve">Returns Complete! ABUND: Ok adults at mouth of Columbia (based on BONN counts (adj. 24-hr counts) + [[downstream harvest (Zones 1-5) apportioned to stock (based on annual RRH:Rock dam ratios)]]. [hs 2023-02-03]; </v>
      </c>
      <c r="H18" s="391" t="str">
        <f t="shared" ca="1" si="10"/>
        <v/>
      </c>
      <c r="I18" s="336" t="str">
        <f t="shared" ca="1" si="11"/>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2"/>
        <v>JUV: ATS Equivalents SY1985-1997 deleted [2023-09-05]; ADULT: 1996 howard.stiff@shaw.ca</v>
      </c>
      <c r="K18" s="367"/>
      <c r="L18" s="862"/>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8"/>
        <v/>
      </c>
      <c r="D19" s="333">
        <f t="shared" ca="1" si="4"/>
        <v>37520.464999999997</v>
      </c>
      <c r="E19" s="1630" t="str">
        <f t="shared" ca="1" si="5"/>
        <v/>
      </c>
      <c r="F19" s="384" t="str">
        <f t="shared" ca="1" si="9"/>
        <v/>
      </c>
      <c r="G19" s="394" t="str">
        <f t="shared" ca="1" si="7"/>
        <v xml:space="preserve">Returns Complete! ABUND: Ok adults at mouth of Columbia (based on BONN counts (adj. 24-hr counts) + [[downstream harvest (Zones 1-5) apportioned to stock (based on annual RRH:Rock dam ratios)]]. [hs 2023-02-03]; </v>
      </c>
      <c r="H19" s="391" t="str">
        <f t="shared" ca="1" si="10"/>
        <v/>
      </c>
      <c r="I19" s="336" t="str">
        <f t="shared" ca="1" si="11"/>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2"/>
        <v>JUV: ATS Equivalents SY1985-1997 deleted [2023-09-05]; ADULT: 1997 howard.stiff@shaw.ca</v>
      </c>
      <c r="K19" s="367"/>
      <c r="L19" s="862"/>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8"/>
        <v/>
      </c>
      <c r="D20" s="333">
        <f t="shared" ca="1" si="4"/>
        <v>6404.0999999999995</v>
      </c>
      <c r="E20" s="1630" t="str">
        <f t="shared" ca="1" si="5"/>
        <v/>
      </c>
      <c r="F20" s="384" t="str">
        <f t="shared" ca="1" si="9"/>
        <v/>
      </c>
      <c r="G2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10"/>
        <v>ADULT: 1998 Hottest summer</v>
      </c>
      <c r="I20" s="336" t="str">
        <f t="shared" ca="1" si="11"/>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2"/>
        <v>JUV: ATS Equivalents SY1985-1997 deleted [2023-09-05]; ADULT: 1998 howard.stiff@shaw.ca</v>
      </c>
      <c r="K20" s="367" t="s">
        <v>402</v>
      </c>
      <c r="L20" s="862"/>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8"/>
        <v/>
      </c>
      <c r="D21" s="333">
        <f t="shared" ca="1" si="4"/>
        <v>15323.883141858141</v>
      </c>
      <c r="E21" s="1630" t="str">
        <f t="shared" ca="1" si="5"/>
        <v/>
      </c>
      <c r="F21" s="384" t="str">
        <f t="shared" ca="1" si="9"/>
        <v/>
      </c>
      <c r="G21" s="394" t="str">
        <f t="shared" ca="1" si="7"/>
        <v xml:space="preserve">Returns Complete! ABUND: Ok adults at mouth of Columbia (based on BONN counts (adj. 24-hr counts) + [[downstream harvest (Zones 1-5) apportioned to stock (based on annual RRH:Rock dam ratios)]]. [hs 2023-02-03]; </v>
      </c>
      <c r="H21" s="391" t="str">
        <f t="shared" ca="1" si="10"/>
        <v xml:space="preserve">JUV: SY1998-present: Presmolt estimates from fall-winter ATS survey(s) in previous year. Length &amp; Weight weighted by trawl sample sizes.; ADULT: 1999  </v>
      </c>
      <c r="I21" s="336" t="str">
        <f t="shared" ca="1" si="11"/>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2"/>
        <v>ADULT: 1999 howard.stiff@shaw.ca</v>
      </c>
      <c r="K21" s="367"/>
      <c r="L21" s="862"/>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8"/>
        <v>1209167</v>
      </c>
      <c r="D22" s="333">
        <f t="shared" ca="1" si="4"/>
        <v>67165.832689958479</v>
      </c>
      <c r="E22" s="1630">
        <f t="shared" ca="1" si="5"/>
        <v>5.5547192976618184E-2</v>
      </c>
      <c r="F22" s="384" t="str">
        <f t="shared" ca="1" si="9"/>
        <v xml:space="preserve">ABUND: Age comp based on FW age composition of adult returns x best winter presmolt abundance copied from Pre-Smolt section. See General Comments. [hs 2022-10-31]; FRY: FL; </v>
      </c>
      <c r="G22" s="394" t="str">
        <f t="shared" ca="1" si="7"/>
        <v xml:space="preserve">Returns Complete! ABUND: Ok adults at mouth of Columbia (based on BONN counts (adj. 24-hr counts) + [[downstream harvest (Zones 1-5) apportioned to stock (based on annual RRH:Rock dam ratios)]]. [hs 2023-02-03]; </v>
      </c>
      <c r="H22" s="391" t="str">
        <f t="shared" ca="1" si="10"/>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1"/>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401</v>
      </c>
      <c r="L22" s="862"/>
      <c r="M22" s="871">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8"/>
        <v>3099743</v>
      </c>
      <c r="D23" s="333">
        <f t="shared" ca="1" si="4"/>
        <v>92990.339670113375</v>
      </c>
      <c r="E23" s="1630">
        <f t="shared" ca="1" si="5"/>
        <v>2.9999370809164944E-2</v>
      </c>
      <c r="F23" s="384" t="str">
        <f t="shared" ca="1" si="9"/>
        <v xml:space="preserve">ABUND: Age comp based on FW age composition of adult returns x best winter presmolt abundance copied from Pre-Smolt section. See General Comments. [hs 2022-10-31]; FRY: FL; </v>
      </c>
      <c r="G23" s="394" t="str">
        <f t="shared" ca="1" si="7"/>
        <v xml:space="preserve">Returns Complete! ABUND: Ok adults at mouth of Columbia (based on BONN counts (adj. 24-hr counts) + [[downstream harvest (Zones 1-5) apportioned to stock (based on annual RRH:Rock dam ratios)]]. [hs 2023-02-03]; </v>
      </c>
      <c r="H23" s="391" t="str">
        <f t="shared" ca="1" si="10"/>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1"/>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2"/>
      <c r="M23" s="871">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8"/>
        <v>281333</v>
      </c>
      <c r="D24" s="333">
        <f t="shared" ca="1" si="4"/>
        <v>17167.268944878469</v>
      </c>
      <c r="E24" s="1630">
        <f t="shared" ca="1" si="5"/>
        <v>6.10211704452676E-2</v>
      </c>
      <c r="F24" s="384" t="str">
        <f t="shared" ca="1" si="9"/>
        <v xml:space="preserve">ABUND: Age comp based on FW age composition of adult returns x best winter presmolt abundance copied from Pre-Smolt section. See General Comments. [hs 2022-10-31]; </v>
      </c>
      <c r="G24" s="394" t="str">
        <f t="shared" ca="1" si="7"/>
        <v xml:space="preserve">Returns Complete! ABUND: Ok adults at mouth of Columbia (based on BONN counts (adj. 24-hr counts) + [[downstream harvest (Zones 1-5) apportioned to stock (based on annual RRH:Rock dam ratios)]]. [hs 2023-02-03]; </v>
      </c>
      <c r="H24" s="391" t="str">
        <f t="shared" ca="1" si="10"/>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1"/>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2"/>
      <c r="M24" s="871">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8"/>
        <v>1446600</v>
      </c>
      <c r="D25" s="333">
        <f t="shared" ca="1" si="4"/>
        <v>31189.363810113962</v>
      </c>
      <c r="E25" s="1630">
        <f t="shared" ca="1" si="5"/>
        <v>2.1560461641168229E-2</v>
      </c>
      <c r="F25" s="384" t="str">
        <f t="shared" ca="1" si="9"/>
        <v xml:space="preserve">ABUND: Age comp based on FW age composition of adult returns x best winter presmolt abundance copied from Pre-Smolt section. See General Comments. [hs 2022-10-31]; FRY: FL; </v>
      </c>
      <c r="G25" s="394" t="str">
        <f t="shared" ca="1" si="7"/>
        <v xml:space="preserve">Returns Complete! ABUND: Ok adults at mouth of Columbia (based on BONN counts (adj. 24-hr counts) + [[downstream harvest (Zones 1-5) apportioned to stock (based on annual RRH:Rock dam ratios)]]. [hs 2023-02-03]; </v>
      </c>
      <c r="H25" s="391" t="str">
        <f t="shared" ca="1" si="10"/>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1"/>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403</v>
      </c>
      <c r="L25" s="862"/>
      <c r="M25" s="871">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8"/>
        <v>2927009</v>
      </c>
      <c r="D26" s="333">
        <f t="shared" ca="1" si="4"/>
        <v>91108.416660124509</v>
      </c>
      <c r="E26" s="1630">
        <f t="shared" ca="1" si="5"/>
        <v>3.1126797580781101E-2</v>
      </c>
      <c r="F26" s="384" t="str">
        <f t="shared" ca="1" si="9"/>
        <v xml:space="preserve">ABUND: Age comp based on FW age composition of adult returns x best winter presmolt abundance copied from Pre-Smolt section. See General Comments. [hs 2022-10-31]; FRY: FL; </v>
      </c>
      <c r="G26" s="394" t="str">
        <f t="shared" ca="1" si="7"/>
        <v xml:space="preserve">Returns Complete! ABUND: Ok adults at mouth of Columbia (based on BONN counts (adj. 24-hr counts) + [[downstream harvest (Zones 1-5) apportioned to stock (based on annual RRH:Rock dam ratios)]]. [hs 2023-02-03]; </v>
      </c>
      <c r="H26" s="391" t="str">
        <f t="shared" ca="1" si="10"/>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1"/>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2"/>
      <c r="M26" s="871">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8"/>
        <v>2080978</v>
      </c>
      <c r="D27" s="333">
        <f t="shared" ca="1" si="4"/>
        <v>62733.266068811485</v>
      </c>
      <c r="E27" s="1630">
        <f t="shared" ca="1" si="5"/>
        <v>3.0146049630900222E-2</v>
      </c>
      <c r="F27" s="384" t="str">
        <f t="shared" ca="1" si="9"/>
        <v xml:space="preserve">ABUND: Age comp based on FW age composition of adult returns x best winter presmolt abundance copied from Pre-Smolt section. See General Comments. [hs 2022-10-31]; FRY: FL; </v>
      </c>
      <c r="G27" s="394" t="str">
        <f t="shared" ca="1" si="7"/>
        <v xml:space="preserve">Returns Complete! ABUND: Ok adults at mouth of Columbia (based on BONN counts (adj. 24-hr counts) + [[downstream harvest (Zones 1-5) apportioned to stock (based on annual RRH:Rock dam ratios)]]. [hs 2023-02-03]; </v>
      </c>
      <c r="H27" s="391" t="str">
        <f t="shared" ca="1" si="10"/>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1"/>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2"/>
      <c r="M27" s="871">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8"/>
        <v>627855</v>
      </c>
      <c r="D28" s="333">
        <f t="shared" ca="1" si="4"/>
        <v>27600.509991111154</v>
      </c>
      <c r="E28" s="1630">
        <f t="shared" ca="1" si="5"/>
        <v>4.3960006675285143E-2</v>
      </c>
      <c r="F28" s="384" t="str">
        <f t="shared" ca="1" si="9"/>
        <v xml:space="preserve">ABUND: Age comp based on FW age composition of adult returns x best winter presmolt abundance copied from Pre-Smolt section. See General Comments. [hs 2022-10-31]; FRY: FL; </v>
      </c>
      <c r="G28" s="394" t="str">
        <f t="shared" ca="1" si="7"/>
        <v xml:space="preserve">Returns Complete! ABUND: Ok adults at mouth of Columbia (based on BONN counts (adj. 24-hr counts) + [[downstream harvest (Zones 1-5) apportioned to stock (based on annual RRH:Rock dam ratios)]]. [hs 2023-02-03]; </v>
      </c>
      <c r="H28" s="391" t="str">
        <f t="shared" ca="1" si="10"/>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1"/>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2"/>
      <c r="M28" s="871">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8"/>
        <v>735805</v>
      </c>
      <c r="D29" s="333">
        <f t="shared" ca="1" si="4"/>
        <v>12380.849252940803</v>
      </c>
      <c r="E29" s="1630">
        <f t="shared" ca="1" si="5"/>
        <v>1.6826264095705794E-2</v>
      </c>
      <c r="F29" s="384" t="str">
        <f t="shared" ca="1" si="9"/>
        <v xml:space="preserve">ABUND: Age comp based on FW age composition of adult returns x best winter presmolt abundance copied from Pre-Smolt section. See General Comments. [hs 2022-10-31]; FRY: FL; </v>
      </c>
      <c r="G29" s="394" t="str">
        <f t="shared" ca="1" si="7"/>
        <v xml:space="preserve">Returns Complete! ABUND: Ok adults at mouth of Columbia (based on BONN counts (adj. 24-hr counts) + [[downstream harvest (Zones 1-5) apportioned to stock (based on annual RRH:Rock dam ratios)]]. [hs 2023-02-03]; </v>
      </c>
      <c r="H29" s="391" t="str">
        <f t="shared" ca="1" si="10"/>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1"/>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2"/>
      <c r="M29" s="871">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8"/>
        <v>1783500</v>
      </c>
      <c r="D30" s="333">
        <f t="shared" ca="1" si="4"/>
        <v>184173.70354186368</v>
      </c>
      <c r="E30" s="1630">
        <f t="shared" ca="1" si="5"/>
        <v>0.10326532298394375</v>
      </c>
      <c r="F30" s="384" t="str">
        <f t="shared" ca="1" si="9"/>
        <v xml:space="preserve">ABUND: Age comp based on FW age composition of adult returns x best winter presmolt abundance copied from Pre-Smolt section. See General Comments. [hs 2022-10-31]; FRY: FL; </v>
      </c>
      <c r="G30" s="394" t="str">
        <f t="shared" ca="1" si="7"/>
        <v xml:space="preserve">Returns Complete! ABUND: Ok adults at mouth of Columbia (based on BONN counts (adj. 24-hr counts) + [[downstream harvest (Zones 1-5) apportioned to stock (based on annual RRH:Rock dam ratios)]]. [hs 2023-02-03]; </v>
      </c>
      <c r="H30" s="391" t="str">
        <f t="shared" ca="1" si="10"/>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1"/>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2"/>
      <c r="M30" s="871">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8"/>
        <v>2026709</v>
      </c>
      <c r="D31" s="333">
        <f t="shared" ca="1" si="4"/>
        <v>154934.96016959855</v>
      </c>
      <c r="E31" s="1630">
        <f t="shared" ca="1" si="5"/>
        <v>7.6446574308200413E-2</v>
      </c>
      <c r="F31" s="384" t="str">
        <f t="shared" ca="1" si="9"/>
        <v xml:space="preserve">ABUND: Age comp based on FW age composition of adult returns x best winter presmolt abundance copied from Pre-Smolt section. See General Comments. [hs 2022-10-31]; FRY: FL; </v>
      </c>
      <c r="G31" s="394" t="str">
        <f t="shared" ca="1" si="7"/>
        <v xml:space="preserve">Returns Complete! ABUND: Ok adults at mouth of Columbia (based on BONN counts (adj. 24-hr counts) + [[downstream harvest (Zones 1-5) apportioned to stock (based on annual RRH:Rock dam ratios)]]. [hs 2023-02-03]; </v>
      </c>
      <c r="H31" s="391" t="str">
        <f t="shared" ca="1" si="10"/>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1"/>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2"/>
      <c r="M31" s="871">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8"/>
        <v>2133694</v>
      </c>
      <c r="D32" s="333">
        <f t="shared" ca="1" si="4"/>
        <v>312944.13168489572</v>
      </c>
      <c r="E32" s="1630">
        <f t="shared" ca="1" si="5"/>
        <v>0.14666776570815485</v>
      </c>
      <c r="F32" s="385" t="str">
        <f t="shared" ca="1" si="9"/>
        <v xml:space="preserve">ABUND: Age comp based on FW age composition of adult returns x best winter presmolt abundance copied from Pre-Smolt section. See General Comments. [hs 2022-10-31]; FRY: FL; </v>
      </c>
      <c r="G32" s="394" t="str">
        <f t="shared" ca="1" si="7"/>
        <v xml:space="preserve">Returns Complete! ABUND: Ok adults at mouth of Columbia (based on BONN counts (adj. 24-hr counts) + [[downstream harvest (Zones 1-5) apportioned to stock (based on annual RRH:Rock dam ratios)]]. [hs 2023-02-03]; </v>
      </c>
      <c r="H32" s="391" t="str">
        <f t="shared" ca="1" si="10"/>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1"/>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2"/>
      <c r="M32" s="871">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8"/>
        <v>875327</v>
      </c>
      <c r="D33" s="333">
        <f t="shared" ca="1" si="4"/>
        <v>63248.299193292129</v>
      </c>
      <c r="E33" s="1630">
        <f t="shared" ca="1" si="5"/>
        <v>7.2256767120507118E-2</v>
      </c>
      <c r="F33" s="385" t="str">
        <f t="shared" ca="1" si="9"/>
        <v xml:space="preserve">ABUND: Age comp based on FW age composition of adult returns x best winter presmolt abundance copied from Pre-Smolt section. See General Comments. [hs 2022-10-31]; FRY: FL; </v>
      </c>
      <c r="G33" s="394" t="str">
        <f t="shared" ca="1" si="7"/>
        <v xml:space="preserve">Returns Complete! ABUND: Ok adults at mouth of Columbia (based on BONN counts (adj. 24-hr counts) + [[downstream harvest (Zones 1-5) apportioned to stock (based on annual RRH:Rock dam ratios)]]. [hs 2023-02-03]; </v>
      </c>
      <c r="H33" s="391" t="str">
        <f t="shared" ca="1" si="10"/>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1"/>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2"/>
      <c r="M33" s="871">
        <v>10.8</v>
      </c>
      <c r="N33" s="341">
        <v>0.11988290780528595</v>
      </c>
      <c r="AI33" t="s">
        <v>404</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8"/>
        <v>7488306</v>
      </c>
      <c r="D34" s="333">
        <f t="shared" ca="1" si="4"/>
        <v>407786.91400662879</v>
      </c>
      <c r="E34" s="1630">
        <f t="shared" ca="1" si="5"/>
        <v>5.445649710450251E-2</v>
      </c>
      <c r="F34" s="385" t="str">
        <f t="shared" ca="1" si="9"/>
        <v xml:space="preserve">ABUND: Age comp based on FW age composition of adult returns x best winter presmolt abundance copied from Pre-Smolt section. See General Comments. [hs 2022-10-31]; FRY: FL; </v>
      </c>
      <c r="G34" s="394" t="str">
        <f t="shared" ca="1" si="7"/>
        <v xml:space="preserve">Returns Complete! ABUND: Ok adults at mouth of Columbia (based on BONN counts (adj. 24-hr counts) + [[downstream harvest (Zones 1-5) apportioned to stock (based on annual RRH:Rock dam ratios)]]. [hs 2023-02-03]; </v>
      </c>
      <c r="H3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1"/>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2"/>
      <c r="M34" s="871">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8"/>
        <v>812439.5</v>
      </c>
      <c r="D35" s="333">
        <f t="shared" ca="1" si="4"/>
        <v>91699.771721635712</v>
      </c>
      <c r="E35" s="1630">
        <f t="shared" ca="1" si="5"/>
        <v>0.11286966195222624</v>
      </c>
      <c r="F35"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7"/>
        <v xml:space="preserve">Returns Complete! ABUND: Ok adults at mouth of Columbia (based on BONN counts (adj. 24-hr counts) + [[downstream harvest (Zones 1-5) apportioned to stock (based on annual RRH:Rock dam ratios)]]. [hs 2023-02-03]; </v>
      </c>
      <c r="H35" s="391" t="str">
        <f t="shared" ca="1" si="10"/>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1"/>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2"/>
      <c r="M35" s="871">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8"/>
        <v>4435800</v>
      </c>
      <c r="D36" s="333">
        <f t="shared" ca="1" si="4"/>
        <v>380453.87316328625</v>
      </c>
      <c r="E36" s="1630">
        <f t="shared" ca="1" si="5"/>
        <v>8.57689420540345E-2</v>
      </c>
      <c r="F36" s="385" t="str">
        <f t="shared" ca="1" si="9"/>
        <v xml:space="preserve">ABUND: Age comp based on FW age composition of adult returns x best winter presmolt abundance copied from Pre-Smolt section. See General Comments. [hs 2022-10-31]; FRY: FL; </v>
      </c>
      <c r="G36" s="394" t="str">
        <f t="shared" ca="1" si="7"/>
        <v xml:space="preserve">Returns Complete! ABUND: Ok adults at mouth of Columbia (based on BONN counts (adj. 24-hr counts) + [[downstream harvest (Zones 1-5) apportioned to stock (based on annual RRH:Rock dam ratios)]]. [hs 2023-02-03]; </v>
      </c>
      <c r="H36"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1"/>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2"/>
      <c r="M36" s="871">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8"/>
        <v>2603607</v>
      </c>
      <c r="D37" s="333">
        <f t="shared" ca="1" si="4"/>
        <v>202288.35496941817</v>
      </c>
      <c r="E37" s="1630">
        <f t="shared" ca="1" si="5"/>
        <v>7.7695425987646435E-2</v>
      </c>
      <c r="F37"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7"/>
        <v xml:space="preserve">Returns Complete! ABUND: Ok adults at mouth of Columbia (based on BONN counts (adj. 24-hr counts) + [[downstream harvest (Zones 1-5) apportioned to stock (based on annual RRH:Rock dam ratios)]]. [hs 2023-02-03]; </v>
      </c>
      <c r="H37" s="391" t="str">
        <f t="shared" ca="1" si="10"/>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1"/>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405</v>
      </c>
      <c r="L37" s="862"/>
      <c r="M37" s="871">
        <v>9.9</v>
      </c>
      <c r="N37" s="341">
        <v>9.5248405954512894E-2</v>
      </c>
      <c r="O37" s="301"/>
      <c r="P37" s="2555" t="s">
        <v>406</v>
      </c>
      <c r="Q37" s="2556"/>
      <c r="R37" s="2556"/>
      <c r="S37" s="2557"/>
      <c r="T37" s="1713">
        <v>2021</v>
      </c>
      <c r="U37" s="1714" t="s">
        <v>407</v>
      </c>
      <c r="V37" s="1714"/>
      <c r="W37" s="1714"/>
      <c r="X37" s="1714"/>
      <c r="Y37" s="1714"/>
      <c r="Z37" s="1714"/>
      <c r="AA37" s="1714"/>
      <c r="AB37" s="1714"/>
      <c r="AC37" s="1714"/>
      <c r="AD37" s="1714"/>
      <c r="AE37" s="1714"/>
      <c r="AF37" s="1715"/>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8"/>
        <v>4938991</v>
      </c>
      <c r="D38" s="333">
        <f t="shared" ca="1" si="4"/>
        <v>160981.39925388093</v>
      </c>
      <c r="E38" s="1630">
        <f t="shared" ca="1" si="5"/>
        <v>3.2593985138640855E-2</v>
      </c>
      <c r="F38"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7"/>
        <v xml:space="preserve">Returns Complete! ABUND: Ok adults at mouth of Columbia (based on BONN counts (adj. 24-hr counts) + [[downstream harvest (Zones 1-5) apportioned to stock (based on annual RRH:Rock dam ratios)]]. [hs 2023-02-03]; </v>
      </c>
      <c r="H38" s="391" t="str">
        <f t="shared" ca="1" si="10"/>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1"/>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408</v>
      </c>
      <c r="L38" s="862"/>
      <c r="M38" s="871">
        <v>15.5</v>
      </c>
      <c r="N38" s="341">
        <v>3.0218468265459993E-2</v>
      </c>
      <c r="O38" s="301"/>
      <c r="P38" s="1716" t="str">
        <f>"Returns at age by return year for smolt year " &amp; T37 &amp; "…"</f>
        <v>Returns at age by return year for smolt year 2021…</v>
      </c>
      <c r="Q38" s="1717"/>
      <c r="R38" s="1717"/>
      <c r="S38" s="1717"/>
      <c r="T38" s="1717"/>
      <c r="U38" s="1717"/>
      <c r="V38" s="1717"/>
      <c r="W38" s="1717"/>
      <c r="X38" s="1717"/>
      <c r="Y38" s="1717"/>
      <c r="Z38" s="1717"/>
      <c r="AA38" s="1717"/>
      <c r="AB38" s="1717"/>
      <c r="AC38" s="1717"/>
      <c r="AD38" s="1717"/>
      <c r="AE38" s="1717"/>
      <c r="AF38" s="1718"/>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8"/>
        <v>2209546</v>
      </c>
      <c r="D39" s="333">
        <f t="shared" ca="1" si="4"/>
        <v>14973.954785909016</v>
      </c>
      <c r="E39" s="1630">
        <f t="shared" ca="1" si="5"/>
        <v>6.7769373373122877E-3</v>
      </c>
      <c r="F39"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7"/>
        <v xml:space="preserve">Returns Complete! ABUND: Ok adults at mouth of Columbia (based on BONN counts (adj. 24-hr counts) + [[downstream harvest (Zones 1-5) apportioned to stock (based on annual RRH:Rock dam ratios)]]. [hs 2023-02-03]; </v>
      </c>
      <c r="H39" s="391" t="str">
        <f t="shared" ca="1" si="10"/>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1"/>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409</v>
      </c>
      <c r="L39" s="862"/>
      <c r="M39" s="871">
        <v>21.8</v>
      </c>
      <c r="N39" s="341">
        <v>4.8105785401754333E-3</v>
      </c>
      <c r="O39" s="870"/>
      <c r="P39" s="2558">
        <v>32</v>
      </c>
      <c r="Q39" s="2536"/>
      <c r="R39" s="2536">
        <v>42</v>
      </c>
      <c r="S39" s="2536"/>
      <c r="T39" s="2536">
        <v>43</v>
      </c>
      <c r="U39" s="2536"/>
      <c r="V39" s="2536">
        <v>52</v>
      </c>
      <c r="W39" s="2536"/>
      <c r="X39" s="2536">
        <v>53</v>
      </c>
      <c r="Y39" s="2536"/>
      <c r="Z39" s="2536">
        <v>62</v>
      </c>
      <c r="AA39" s="2536"/>
      <c r="AB39" s="2536">
        <v>63</v>
      </c>
      <c r="AC39" s="2536"/>
      <c r="AD39" s="2537">
        <f>((OtherAge-INT(OtherAge))*10+1+INT(OtherAge))*10+((INT(OtherAge)+1))</f>
        <v>54.000000000000007</v>
      </c>
      <c r="AE39" s="2538"/>
      <c r="AF39" s="1719" t="s">
        <v>410</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8"/>
        <v>7383151</v>
      </c>
      <c r="D40" s="333">
        <f t="shared" ref="D40:D57" ca="1" si="13">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30">
        <f t="shared" ref="E40:E57" ca="1" si="14">IF(AND(ISNUMBER(C40),ISNUMBER(D40)),D40/C40,"")</f>
        <v>1.1874747631106923E-2</v>
      </c>
      <c r="F40"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7"/>
        <v xml:space="preserve">Returns Complete! ABUND: Ok adults at mouth of Columbia (based on BONN counts (adj. 24-hr counts) + [[downstream harvest (Zones 1-5) apportioned to stock (based on annual RRH:Rock dam ratios)]]. [hs 2023-02-03]; </v>
      </c>
      <c r="H40" s="391" t="str">
        <f t="shared" ca="1" si="10"/>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1"/>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411</v>
      </c>
      <c r="L40" s="862"/>
      <c r="M40" s="871">
        <v>21.5</v>
      </c>
      <c r="N40" s="341">
        <v>1.206128491074215E-2</v>
      </c>
      <c r="O40" s="870">
        <f>T37</f>
        <v>2021</v>
      </c>
      <c r="P40" s="1722">
        <f>$O40+1</f>
        <v>2022</v>
      </c>
      <c r="Q40" s="1720">
        <f ca="1">IF(P40&lt;=YEAR(NOW()),VLOOKUP($O40+1,AdultReturns,2),"")</f>
        <v>7877.0832056169038</v>
      </c>
      <c r="R40" s="1721">
        <f>$O40+2</f>
        <v>2023</v>
      </c>
      <c r="S40" s="1726">
        <f ca="1">IF(R40&lt;=YEAR(NOW()),VLOOKUP($O40+2,AdultReturns,3),"")</f>
        <v>89017.642034457982</v>
      </c>
      <c r="T40" s="1723">
        <f>$O40+1</f>
        <v>2022</v>
      </c>
      <c r="U40" s="1724">
        <f ca="1">IF(T40&lt;=YEAR(NOW()),VLOOKUP($O40+1,AdultReturns,4),"")</f>
        <v>3316.666612891328</v>
      </c>
      <c r="V40" s="1721">
        <f>$O40+3</f>
        <v>2024</v>
      </c>
      <c r="W40" s="1726">
        <f ca="1">IF(V40&lt;=YEAR(NOW()),VLOOKUP($O40+3,AdultReturns,5),"")</f>
        <v>10524.253245453159</v>
      </c>
      <c r="X40" s="1723">
        <f>$O40+2</f>
        <v>2023</v>
      </c>
      <c r="Y40" s="1724">
        <f ca="1">IF(X40&lt;=YEAR(NOW()),VLOOKUP($O40+2,AdultReturns,6),"")</f>
        <v>0</v>
      </c>
      <c r="Z40" s="1723">
        <f>$O40+4</f>
        <v>2025</v>
      </c>
      <c r="AA40" s="1724" t="str">
        <f ca="1">IF(Z40&lt;=YEAR(NOW()),VLOOKUP($O40+4,AdultReturns,7),"")</f>
        <v/>
      </c>
      <c r="AB40" s="1723">
        <f>$O40+3</f>
        <v>2024</v>
      </c>
      <c r="AC40" s="1724">
        <f ca="1">IF(AB40&lt;=YEAR(NOW()),VLOOKUP($O40+3,AdultReturns,8),"")</f>
        <v>0</v>
      </c>
      <c r="AD40" s="1723">
        <f>$O40+((OtherAge-INT(OtherAge))*10)</f>
        <v>2022</v>
      </c>
      <c r="AE40" s="1724">
        <f ca="1">IF(AD40&lt;=YEAR(NOW()),VLOOKUP($AD40,AdultReturns,9),"")</f>
        <v>0</v>
      </c>
      <c r="AF40" s="1725">
        <f ca="1">SUM(Q40,S40,U40,W40,Y40,AA40,AC40,AE40)</f>
        <v>110735.64509841938</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8"/>
        <v>1885712</v>
      </c>
      <c r="D41" s="333">
        <f t="shared" ca="1" si="13"/>
        <v>18276.319408122064</v>
      </c>
      <c r="E41" s="1630">
        <f t="shared" ca="1" si="14"/>
        <v>9.6919993127911712E-3</v>
      </c>
      <c r="F41"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7"/>
        <v xml:space="preserve">Returns Complete! ABUND: Ok adults at mouth of Columbia (based on BONN counts (adj. 24-hr counts) + [[downstream harvest (Zones 1-5) apportioned to stock (based on annual RRH:Rock dam ratios)]]. [hs 2023-02-03]; </v>
      </c>
      <c r="H41" s="391" t="str">
        <f t="shared" ca="1" si="10"/>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1"/>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2"/>
      <c r="M41" s="871">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8"/>
        <v>4122796</v>
      </c>
      <c r="D42" s="333">
        <f t="shared" ca="1" si="13"/>
        <v>168370.40175659824</v>
      </c>
      <c r="E42" s="1630">
        <f t="shared" ca="1" si="14"/>
        <v>4.0838887433818756E-2</v>
      </c>
      <c r="F42"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7"/>
        <v xml:space="preserve">Returns Complete! ABUND: Ok adults at mouth of Columbia (based on BONN counts (adj. 24-hr counts) + [[downstream harvest (Zones 1-5) apportioned to stock (based on annual RRH:Rock dam ratios)]]. [hs 2023-02-03]; </v>
      </c>
      <c r="H42" s="391" t="str">
        <f t="shared" ca="1" si="10"/>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1"/>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1"/>
      <c r="L42" s="863"/>
      <c r="M42" s="902">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8"/>
        <v>1556054</v>
      </c>
      <c r="D43" s="333">
        <f t="shared" ca="1" si="13"/>
        <v>94736.166193369922</v>
      </c>
      <c r="E43" s="1630">
        <f t="shared" ca="1" si="14"/>
        <v>6.0882312691828123E-2</v>
      </c>
      <c r="F43"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7"/>
        <v xml:space="preserve">Returns Complete! ABUND: Age composition preliminary (JF 2022-05-06]]; </v>
      </c>
      <c r="H43" s="391" t="str">
        <f t="shared" ca="1" si="10"/>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1"/>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1" t="s">
        <v>412</v>
      </c>
      <c r="L43" s="863"/>
      <c r="M43" s="903">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8"/>
        <v>2540161</v>
      </c>
      <c r="D44" s="333">
        <f t="shared" ca="1" si="13"/>
        <v>377525.21545788232</v>
      </c>
      <c r="E44" s="1630">
        <f t="shared" ca="1" si="14"/>
        <v>0.14862255402625357</v>
      </c>
      <c r="F44" s="385" t="str">
        <f t="shared" ca="1" si="9"/>
        <v xml:space="preserve">ABUND: Age comp based on FW age composition of adult returns x best winter presmolt abundance copied from Pre-Smolt section. See General Comments. [hs 2022-10-31]; MIG: N/A; FRY: FL; </v>
      </c>
      <c r="G44" s="394" t="str">
        <f t="shared" ca="1" si="7"/>
        <v xml:space="preserve">Returns Complete! ABUND: Based on 663,253 Sox at Bonneville as of 11.Oct.22 (harvest not included). Stock composition (84% Okanagan-bound) (~537,299 SK) and age composition preliminary (JF 2022-07-29]]. H-O fish fraction not determined.; </v>
      </c>
      <c r="H4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1"/>
        <v/>
      </c>
      <c r="J44"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1" t="s">
        <v>413</v>
      </c>
      <c r="L44" s="863"/>
      <c r="M44" s="903">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8"/>
        <v>1464091</v>
      </c>
      <c r="D45" s="333">
        <f t="shared" ca="1" si="13"/>
        <v>110735.64509841938</v>
      </c>
      <c r="E45" s="1630">
        <f t="shared" ca="1" si="14"/>
        <v>7.5634400524570794E-2</v>
      </c>
      <c r="F45"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str">
        <f t="shared" ca="1" si="7"/>
        <v xml:space="preserve">Returns At Age Incomplete (Age 42s or Age 52s missing or zero)? </v>
      </c>
      <c r="H45"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1"/>
        <v/>
      </c>
      <c r="J45"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2"/>
      <c r="L45" s="864"/>
      <c r="M45" s="904">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8"/>
        <v>3673223</v>
      </c>
      <c r="D46" s="333" t="str">
        <f t="shared" ca="1" si="13"/>
        <v/>
      </c>
      <c r="E46" s="1630" t="str">
        <f t="shared" ca="1" si="14"/>
        <v/>
      </c>
      <c r="F46" s="385" t="str">
        <f t="shared" ca="1" si="9"/>
        <v xml:space="preserve">ABUND: Preliminary!  [hs 2022-10-31]; </v>
      </c>
      <c r="G46" s="394" t="str">
        <f t="shared" ca="1" si="7"/>
        <v xml:space="preserve">Returns At Age Incomplete (Adults N/A)? </v>
      </c>
      <c r="H46" s="391" t="str">
        <f t="shared" ca="1" si="10"/>
        <v xml:space="preserve">JUV: Winter estimate from AO's CNAT file [22.08.17]; </v>
      </c>
      <c r="I46" s="336" t="str">
        <f t="shared" ca="1" si="11"/>
        <v/>
      </c>
      <c r="J46"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2"/>
      <c r="L46" s="873"/>
      <c r="M46" s="904">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8"/>
        <v>1212000</v>
      </c>
      <c r="D47" s="333" t="str">
        <f t="shared" ca="1" si="13"/>
        <v/>
      </c>
      <c r="E47" s="341" t="str">
        <f t="shared" ca="1" si="14"/>
        <v/>
      </c>
      <c r="F47" s="385" t="str">
        <f t="shared" ca="1" si="9"/>
        <v xml:space="preserve">ABUND: Preliminary!  [hs 2024-01-22]; </v>
      </c>
      <c r="G47" s="394" t="str">
        <f t="shared" ca="1" si="7"/>
        <v xml:space="preserve">Returns At Age Incomplete (Adults N/A)? </v>
      </c>
      <c r="H47" s="391" t="str">
        <f t="shared" ca="1" si="10"/>
        <v xml:space="preserve">JUV: Winter estimate from AO's CNAT file [2024-01-22]; </v>
      </c>
      <c r="I47" s="336" t="str">
        <f t="shared" ca="1" si="11"/>
        <v/>
      </c>
      <c r="J47" s="337" t="str">
        <f t="shared" ca="1" si="12"/>
        <v/>
      </c>
      <c r="K47" s="367"/>
      <c r="L47" s="868"/>
      <c r="M47" s="904">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8"/>
        <v/>
      </c>
      <c r="D48" s="333" t="str">
        <f t="shared" ca="1" si="13"/>
        <v/>
      </c>
      <c r="E48" s="341" t="str">
        <f t="shared" ca="1" si="14"/>
        <v/>
      </c>
      <c r="F48" s="385" t="str">
        <f t="shared" ca="1" si="9"/>
        <v/>
      </c>
      <c r="G48" s="394" t="str">
        <f t="shared" ref="G48:G57" ca="1" si="15">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10"/>
        <v>#N/A</v>
      </c>
      <c r="I48" s="336" t="e">
        <f t="shared" ca="1" si="11"/>
        <v>#N/A</v>
      </c>
      <c r="J48" s="337" t="e">
        <f t="shared" ca="1" si="12"/>
        <v>#N/A</v>
      </c>
      <c r="K48" s="367"/>
      <c r="L48" s="868"/>
      <c r="M48" s="904"/>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8"/>
        <v/>
      </c>
      <c r="D49" s="333" t="str">
        <f t="shared" ca="1" si="13"/>
        <v/>
      </c>
      <c r="E49" s="341" t="str">
        <f t="shared" ca="1" si="14"/>
        <v/>
      </c>
      <c r="F49" s="385" t="str">
        <f t="shared" ca="1" si="9"/>
        <v/>
      </c>
      <c r="G49" s="394" t="str">
        <f t="shared" ca="1" si="15"/>
        <v/>
      </c>
      <c r="H49" s="391" t="e">
        <f t="shared" ca="1" si="10"/>
        <v>#N/A</v>
      </c>
      <c r="I49" s="336" t="e">
        <f t="shared" ca="1" si="11"/>
        <v>#N/A</v>
      </c>
      <c r="J49" s="337" t="e">
        <f t="shared" ca="1" si="12"/>
        <v>#N/A</v>
      </c>
      <c r="K49" s="367"/>
      <c r="L49" s="868"/>
      <c r="M49" s="904"/>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8"/>
        <v/>
      </c>
      <c r="D50" s="333" t="str">
        <f t="shared" ca="1" si="13"/>
        <v/>
      </c>
      <c r="E50" s="341" t="str">
        <f t="shared" ca="1" si="14"/>
        <v/>
      </c>
      <c r="F50" s="385" t="str">
        <f t="shared" ca="1" si="9"/>
        <v/>
      </c>
      <c r="G50" s="394" t="str">
        <f t="shared" ca="1" si="15"/>
        <v/>
      </c>
      <c r="H50" s="391" t="e">
        <f t="shared" ca="1" si="10"/>
        <v>#N/A</v>
      </c>
      <c r="I50" s="336" t="e">
        <f t="shared" ca="1" si="11"/>
        <v>#N/A</v>
      </c>
      <c r="J50" s="337" t="e">
        <f t="shared" ca="1" si="12"/>
        <v>#N/A</v>
      </c>
      <c r="K50" s="367"/>
      <c r="L50" s="868"/>
      <c r="M50" s="868"/>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8"/>
        <v/>
      </c>
      <c r="D51" s="333" t="str">
        <f t="shared" ca="1" si="13"/>
        <v/>
      </c>
      <c r="E51" s="341" t="str">
        <f t="shared" ca="1" si="14"/>
        <v/>
      </c>
      <c r="F51" s="385" t="str">
        <f t="shared" ca="1" si="9"/>
        <v/>
      </c>
      <c r="G51" s="394" t="str">
        <f t="shared" ca="1" si="15"/>
        <v/>
      </c>
      <c r="H51" s="391" t="e">
        <f t="shared" ca="1" si="10"/>
        <v>#N/A</v>
      </c>
      <c r="I51" s="336" t="e">
        <f t="shared" ca="1" si="11"/>
        <v>#N/A</v>
      </c>
      <c r="J51" s="337" t="e">
        <f t="shared" ca="1" si="12"/>
        <v>#N/A</v>
      </c>
      <c r="K51" s="445"/>
      <c r="L51" s="869"/>
      <c r="M51" s="869"/>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8"/>
        <v/>
      </c>
      <c r="D52" s="333" t="str">
        <f t="shared" ca="1" si="13"/>
        <v/>
      </c>
      <c r="E52" s="443" t="str">
        <f t="shared" ca="1" si="14"/>
        <v/>
      </c>
      <c r="F52" s="385" t="str">
        <f t="shared" ca="1" si="9"/>
        <v/>
      </c>
      <c r="G52" s="394" t="str">
        <f t="shared" ca="1" si="15"/>
        <v/>
      </c>
      <c r="H52" s="391" t="e">
        <f t="shared" ca="1" si="10"/>
        <v>#N/A</v>
      </c>
      <c r="I52" s="336" t="e">
        <f t="shared" ca="1" si="11"/>
        <v>#N/A</v>
      </c>
      <c r="J52" s="337" t="e">
        <f t="shared" ca="1" si="12"/>
        <v>#N/A</v>
      </c>
      <c r="K52" s="445"/>
      <c r="L52" s="869"/>
      <c r="M52" s="869"/>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8"/>
        <v/>
      </c>
      <c r="D53" s="333" t="str">
        <f t="shared" ca="1" si="13"/>
        <v/>
      </c>
      <c r="E53" s="443" t="str">
        <f t="shared" ca="1" si="14"/>
        <v/>
      </c>
      <c r="F53" s="385" t="str">
        <f t="shared" ca="1" si="9"/>
        <v/>
      </c>
      <c r="G53" s="394" t="str">
        <f t="shared" ca="1" si="15"/>
        <v/>
      </c>
      <c r="H53" s="391" t="e">
        <f t="shared" ca="1" si="10"/>
        <v>#N/A</v>
      </c>
      <c r="I53" s="336" t="e">
        <f t="shared" ca="1" si="11"/>
        <v>#N/A</v>
      </c>
      <c r="J53" s="337" t="e">
        <f t="shared" ca="1" si="12"/>
        <v>#N/A</v>
      </c>
      <c r="K53" s="445"/>
      <c r="L53" s="869"/>
      <c r="M53" s="869"/>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8"/>
        <v/>
      </c>
      <c r="D54" s="333" t="str">
        <f t="shared" ca="1" si="13"/>
        <v/>
      </c>
      <c r="E54" s="341" t="str">
        <f t="shared" ca="1" si="14"/>
        <v/>
      </c>
      <c r="F54" s="385" t="str">
        <f t="shared" ca="1" si="9"/>
        <v/>
      </c>
      <c r="G54" s="394" t="str">
        <f t="shared" ca="1" si="15"/>
        <v/>
      </c>
      <c r="H54" s="391" t="e">
        <f t="shared" ca="1" si="10"/>
        <v>#N/A</v>
      </c>
      <c r="I54" s="336" t="e">
        <f t="shared" ca="1" si="11"/>
        <v>#N/A</v>
      </c>
      <c r="J54" s="337" t="e">
        <f t="shared" ca="1" si="12"/>
        <v>#N/A</v>
      </c>
      <c r="K54" s="367"/>
      <c r="L54" s="868"/>
      <c r="M54" s="868"/>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8"/>
        <v/>
      </c>
      <c r="D55" s="333" t="str">
        <f t="shared" ca="1" si="13"/>
        <v/>
      </c>
      <c r="E55" s="341" t="str">
        <f t="shared" ca="1" si="14"/>
        <v/>
      </c>
      <c r="F55" s="385" t="str">
        <f t="shared" ca="1" si="9"/>
        <v/>
      </c>
      <c r="G55" s="394" t="str">
        <f t="shared" ca="1" si="15"/>
        <v/>
      </c>
      <c r="H55" s="391" t="e">
        <f t="shared" ca="1" si="10"/>
        <v>#N/A</v>
      </c>
      <c r="I55" s="336" t="e">
        <f t="shared" ca="1" si="11"/>
        <v>#N/A</v>
      </c>
      <c r="J55" s="337" t="e">
        <f t="shared" ca="1" si="12"/>
        <v>#N/A</v>
      </c>
      <c r="K55" s="367"/>
      <c r="L55" s="868"/>
      <c r="M55" s="868"/>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8"/>
        <v/>
      </c>
      <c r="D56" s="333" t="str">
        <f t="shared" ca="1" si="13"/>
        <v/>
      </c>
      <c r="E56" s="341" t="str">
        <f t="shared" ca="1" si="14"/>
        <v/>
      </c>
      <c r="F56" s="385" t="str">
        <f t="shared" ca="1" si="9"/>
        <v/>
      </c>
      <c r="G56" s="394" t="str">
        <f t="shared" ca="1" si="15"/>
        <v/>
      </c>
      <c r="H56" s="391" t="e">
        <f t="shared" ca="1" si="10"/>
        <v>#N/A</v>
      </c>
      <c r="I56" s="336" t="e">
        <f t="shared" ca="1" si="11"/>
        <v>#N/A</v>
      </c>
      <c r="J56" s="337" t="e">
        <f t="shared" ca="1" si="12"/>
        <v>#N/A</v>
      </c>
      <c r="K56" s="367"/>
      <c r="L56" s="868"/>
      <c r="M56" s="868"/>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8"/>
        <v/>
      </c>
      <c r="D57" s="342" t="str">
        <f t="shared" ca="1" si="13"/>
        <v/>
      </c>
      <c r="E57" s="343" t="str">
        <f t="shared" ca="1" si="14"/>
        <v/>
      </c>
      <c r="F57" s="386" t="str">
        <f t="shared" ca="1" si="9"/>
        <v/>
      </c>
      <c r="G57" s="395" t="str">
        <f t="shared" ca="1" si="15"/>
        <v/>
      </c>
      <c r="H57" s="392" t="e">
        <f t="shared" ca="1" si="10"/>
        <v>#N/A</v>
      </c>
      <c r="I57" s="344" t="e">
        <f t="shared" ca="1" si="11"/>
        <v>#N/A</v>
      </c>
      <c r="J57" s="345" t="e">
        <f t="shared" ca="1" si="12"/>
        <v>#N/A</v>
      </c>
      <c r="K57" s="368"/>
      <c r="L57" s="868"/>
      <c r="M57" s="868"/>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739" priority="6" operator="containsText" text="incomplete">
      <formula>NOT(ISERROR(SEARCH("incomplete",G4)))</formula>
    </cfRule>
  </conditionalFormatting>
  <conditionalFormatting sqref="K4:M57">
    <cfRule type="containsText" dxfId="738"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414</v>
      </c>
      <c r="B1" s="737" t="s">
        <v>415</v>
      </c>
      <c r="C1" s="737" t="s">
        <v>416</v>
      </c>
      <c r="D1" s="737" t="s">
        <v>417</v>
      </c>
      <c r="E1" s="738" t="s">
        <v>418</v>
      </c>
      <c r="H1" s="723" t="s">
        <v>383</v>
      </c>
      <c r="I1" s="714" t="s">
        <v>358</v>
      </c>
      <c r="J1" s="714" t="s">
        <v>369</v>
      </c>
      <c r="K1" s="714" t="s">
        <v>370</v>
      </c>
      <c r="L1" s="714" t="s">
        <v>361</v>
      </c>
      <c r="M1" s="714" t="s">
        <v>362</v>
      </c>
      <c r="N1" s="714" t="s">
        <v>371</v>
      </c>
      <c r="O1" s="714" t="s">
        <v>372</v>
      </c>
      <c r="P1" s="715">
        <v>3.1</v>
      </c>
      <c r="Q1" s="724" t="s">
        <v>419</v>
      </c>
      <c r="R1" s="725" t="s">
        <v>358</v>
      </c>
      <c r="S1" s="714" t="s">
        <v>369</v>
      </c>
      <c r="T1" s="714" t="s">
        <v>370</v>
      </c>
      <c r="U1" s="714" t="s">
        <v>361</v>
      </c>
      <c r="V1" s="714" t="s">
        <v>362</v>
      </c>
      <c r="W1" s="714" t="s">
        <v>371</v>
      </c>
      <c r="X1" s="714" t="s">
        <v>372</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5" t="str">
        <f>'Smolt to Adult Survival'!A2</f>
        <v>Conservation Unit Name</v>
      </c>
      <c r="B1" s="985" t="str">
        <f>'Smolt to Adult Survival'!B2</f>
        <v>Smolt Migration Year</v>
      </c>
      <c r="C1" s="985" t="str">
        <f>'Smolt to Adult Survival'!C2</f>
        <v>Total Pre-Smolt Abundance (#fish)</v>
      </c>
      <c r="D1" s="985" t="str">
        <f>'Smolt to Adult Survival'!D2</f>
        <v>Total Adult Returns (#fish)</v>
      </c>
      <c r="E1" s="985" t="s">
        <v>420</v>
      </c>
      <c r="F1" s="985" t="s">
        <v>421</v>
      </c>
      <c r="G1" s="985"/>
      <c r="H1" t="s">
        <v>422</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1">
        <f>'Smolt to Adult Survival'!B9</f>
        <v>1985</v>
      </c>
      <c r="C7" s="1699" t="str">
        <f t="shared" ref="C7:C44" ca="1" si="0">VLOOKUP($B7,SAR,2)</f>
        <v/>
      </c>
      <c r="D7" s="444">
        <f t="shared" ref="D7:D44" ca="1" si="1">VLOOKUP($B7,SAR,3)</f>
        <v>51334.207813813824</v>
      </c>
      <c r="E7" s="479" t="str">
        <f t="shared" ref="E7:E44" ca="1" si="2">VLOOKUP($B7,SAR,4)</f>
        <v/>
      </c>
      <c r="F7" s="479">
        <f>'Smolt to Adult Survival'!$N9</f>
        <v>2.9151448843342462E-2</v>
      </c>
      <c r="H7" s="2559"/>
      <c r="I7" s="2560"/>
      <c r="J7" s="2563" t="s">
        <v>53</v>
      </c>
      <c r="K7" s="2564"/>
      <c r="L7" s="2564"/>
      <c r="M7" s="2564"/>
      <c r="N7" s="2565"/>
      <c r="O7" s="2563" t="s">
        <v>55</v>
      </c>
      <c r="P7" s="2564"/>
      <c r="Q7" s="2564"/>
      <c r="R7" s="2564"/>
      <c r="S7" s="2565"/>
      <c r="T7" s="2564" t="s">
        <v>57</v>
      </c>
      <c r="U7" s="2564"/>
      <c r="V7" s="2564"/>
      <c r="W7" s="2564"/>
      <c r="X7" s="2565"/>
    </row>
    <row r="8" spans="1:24" x14ac:dyDescent="0.3">
      <c r="A8" t="str">
        <f ca="1">'Smolt to Adult Survival'!A10</f>
        <v>Okanagan - Osoyoos</v>
      </c>
      <c r="B8" s="1461">
        <f ca="1">'Smolt to Adult Survival'!B10</f>
        <v>1986</v>
      </c>
      <c r="C8" s="1699" t="str">
        <f t="shared" ca="1" si="0"/>
        <v/>
      </c>
      <c r="D8" s="444">
        <f t="shared" ca="1" si="1"/>
        <v>126229.20999999999</v>
      </c>
      <c r="E8" s="479" t="str">
        <f t="shared" ca="1" si="2"/>
        <v/>
      </c>
      <c r="F8" s="479">
        <f>'Smolt to Adult Survival'!$N10</f>
        <v>5.5950350055228526E-2</v>
      </c>
      <c r="H8" s="2561"/>
      <c r="I8" s="2562"/>
      <c r="J8" s="488" t="s">
        <v>423</v>
      </c>
      <c r="K8" s="480" t="s">
        <v>424</v>
      </c>
      <c r="L8" s="489" t="s">
        <v>425</v>
      </c>
      <c r="M8" s="493" t="s">
        <v>426</v>
      </c>
      <c r="N8" s="490" t="s">
        <v>427</v>
      </c>
      <c r="O8" s="488" t="s">
        <v>423</v>
      </c>
      <c r="P8" s="480" t="s">
        <v>424</v>
      </c>
      <c r="Q8" s="489" t="s">
        <v>425</v>
      </c>
      <c r="R8" s="493" t="s">
        <v>426</v>
      </c>
      <c r="S8" s="490" t="s">
        <v>427</v>
      </c>
      <c r="T8" s="480" t="s">
        <v>423</v>
      </c>
      <c r="U8" s="480" t="s">
        <v>424</v>
      </c>
      <c r="V8" s="489" t="s">
        <v>425</v>
      </c>
      <c r="W8" s="493" t="s">
        <v>426</v>
      </c>
      <c r="X8" s="490" t="s">
        <v>427</v>
      </c>
    </row>
    <row r="9" spans="1:24" x14ac:dyDescent="0.3">
      <c r="A9" t="str">
        <f ca="1">'Smolt to Adult Survival'!A11</f>
        <v>Okanagan - Osoyoos</v>
      </c>
      <c r="B9" s="1461">
        <f ca="1">'Smolt to Adult Survival'!B11</f>
        <v>1987</v>
      </c>
      <c r="C9" s="1699" t="str">
        <f t="shared" ca="1" si="0"/>
        <v/>
      </c>
      <c r="D9" s="444">
        <f t="shared" ca="1" si="1"/>
        <v>940.65599999999995</v>
      </c>
      <c r="E9" s="479" t="str">
        <f t="shared" ca="1" si="2"/>
        <v/>
      </c>
      <c r="F9" s="479">
        <f>'Smolt to Adult Survival'!$N11</f>
        <v>1.9132338146689822E-2</v>
      </c>
      <c r="H9" s="484" t="s">
        <v>428</v>
      </c>
      <c r="I9" s="986"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36522.723159287409</v>
      </c>
      <c r="R9" s="524">
        <f ca="1">MAX($D$7:$D$23)</f>
        <v>126229.20999999999</v>
      </c>
      <c r="S9" s="481">
        <f ca="1">_xlfn.STDEV.S($D$7:$D$23)</f>
        <v>38666.068414770329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61">
        <f ca="1">'Smolt to Adult Survival'!B12</f>
        <v>1988</v>
      </c>
      <c r="C10" s="1699" t="str">
        <f t="shared" ca="1" si="0"/>
        <v/>
      </c>
      <c r="D10" s="444" t="str">
        <f t="shared" ca="1" si="1"/>
        <v/>
      </c>
      <c r="E10" s="479" t="str">
        <f t="shared" ca="1" si="2"/>
        <v/>
      </c>
      <c r="F10" s="479">
        <f>'Smolt to Adult Survival'!$N12</f>
        <v>9.1831821791156353E-3</v>
      </c>
      <c r="H10" s="486" t="s">
        <v>429</v>
      </c>
      <c r="I10" s="987"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140909.13037049121</v>
      </c>
      <c r="R10" s="527">
        <f ca="1">MAX($D$24:$D$41)</f>
        <v>407786.91400662879</v>
      </c>
      <c r="S10" s="481">
        <f ca="1">_xlfn.STDEV.S($D$24:$D$41)</f>
        <v>120650.60221196085</v>
      </c>
      <c r="T10" s="494">
        <f ca="1">COUNT($E$24:$E$41)</f>
        <v>18</v>
      </c>
      <c r="U10" s="529">
        <f ca="1">MIN($E$24:$E$41)</f>
        <v>6.7769373373122877E-3</v>
      </c>
      <c r="V10" s="529">
        <f ca="1">AVERAGE($E$24:$E$41)</f>
        <v>5.6341385819299247E-2</v>
      </c>
      <c r="W10" s="529">
        <f ca="1">MAX($E$24:$E$41)</f>
        <v>0.14666776570815485</v>
      </c>
      <c r="X10" s="485">
        <f ca="1">_xlfn.STDEV.S($E$24:$E$41)</f>
        <v>3.9115880922278162E-2</v>
      </c>
    </row>
    <row r="11" spans="1:24" ht="15" thickBot="1" x14ac:dyDescent="0.35">
      <c r="A11" t="str">
        <f ca="1">'Smolt to Adult Survival'!A13</f>
        <v>Okanagan - Osoyoos</v>
      </c>
      <c r="B11" s="1461">
        <f ca="1">'Smolt to Adult Survival'!B13</f>
        <v>1989</v>
      </c>
      <c r="C11" s="1699" t="str">
        <f t="shared" ca="1" si="0"/>
        <v/>
      </c>
      <c r="D11" s="444" t="str">
        <f t="shared" ca="1" si="1"/>
        <v/>
      </c>
      <c r="E11" s="479" t="str">
        <f t="shared" ca="1" si="2"/>
        <v/>
      </c>
      <c r="F11" s="479">
        <f>'Smolt to Adult Survival'!$N13</f>
        <v>5.3483597725828017E-2</v>
      </c>
      <c r="H11" s="945" t="s">
        <v>430</v>
      </c>
      <c r="I11" s="946"/>
      <c r="J11" s="482"/>
      <c r="K11" s="492">
        <f ca="1">(K10-K9)/K9</f>
        <v>1.2317147295198216</v>
      </c>
      <c r="L11" s="492">
        <f ca="1">(L10-L9)/L9</f>
        <v>0.86364073996218815</v>
      </c>
      <c r="M11" s="492">
        <f ca="1">(M10-M9)/M9</f>
        <v>1.4157828568368409</v>
      </c>
      <c r="N11" s="483"/>
      <c r="O11" s="491"/>
      <c r="P11" s="492">
        <f ca="1">(P10-P9)/P9</f>
        <v>31.31615061161915</v>
      </c>
      <c r="Q11" s="492">
        <f ca="1">(Q10-Q9)/Q9</f>
        <v>2.8581222368315995</v>
      </c>
      <c r="R11" s="492">
        <f ca="1">(R10-R9)/R9</f>
        <v>2.2305273399606071</v>
      </c>
      <c r="S11" s="483"/>
      <c r="T11" s="487"/>
      <c r="U11" s="492">
        <f ca="1">(U10-U9)/U9</f>
        <v>-0.68567754020757199</v>
      </c>
      <c r="V11" s="492">
        <f ca="1">(V10-V9)/V9</f>
        <v>0.34043871765851591</v>
      </c>
      <c r="W11" s="492">
        <f ca="1">(W10-W9)/W9</f>
        <v>1.4035554322857049</v>
      </c>
      <c r="X11" s="483"/>
    </row>
    <row r="12" spans="1:24" x14ac:dyDescent="0.3">
      <c r="A12" t="str">
        <f ca="1">'Smolt to Adult Survival'!A14</f>
        <v>Okanagan - Osoyoos</v>
      </c>
      <c r="B12" s="1461">
        <f ca="1">'Smolt to Adult Survival'!B14</f>
        <v>1990</v>
      </c>
      <c r="C12" s="1699" t="str">
        <f t="shared" ca="1" si="0"/>
        <v/>
      </c>
      <c r="D12" s="444" t="str">
        <f t="shared" ca="1" si="1"/>
        <v/>
      </c>
      <c r="E12" s="479" t="str">
        <f t="shared" ca="1" si="2"/>
        <v/>
      </c>
      <c r="F12" s="479">
        <f>'Smolt to Adult Survival'!$N14</f>
        <v>0.19595419827081922</v>
      </c>
      <c r="H12" s="988" t="s">
        <v>431</v>
      </c>
    </row>
    <row r="13" spans="1:24" x14ac:dyDescent="0.3">
      <c r="A13" t="str">
        <f ca="1">'Smolt to Adult Survival'!A15</f>
        <v>Okanagan - Osoyoos</v>
      </c>
      <c r="B13" s="1461">
        <f ca="1">'Smolt to Adult Survival'!B15</f>
        <v>1991</v>
      </c>
      <c r="C13" s="1699"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61">
        <f ca="1">'Smolt to Adult Survival'!B16</f>
        <v>1992</v>
      </c>
      <c r="C14" s="1699" t="str">
        <f t="shared" ca="1" si="0"/>
        <v/>
      </c>
      <c r="D14" s="444">
        <f t="shared" ca="1" si="1"/>
        <v>383.11646092184372</v>
      </c>
      <c r="E14" s="479" t="str">
        <f t="shared" ca="1" si="2"/>
        <v/>
      </c>
      <c r="F14" s="479">
        <f>'Smolt to Adult Survival'!$N16</f>
        <v>2.8380361991986614E-3</v>
      </c>
      <c r="H14" t="s">
        <v>422</v>
      </c>
    </row>
    <row r="15" spans="1:24" ht="15" thickBot="1" x14ac:dyDescent="0.35">
      <c r="A15" t="str">
        <f ca="1">'Smolt to Adult Survival'!A17</f>
        <v>Okanagan - Osoyoos</v>
      </c>
      <c r="B15" s="1461">
        <f ca="1">'Smolt to Adult Survival'!B17</f>
        <v>1993</v>
      </c>
      <c r="C15" s="1699" t="str">
        <f t="shared" ca="1" si="0"/>
        <v/>
      </c>
      <c r="D15" s="444">
        <f t="shared" ca="1" si="1"/>
        <v>3927.92545490982</v>
      </c>
      <c r="E15" s="479" t="str">
        <f t="shared" ca="1" si="2"/>
        <v/>
      </c>
      <c r="F15" s="479">
        <f>'Smolt to Adult Survival'!$N17</f>
        <v>2.8770623200475506E-3</v>
      </c>
      <c r="H15" s="2559" t="s">
        <v>432</v>
      </c>
      <c r="I15" s="2560"/>
      <c r="J15" s="2563" t="s">
        <v>53</v>
      </c>
      <c r="K15" s="2564"/>
      <c r="L15" s="2564"/>
      <c r="M15" s="2564"/>
      <c r="N15" s="2565"/>
      <c r="O15" s="2563" t="s">
        <v>55</v>
      </c>
      <c r="P15" s="2564"/>
      <c r="Q15" s="2564"/>
      <c r="R15" s="2564"/>
      <c r="S15" s="2565"/>
      <c r="T15" s="2564" t="s">
        <v>57</v>
      </c>
      <c r="U15" s="2564"/>
      <c r="V15" s="2564"/>
      <c r="W15" s="2564"/>
      <c r="X15" s="2565"/>
    </row>
    <row r="16" spans="1:24" x14ac:dyDescent="0.3">
      <c r="A16" t="str">
        <f ca="1">'Smolt to Adult Survival'!A18</f>
        <v>Okanagan - Osoyoos</v>
      </c>
      <c r="B16" s="1461">
        <f ca="1">'Smolt to Adult Survival'!B18</f>
        <v>1994</v>
      </c>
      <c r="C16" s="1699" t="str">
        <f t="shared" ca="1" si="0"/>
        <v/>
      </c>
      <c r="D16" s="444">
        <f t="shared" ca="1" si="1"/>
        <v>24219.032084168335</v>
      </c>
      <c r="E16" s="479" t="str">
        <f t="shared" ca="1" si="2"/>
        <v/>
      </c>
      <c r="F16" s="479">
        <f>'Smolt to Adult Survival'!$N18</f>
        <v>3.5378276155687331E-2</v>
      </c>
      <c r="H16" s="2561"/>
      <c r="I16" s="2562"/>
      <c r="J16" s="488" t="s">
        <v>423</v>
      </c>
      <c r="K16" s="480" t="s">
        <v>424</v>
      </c>
      <c r="L16" s="489" t="s">
        <v>425</v>
      </c>
      <c r="M16" s="493" t="s">
        <v>426</v>
      </c>
      <c r="N16" s="490" t="s">
        <v>427</v>
      </c>
      <c r="O16" s="488" t="s">
        <v>423</v>
      </c>
      <c r="P16" s="480" t="s">
        <v>424</v>
      </c>
      <c r="Q16" s="489" t="s">
        <v>425</v>
      </c>
      <c r="R16" s="493" t="s">
        <v>426</v>
      </c>
      <c r="S16" s="490" t="s">
        <v>427</v>
      </c>
      <c r="T16" s="480" t="s">
        <v>423</v>
      </c>
      <c r="U16" s="480" t="s">
        <v>424</v>
      </c>
      <c r="V16" s="489" t="s">
        <v>425</v>
      </c>
      <c r="W16" s="493" t="s">
        <v>426</v>
      </c>
      <c r="X16" s="490" t="s">
        <v>427</v>
      </c>
    </row>
    <row r="17" spans="1:25" x14ac:dyDescent="0.3">
      <c r="A17" t="str">
        <f ca="1">'Smolt to Adult Survival'!A19</f>
        <v>Okanagan - Osoyoos</v>
      </c>
      <c r="B17" s="1461">
        <f ca="1">'Smolt to Adult Survival'!B19</f>
        <v>1995</v>
      </c>
      <c r="C17" s="1699" t="str">
        <f t="shared" ca="1" si="0"/>
        <v/>
      </c>
      <c r="D17" s="444">
        <f t="shared" ca="1" si="1"/>
        <v>37520.464999999997</v>
      </c>
      <c r="E17" s="479" t="str">
        <f t="shared" ca="1" si="2"/>
        <v/>
      </c>
      <c r="F17" s="479">
        <f>'Smolt to Adult Survival'!$N19</f>
        <v>3.7939904219547349E-2</v>
      </c>
      <c r="H17" s="484" t="s">
        <v>428</v>
      </c>
      <c r="I17" s="986" t="str">
        <f ca="1">$B$20 &amp; "-" &amp; $B$23</f>
        <v>1998-2001</v>
      </c>
      <c r="J17" s="1060">
        <f ca="1">COUNT($C$20:$C$23)</f>
        <v>4</v>
      </c>
      <c r="K17" s="522">
        <f ca="1">MIN($C$20:$C$23)</f>
        <v>281333</v>
      </c>
      <c r="L17" s="522">
        <f ca="1">AVERAGE($C$20:$C$23)</f>
        <v>1509210.75</v>
      </c>
      <c r="M17" s="522">
        <f ca="1">MAX($C$20:$C$23)</f>
        <v>3099743</v>
      </c>
      <c r="N17" s="481">
        <f ca="1">_xlfn.STDEV.S($C$20:$C$23)</f>
        <v>1173516.5053752973</v>
      </c>
      <c r="O17" s="1060">
        <f ca="1">J17</f>
        <v>4</v>
      </c>
      <c r="P17" s="523">
        <f ca="1">MIN($D$20:$D$23)</f>
        <v>17167.268944878469</v>
      </c>
      <c r="Q17" s="522">
        <f ca="1">AVERAGE($D$20:$D$23)</f>
        <v>52128.201278766071</v>
      </c>
      <c r="R17" s="524">
        <f ca="1">MAX($D$20:$D$23)</f>
        <v>92990.339670113375</v>
      </c>
      <c r="S17" s="481">
        <f ca="1">_xlfn.STDEV.S($D$20:$D$23)</f>
        <v>34431.315284034659</v>
      </c>
      <c r="T17" s="1060">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61">
        <f ca="1">'Smolt to Adult Survival'!B20</f>
        <v>1996</v>
      </c>
      <c r="C18" s="1699" t="str">
        <f t="shared" ca="1" si="0"/>
        <v/>
      </c>
      <c r="D18" s="444">
        <f t="shared" ca="1" si="1"/>
        <v>6404.0999999999995</v>
      </c>
      <c r="E18" s="479" t="str">
        <f t="shared" ca="1" si="2"/>
        <v/>
      </c>
      <c r="F18" s="479">
        <f>'Smolt to Adult Survival'!$N20</f>
        <v>4.4263157276658464E-2</v>
      </c>
      <c r="H18" s="486" t="s">
        <v>429</v>
      </c>
      <c r="I18" s="987"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140909.13037049121</v>
      </c>
      <c r="R18" s="527">
        <f ca="1">MAX($D$24:$D$41)</f>
        <v>407786.91400662879</v>
      </c>
      <c r="S18" s="481">
        <f ca="1">_xlfn.STDEV.S($D$24:$D$41)</f>
        <v>120650.60221196085</v>
      </c>
      <c r="T18" s="494">
        <f ca="1">J18</f>
        <v>18</v>
      </c>
      <c r="U18" s="529">
        <f ca="1">MIN($E$24:$E$41)</f>
        <v>6.7769373373122877E-3</v>
      </c>
      <c r="V18" s="529">
        <f ca="1">AVERAGE($E$24:$E$41)</f>
        <v>5.6341385819299247E-2</v>
      </c>
      <c r="W18" s="529">
        <f ca="1">MAX($E$24:$E$41)</f>
        <v>0.14666776570815485</v>
      </c>
      <c r="X18" s="485">
        <f ca="1">_xlfn.STDEV.S($E$24:$E$41)</f>
        <v>3.9115880922278162E-2</v>
      </c>
    </row>
    <row r="19" spans="1:25" ht="15" thickBot="1" x14ac:dyDescent="0.35">
      <c r="A19" t="str">
        <f ca="1">'Smolt to Adult Survival'!A21</f>
        <v>Okanagan - Osoyoos</v>
      </c>
      <c r="B19" s="1461">
        <f ca="1">'Smolt to Adult Survival'!B21</f>
        <v>1997</v>
      </c>
      <c r="C19" s="1699" t="str">
        <f t="shared" ca="1" si="0"/>
        <v/>
      </c>
      <c r="D19" s="444">
        <f t="shared" ca="1" si="1"/>
        <v>15323.883141858141</v>
      </c>
      <c r="E19" s="479" t="str">
        <f t="shared" ca="1" si="2"/>
        <v/>
      </c>
      <c r="F19" s="479">
        <f>'Smolt to Adult Survival'!$N21</f>
        <v>3.3486549583931755E-2</v>
      </c>
      <c r="H19" s="945" t="s">
        <v>430</v>
      </c>
      <c r="I19" s="946"/>
      <c r="J19" s="482"/>
      <c r="K19" s="492">
        <f ca="1">(K18-K17)/K17</f>
        <v>1.2317147295198216</v>
      </c>
      <c r="L19" s="492">
        <f ca="1">(L18-L17)/L17</f>
        <v>0.86364073996218815</v>
      </c>
      <c r="M19" s="492">
        <f ca="1">(M18-M17)/M17</f>
        <v>1.4157828568368409</v>
      </c>
      <c r="N19" s="483"/>
      <c r="O19" s="491"/>
      <c r="P19" s="492">
        <f ca="1">(P18-P17)/P17</f>
        <v>-0.27881078273464133</v>
      </c>
      <c r="Q19" s="492">
        <f ca="1">(Q18-Q17)/Q17</f>
        <v>1.7031266553194733</v>
      </c>
      <c r="R19" s="492">
        <f ca="1">(R18-R17)/R17</f>
        <v>3.3852610438166773</v>
      </c>
      <c r="S19" s="483"/>
      <c r="T19" s="487"/>
      <c r="U19" s="492">
        <f ca="1">(U18-U17)/U17</f>
        <v>-0.68567754020757199</v>
      </c>
      <c r="V19" s="492">
        <f ca="1">(V18-V17)/V17</f>
        <v>0.34043871765851591</v>
      </c>
      <c r="W19" s="492">
        <f ca="1">(W18-W17)/W17</f>
        <v>1.4035554322857049</v>
      </c>
      <c r="X19" s="483"/>
    </row>
    <row r="20" spans="1:25" x14ac:dyDescent="0.3">
      <c r="A20" t="str">
        <f ca="1">'Smolt to Adult Survival'!A22</f>
        <v>Okanagan - Osoyoos</v>
      </c>
      <c r="B20" s="1461">
        <f ca="1">'Smolt to Adult Survival'!B22</f>
        <v>1998</v>
      </c>
      <c r="C20" s="1699">
        <f t="shared" ca="1" si="0"/>
        <v>1209167</v>
      </c>
      <c r="D20" s="444">
        <f t="shared" ca="1" si="1"/>
        <v>67165.832689958479</v>
      </c>
      <c r="E20" s="479">
        <f t="shared" ca="1" si="2"/>
        <v>5.5547192976618184E-2</v>
      </c>
      <c r="F20" s="479">
        <f>'Smolt to Adult Survival'!$N22</f>
        <v>6.144307970529414E-2</v>
      </c>
      <c r="H20" s="988" t="s">
        <v>433</v>
      </c>
    </row>
    <row r="21" spans="1:25" x14ac:dyDescent="0.3">
      <c r="A21" t="str">
        <f ca="1">'Smolt to Adult Survival'!A23</f>
        <v>Okanagan - Osoyoos</v>
      </c>
      <c r="B21" s="1461">
        <f ca="1">'Smolt to Adult Survival'!B23</f>
        <v>1999</v>
      </c>
      <c r="C21" s="1699">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1">
        <f ca="1">'Smolt to Adult Survival'!B24</f>
        <v>2000</v>
      </c>
      <c r="C22" s="1699">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1">
        <f ca="1">'Smolt to Adult Survival'!B25</f>
        <v>2001</v>
      </c>
      <c r="C23" s="1699">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7">
        <f ca="1">'Smolt to Adult Survival'!B26</f>
        <v>2002</v>
      </c>
      <c r="C24" s="1698">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7">
        <f ca="1">'Smolt to Adult Survival'!B27</f>
        <v>2003</v>
      </c>
      <c r="C25" s="1698">
        <f t="shared" ca="1" si="0"/>
        <v>2080978</v>
      </c>
      <c r="D25" s="444">
        <f t="shared" ca="1" si="1"/>
        <v>62733.266068811485</v>
      </c>
      <c r="E25" s="479">
        <f t="shared" ca="1" si="2"/>
        <v>3.0146049630900222E-2</v>
      </c>
      <c r="F25" s="479">
        <f>'Smolt to Adult Survival'!$N27</f>
        <v>3.3556154036956755E-2</v>
      </c>
      <c r="H25" s="2566" t="s">
        <v>434</v>
      </c>
      <c r="I25" s="2566"/>
      <c r="J25" s="2566"/>
      <c r="K25" s="2566"/>
      <c r="L25" s="2566"/>
      <c r="M25" s="2566"/>
      <c r="N25" s="2566"/>
      <c r="O25" s="2566"/>
      <c r="P25" s="2566"/>
      <c r="Q25" s="2566"/>
      <c r="R25" s="2566"/>
      <c r="S25" s="2566"/>
      <c r="T25" s="2566"/>
      <c r="U25" s="2566"/>
      <c r="V25" s="2566"/>
      <c r="W25" s="2566"/>
      <c r="X25" s="2566"/>
      <c r="Y25" s="2566"/>
    </row>
    <row r="26" spans="1:25" x14ac:dyDescent="0.3">
      <c r="A26" t="str">
        <f ca="1">'Smolt to Adult Survival'!A28</f>
        <v>Okanagan - Osoyoos</v>
      </c>
      <c r="B26" s="1407">
        <f ca="1">'Smolt to Adult Survival'!B28</f>
        <v>2004</v>
      </c>
      <c r="C26" s="1698">
        <f t="shared" ca="1" si="0"/>
        <v>627855</v>
      </c>
      <c r="D26" s="444">
        <f t="shared" ca="1" si="1"/>
        <v>27600.509991111154</v>
      </c>
      <c r="E26" s="479">
        <f t="shared" ca="1" si="2"/>
        <v>4.3960006675285143E-2</v>
      </c>
      <c r="F26" s="479">
        <f>'Smolt to Adult Survival'!$N28</f>
        <v>4.7738565716686353E-2</v>
      </c>
      <c r="H26" s="1695"/>
      <c r="I26" s="1695"/>
      <c r="J26" s="1695"/>
      <c r="K26" s="1695"/>
      <c r="L26" s="1695"/>
      <c r="M26" s="1695"/>
      <c r="N26" s="1695"/>
      <c r="O26" s="1695"/>
      <c r="P26" s="1695"/>
      <c r="Q26" s="1695"/>
      <c r="R26" s="1695"/>
      <c r="S26" s="1695"/>
      <c r="T26" s="1695"/>
      <c r="U26" s="1695"/>
      <c r="V26" s="1695"/>
      <c r="W26" s="1695"/>
      <c r="X26" s="1695"/>
      <c r="Y26" s="1695"/>
    </row>
    <row r="27" spans="1:25" ht="15" thickBot="1" x14ac:dyDescent="0.35">
      <c r="A27" t="str">
        <f ca="1">'Smolt to Adult Survival'!A29</f>
        <v>Okanagan - Osoyoos</v>
      </c>
      <c r="B27" s="1407">
        <f ca="1">'Smolt to Adult Survival'!B29</f>
        <v>2005</v>
      </c>
      <c r="C27" s="1698">
        <f t="shared" ca="1" si="0"/>
        <v>735805</v>
      </c>
      <c r="D27" s="444">
        <f t="shared" ca="1" si="1"/>
        <v>12380.849252940803</v>
      </c>
      <c r="E27" s="479">
        <f t="shared" ca="1" si="2"/>
        <v>1.6826264095705794E-2</v>
      </c>
      <c r="F27" s="479">
        <f>'Smolt to Adult Survival'!$N29</f>
        <v>2.0397984558742109E-2</v>
      </c>
      <c r="H27" s="1695" t="s">
        <v>422</v>
      </c>
      <c r="I27" s="1695"/>
      <c r="J27" s="1695"/>
      <c r="K27" s="1695"/>
      <c r="L27" s="1695"/>
      <c r="M27" s="1695"/>
      <c r="N27" s="1695"/>
      <c r="O27" s="1695"/>
      <c r="P27" s="1695"/>
      <c r="Q27" s="1695"/>
      <c r="R27" s="1695"/>
      <c r="S27" s="1695"/>
      <c r="T27" s="1695"/>
      <c r="U27" s="1695"/>
      <c r="V27" s="1695"/>
      <c r="W27" s="1695"/>
      <c r="X27" s="1695"/>
      <c r="Y27" s="1695"/>
    </row>
    <row r="28" spans="1:25" ht="15" thickBot="1" x14ac:dyDescent="0.35">
      <c r="A28" t="str">
        <f ca="1">'Smolt to Adult Survival'!A30</f>
        <v>Okanagan - Osoyoos</v>
      </c>
      <c r="B28" s="1695">
        <f ca="1">'Smolt to Adult Survival'!B30</f>
        <v>2006</v>
      </c>
      <c r="C28" s="1697">
        <f t="shared" ca="1" si="0"/>
        <v>1783500</v>
      </c>
      <c r="D28" s="444">
        <f t="shared" ca="1" si="1"/>
        <v>184173.70354186368</v>
      </c>
      <c r="E28" s="479">
        <f t="shared" ca="1" si="2"/>
        <v>0.10326532298394375</v>
      </c>
      <c r="F28" s="479">
        <f>'Smolt to Adult Survival'!$N30</f>
        <v>0.11217865877846928</v>
      </c>
      <c r="H28" s="2559" t="s">
        <v>432</v>
      </c>
      <c r="I28" s="2560"/>
      <c r="J28" s="2563" t="s">
        <v>53</v>
      </c>
      <c r="K28" s="2564"/>
      <c r="L28" s="2564"/>
      <c r="M28" s="2564"/>
      <c r="N28" s="2565"/>
      <c r="O28" s="2563" t="s">
        <v>55</v>
      </c>
      <c r="P28" s="2564"/>
      <c r="Q28" s="2564"/>
      <c r="R28" s="2564"/>
      <c r="S28" s="2565"/>
      <c r="T28" s="2564" t="s">
        <v>57</v>
      </c>
      <c r="U28" s="2564"/>
      <c r="V28" s="2564"/>
      <c r="W28" s="2564"/>
      <c r="X28" s="2565"/>
      <c r="Y28" s="1695"/>
    </row>
    <row r="29" spans="1:25" x14ac:dyDescent="0.3">
      <c r="A29" t="str">
        <f ca="1">'Smolt to Adult Survival'!A31</f>
        <v>Okanagan - Osoyoos</v>
      </c>
      <c r="B29" s="1695">
        <f ca="1">'Smolt to Adult Survival'!B31</f>
        <v>2007</v>
      </c>
      <c r="C29" s="1697">
        <f t="shared" ca="1" si="0"/>
        <v>2026709</v>
      </c>
      <c r="D29" s="444">
        <f t="shared" ca="1" si="1"/>
        <v>154934.96016959855</v>
      </c>
      <c r="E29" s="479">
        <f t="shared" ca="1" si="2"/>
        <v>7.6446574308200413E-2</v>
      </c>
      <c r="F29" s="479">
        <f>'Smolt to Adult Survival'!$N31</f>
        <v>7.492712185613648E-2</v>
      </c>
      <c r="H29" s="2561"/>
      <c r="I29" s="2562"/>
      <c r="J29" s="488" t="s">
        <v>423</v>
      </c>
      <c r="K29" s="480" t="s">
        <v>424</v>
      </c>
      <c r="L29" s="489" t="s">
        <v>425</v>
      </c>
      <c r="M29" s="493" t="s">
        <v>426</v>
      </c>
      <c r="N29" s="490" t="s">
        <v>427</v>
      </c>
      <c r="O29" s="488" t="s">
        <v>423</v>
      </c>
      <c r="P29" s="480" t="s">
        <v>424</v>
      </c>
      <c r="Q29" s="489" t="s">
        <v>425</v>
      </c>
      <c r="R29" s="493" t="s">
        <v>426</v>
      </c>
      <c r="S29" s="490" t="s">
        <v>427</v>
      </c>
      <c r="T29" s="480" t="s">
        <v>423</v>
      </c>
      <c r="U29" s="480" t="s">
        <v>424</v>
      </c>
      <c r="V29" s="489" t="s">
        <v>425</v>
      </c>
      <c r="W29" s="493" t="s">
        <v>426</v>
      </c>
      <c r="X29" s="490" t="s">
        <v>427</v>
      </c>
      <c r="Y29" s="1695"/>
    </row>
    <row r="30" spans="1:25" x14ac:dyDescent="0.3">
      <c r="A30" t="str">
        <f ca="1">'Smolt to Adult Survival'!A32</f>
        <v>Okanagan - Osoyoos</v>
      </c>
      <c r="B30" s="1695">
        <f ca="1">'Smolt to Adult Survival'!B32</f>
        <v>2008</v>
      </c>
      <c r="C30" s="1697">
        <f t="shared" ca="1" si="0"/>
        <v>2133694</v>
      </c>
      <c r="D30" s="444">
        <f t="shared" ca="1" si="1"/>
        <v>312944.13168489572</v>
      </c>
      <c r="E30" s="479">
        <f t="shared" ca="1" si="2"/>
        <v>0.14666776570815485</v>
      </c>
      <c r="F30" s="479">
        <f>'Smolt to Adult Survival'!$N32</f>
        <v>0.15349159798354994</v>
      </c>
      <c r="H30" s="484" t="s">
        <v>428</v>
      </c>
      <c r="I30" s="986"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39330.496649630848</v>
      </c>
      <c r="R30" s="524">
        <f ca="1">MAX($D$7:$D$27)</f>
        <v>126229.20999999999</v>
      </c>
      <c r="S30" s="481">
        <f ca="1">_xlfn.STDEV.S($D$7:$D$27)</f>
        <v>37195.247978096733</v>
      </c>
      <c r="T30" s="494">
        <f ca="1">COUNT($E$7:$E$27)</f>
        <v>8</v>
      </c>
      <c r="U30" s="528">
        <f ca="1">MIN($E$7:$E$27)</f>
        <v>1.6826264095705794E-2</v>
      </c>
      <c r="V30" s="528">
        <f ca="1">AVERAGE($E$7:$E$27)</f>
        <v>3.6273414231861409E-2</v>
      </c>
      <c r="W30" s="528">
        <f ca="1">MAX($E$7:$E$27)</f>
        <v>6.10211704452676E-2</v>
      </c>
      <c r="X30" s="485">
        <f ca="1">_xlfn.STDEV.S($E$7:$E$27)</f>
        <v>1.5771005001138962E-2</v>
      </c>
      <c r="Y30" s="1695"/>
    </row>
    <row r="31" spans="1:25" x14ac:dyDescent="0.3">
      <c r="A31" t="str">
        <f ca="1">'Smolt to Adult Survival'!A33</f>
        <v>Okanagan - Osoyoos</v>
      </c>
      <c r="B31" s="1695">
        <f ca="1">'Smolt to Adult Survival'!B33</f>
        <v>2009</v>
      </c>
      <c r="C31" s="1697">
        <f t="shared" ca="1" si="0"/>
        <v>875327</v>
      </c>
      <c r="D31" s="444">
        <f t="shared" ca="1" si="1"/>
        <v>63248.299193292129</v>
      </c>
      <c r="E31" s="479">
        <f t="shared" ca="1" si="2"/>
        <v>7.2256767120507118E-2</v>
      </c>
      <c r="F31" s="479">
        <f>'Smolt to Adult Survival'!$N33</f>
        <v>0.11988290780528595</v>
      </c>
      <c r="H31" s="486" t="s">
        <v>429</v>
      </c>
      <c r="I31" s="987"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167324.37890684669</v>
      </c>
      <c r="R31" s="527">
        <f ca="1">MAX($D$28:$D$41)</f>
        <v>407786.91400662879</v>
      </c>
      <c r="S31" s="481">
        <f ca="1">_xlfn.STDEV.S($D$28:$D$41)</f>
        <v>123955.01619596303</v>
      </c>
      <c r="T31" s="494">
        <f ca="1">COUNT($E$28:$E$41)</f>
        <v>14</v>
      </c>
      <c r="U31" s="529">
        <f ca="1">MIN($E$28:$E$41)</f>
        <v>6.7769373373122877E-3</v>
      </c>
      <c r="V31" s="529">
        <f ca="1">AVERAGE($E$28:$E$41)</f>
        <v>6.3720416197479576E-2</v>
      </c>
      <c r="W31" s="529">
        <f ca="1">MAX($E$28:$E$41)</f>
        <v>0.14666776570815485</v>
      </c>
      <c r="X31" s="485">
        <f ca="1">_xlfn.STDEV.S($E$28:$E$41)</f>
        <v>4.1335280742345153E-2</v>
      </c>
      <c r="Y31" s="1695"/>
    </row>
    <row r="32" spans="1:25" ht="15" thickBot="1" x14ac:dyDescent="0.35">
      <c r="A32" t="str">
        <f ca="1">'Smolt to Adult Survival'!A34</f>
        <v>Okanagan - Osoyoos</v>
      </c>
      <c r="B32" s="1695">
        <f ca="1">'Smolt to Adult Survival'!B34</f>
        <v>2010</v>
      </c>
      <c r="C32" s="1697">
        <f t="shared" ca="1" si="0"/>
        <v>7488306</v>
      </c>
      <c r="D32" s="444">
        <f t="shared" ca="1" si="1"/>
        <v>407786.91400662879</v>
      </c>
      <c r="E32" s="479">
        <f t="shared" ca="1" si="2"/>
        <v>5.445649710450251E-2</v>
      </c>
      <c r="F32" s="479">
        <f>'Smolt to Adult Survival'!$N34</f>
        <v>5.0908653571705154E-2</v>
      </c>
      <c r="H32" s="945" t="s">
        <v>430</v>
      </c>
      <c r="I32" s="946"/>
      <c r="J32" s="482"/>
      <c r="K32" s="492">
        <f ca="1">(K31-K30)/K30</f>
        <v>1.8878215495515991</v>
      </c>
      <c r="L32" s="492">
        <f ca="1">(L31-L30)/L30</f>
        <v>1.0380346728040928</v>
      </c>
      <c r="M32" s="492">
        <f ca="1">(M31-M30)/M30</f>
        <v>1.4157828568368409</v>
      </c>
      <c r="N32" s="483"/>
      <c r="O32" s="491"/>
      <c r="P32" s="492">
        <f ca="1">(P31-P30)/P30</f>
        <v>38.084603020917243</v>
      </c>
      <c r="Q32" s="492">
        <f ca="1">(Q31-Q30)/Q30</f>
        <v>3.2543164506013724</v>
      </c>
      <c r="R32" s="492">
        <f ca="1">(R31-R30)/R30</f>
        <v>2.2305273399606071</v>
      </c>
      <c r="S32" s="483"/>
      <c r="T32" s="487"/>
      <c r="U32" s="492">
        <f ca="1">(U31-U30)/U30</f>
        <v>-0.59724052239012348</v>
      </c>
      <c r="V32" s="492">
        <f ca="1">(V31-V30)/V30</f>
        <v>0.75666993435400398</v>
      </c>
      <c r="W32" s="492">
        <f ca="1">(W31-W30)/W30</f>
        <v>1.4035554322857049</v>
      </c>
      <c r="X32" s="483"/>
      <c r="Y32" s="1695"/>
    </row>
    <row r="33" spans="1:25" x14ac:dyDescent="0.3">
      <c r="A33" t="str">
        <f ca="1">'Smolt to Adult Survival'!A35</f>
        <v>Okanagan - Osoyoos</v>
      </c>
      <c r="B33" s="1695">
        <f ca="1">'Smolt to Adult Survival'!B35</f>
        <v>2011</v>
      </c>
      <c r="C33" s="1697">
        <f t="shared" ca="1" si="0"/>
        <v>812439.5</v>
      </c>
      <c r="D33" s="444">
        <f t="shared" ca="1" si="1"/>
        <v>91699.771721635712</v>
      </c>
      <c r="E33" s="479">
        <f t="shared" ca="1" si="2"/>
        <v>0.11286966195222624</v>
      </c>
      <c r="F33" s="479">
        <f>'Smolt to Adult Survival'!$N35</f>
        <v>0.1009832291752924</v>
      </c>
      <c r="H33" s="1696" t="s">
        <v>435</v>
      </c>
      <c r="I33" s="1695"/>
      <c r="J33" s="1695"/>
      <c r="K33" s="1695"/>
      <c r="L33" s="1695"/>
      <c r="M33" s="1695"/>
      <c r="N33" s="1695"/>
      <c r="O33" s="1695"/>
      <c r="P33" s="1695"/>
      <c r="Q33" s="1695"/>
      <c r="R33" s="1695"/>
      <c r="S33" s="1695"/>
      <c r="T33" s="1695"/>
      <c r="U33" s="1695"/>
      <c r="V33" s="1695"/>
      <c r="W33" s="1695"/>
      <c r="X33" s="1695"/>
      <c r="Y33" s="1695"/>
    </row>
    <row r="34" spans="1:25" x14ac:dyDescent="0.3">
      <c r="A34" t="str">
        <f ca="1">'Smolt to Adult Survival'!A36</f>
        <v>Okanagan - Osoyoos</v>
      </c>
      <c r="B34" s="1695">
        <f ca="1">'Smolt to Adult Survival'!B36</f>
        <v>2012</v>
      </c>
      <c r="C34" s="1697">
        <f t="shared" ca="1" si="0"/>
        <v>4435800</v>
      </c>
      <c r="D34" s="444">
        <f t="shared" ca="1" si="1"/>
        <v>380453.87316328625</v>
      </c>
      <c r="E34" s="479">
        <f t="shared" ca="1" si="2"/>
        <v>8.57689420540345E-2</v>
      </c>
      <c r="F34" s="479">
        <f>'Smolt to Adult Survival'!$N36</f>
        <v>7.8080385190453766E-2</v>
      </c>
      <c r="H34" s="1695"/>
      <c r="I34" s="1695"/>
      <c r="J34" s="1695"/>
      <c r="K34" s="1695"/>
      <c r="L34" s="1695"/>
      <c r="M34" s="1695"/>
      <c r="N34" s="1695"/>
      <c r="O34" s="1695"/>
      <c r="P34" s="1695"/>
      <c r="Q34" s="1695"/>
      <c r="R34" s="1695"/>
      <c r="S34" s="1695"/>
      <c r="T34" s="1695"/>
      <c r="U34" s="1695"/>
      <c r="V34" s="1695"/>
      <c r="W34" s="1695"/>
      <c r="X34" s="1695"/>
      <c r="Y34" s="1695"/>
    </row>
    <row r="35" spans="1:25" ht="15" thickBot="1" x14ac:dyDescent="0.35">
      <c r="A35" t="str">
        <f ca="1">'Smolt to Adult Survival'!A37</f>
        <v>Okanagan - Osoyoos</v>
      </c>
      <c r="B35" s="1695">
        <f ca="1">'Smolt to Adult Survival'!B37</f>
        <v>2013</v>
      </c>
      <c r="C35" s="1697">
        <f t="shared" ca="1" si="0"/>
        <v>2603607</v>
      </c>
      <c r="D35" s="444">
        <f t="shared" ca="1" si="1"/>
        <v>202288.35496941817</v>
      </c>
      <c r="E35" s="479">
        <f t="shared" ca="1" si="2"/>
        <v>7.7695425987646435E-2</v>
      </c>
      <c r="F35" s="479">
        <f>'Smolt to Adult Survival'!$N37</f>
        <v>9.5248405954512894E-2</v>
      </c>
      <c r="H35" s="1695" t="s">
        <v>422</v>
      </c>
      <c r="I35" s="1695"/>
      <c r="J35" s="1695"/>
      <c r="K35" s="1695"/>
      <c r="L35" s="1695"/>
      <c r="M35" s="1695"/>
      <c r="N35" s="1695"/>
      <c r="O35" s="1695"/>
      <c r="P35" s="1695"/>
      <c r="Q35" s="1695"/>
      <c r="R35" s="1695"/>
      <c r="S35" s="1695"/>
      <c r="T35" s="1695"/>
      <c r="U35" s="1695"/>
      <c r="V35" s="1695"/>
      <c r="W35" s="1695"/>
      <c r="X35" s="1695"/>
      <c r="Y35" s="1695"/>
    </row>
    <row r="36" spans="1:25" ht="15" thickBot="1" x14ac:dyDescent="0.35">
      <c r="A36" t="str">
        <f ca="1">'Smolt to Adult Survival'!A38</f>
        <v>Okanagan - Osoyoos</v>
      </c>
      <c r="B36" s="1695">
        <f ca="1">'Smolt to Adult Survival'!B38</f>
        <v>2014</v>
      </c>
      <c r="C36" s="1697">
        <f t="shared" ca="1" si="0"/>
        <v>4938991</v>
      </c>
      <c r="D36" s="444">
        <f t="shared" ca="1" si="1"/>
        <v>160981.39925388093</v>
      </c>
      <c r="E36" s="479">
        <f t="shared" ca="1" si="2"/>
        <v>3.2593985138640855E-2</v>
      </c>
      <c r="F36" s="479">
        <f>'Smolt to Adult Survival'!$N38</f>
        <v>3.0218468265459993E-2</v>
      </c>
      <c r="H36" s="2559" t="s">
        <v>432</v>
      </c>
      <c r="I36" s="2560"/>
      <c r="J36" s="2563" t="s">
        <v>53</v>
      </c>
      <c r="K36" s="2564"/>
      <c r="L36" s="2564"/>
      <c r="M36" s="2564"/>
      <c r="N36" s="2565"/>
      <c r="O36" s="2563" t="s">
        <v>55</v>
      </c>
      <c r="P36" s="2564"/>
      <c r="Q36" s="2564"/>
      <c r="R36" s="2564"/>
      <c r="S36" s="2565"/>
      <c r="T36" s="2564" t="s">
        <v>57</v>
      </c>
      <c r="U36" s="2564"/>
      <c r="V36" s="2564"/>
      <c r="W36" s="2564"/>
      <c r="X36" s="2565"/>
      <c r="Y36" s="1695"/>
    </row>
    <row r="37" spans="1:25" x14ac:dyDescent="0.3">
      <c r="A37" t="str">
        <f ca="1">'Smolt to Adult Survival'!A39</f>
        <v>Okanagan - Osoyoos</v>
      </c>
      <c r="B37" s="1695">
        <f ca="1">'Smolt to Adult Survival'!B39</f>
        <v>2015</v>
      </c>
      <c r="C37" s="1697">
        <f t="shared" ca="1" si="0"/>
        <v>2209546</v>
      </c>
      <c r="D37" s="444">
        <f t="shared" ca="1" si="1"/>
        <v>14973.954785909016</v>
      </c>
      <c r="E37" s="479">
        <f t="shared" ca="1" si="2"/>
        <v>6.7769373373122877E-3</v>
      </c>
      <c r="F37" s="479">
        <f>'Smolt to Adult Survival'!$N39</f>
        <v>4.8105785401754333E-3</v>
      </c>
      <c r="H37" s="2561"/>
      <c r="I37" s="2562"/>
      <c r="J37" s="488" t="s">
        <v>423</v>
      </c>
      <c r="K37" s="480" t="s">
        <v>424</v>
      </c>
      <c r="L37" s="489" t="s">
        <v>425</v>
      </c>
      <c r="M37" s="493" t="s">
        <v>426</v>
      </c>
      <c r="N37" s="490" t="s">
        <v>427</v>
      </c>
      <c r="O37" s="488" t="s">
        <v>423</v>
      </c>
      <c r="P37" s="480" t="s">
        <v>424</v>
      </c>
      <c r="Q37" s="489" t="s">
        <v>425</v>
      </c>
      <c r="R37" s="493" t="s">
        <v>426</v>
      </c>
      <c r="S37" s="490" t="s">
        <v>427</v>
      </c>
      <c r="T37" s="480" t="s">
        <v>423</v>
      </c>
      <c r="U37" s="480" t="s">
        <v>424</v>
      </c>
      <c r="V37" s="489" t="s">
        <v>425</v>
      </c>
      <c r="W37" s="493" t="s">
        <v>426</v>
      </c>
      <c r="X37" s="490" t="s">
        <v>427</v>
      </c>
      <c r="Y37" s="1695"/>
    </row>
    <row r="38" spans="1:25" x14ac:dyDescent="0.3">
      <c r="A38" t="str">
        <f ca="1">'Smolt to Adult Survival'!A40</f>
        <v>Okanagan - Osoyoos</v>
      </c>
      <c r="B38" s="1695">
        <f ca="1">'Smolt to Adult Survival'!B40</f>
        <v>2016</v>
      </c>
      <c r="C38" s="1697">
        <f t="shared" ca="1" si="0"/>
        <v>7383151</v>
      </c>
      <c r="D38" s="444">
        <f t="shared" ca="1" si="1"/>
        <v>87673.05484735471</v>
      </c>
      <c r="E38" s="479">
        <f t="shared" ca="1" si="2"/>
        <v>1.1874747631106923E-2</v>
      </c>
      <c r="F38" s="479">
        <f>'Smolt to Adult Survival'!$N40</f>
        <v>1.206128491074215E-2</v>
      </c>
      <c r="H38" s="484" t="s">
        <v>428</v>
      </c>
      <c r="I38" s="986" t="str">
        <f ca="1">$B$20 &amp; "-" &amp; $B$27</f>
        <v>1998-2005</v>
      </c>
      <c r="J38" s="1060">
        <f ca="1">COUNT($C$20:$C$27)</f>
        <v>8</v>
      </c>
      <c r="K38" s="522">
        <f ca="1">MIN($C$20:$C$27)</f>
        <v>281333</v>
      </c>
      <c r="L38" s="522">
        <f ca="1">AVERAGE($C$20:$C$27)</f>
        <v>1551061.25</v>
      </c>
      <c r="M38" s="522">
        <f ca="1">MAX($C$20:$C$27)</f>
        <v>3099743</v>
      </c>
      <c r="N38" s="481">
        <f ca="1">_xlfn.STDEV.S($C$20:$C$27)</f>
        <v>1057586.560349925</v>
      </c>
      <c r="O38" s="1060">
        <f ca="1">COUNT($D$20:$D$27)</f>
        <v>8</v>
      </c>
      <c r="P38" s="523">
        <f ca="1">MIN($D$20:$D$27)</f>
        <v>12380.849252940803</v>
      </c>
      <c r="Q38" s="522">
        <f ca="1">AVERAGE($D$20:$D$27)</f>
        <v>50291.980886006531</v>
      </c>
      <c r="R38" s="524">
        <f ca="1">MAX($D$20:$D$27)</f>
        <v>92990.339670113375</v>
      </c>
      <c r="S38" s="481">
        <f ca="1">_xlfn.STDEV.S($D$20:$D$27)</f>
        <v>32388.174643720635</v>
      </c>
      <c r="T38" s="1060">
        <f ca="1">COUNT($E$20:$E$27)</f>
        <v>8</v>
      </c>
      <c r="U38" s="528">
        <f ca="1">MIN($E$20:$E$27)</f>
        <v>1.6826264095705794E-2</v>
      </c>
      <c r="V38" s="528">
        <f ca="1">AVERAGE($E$20:$E$27)</f>
        <v>3.6273414231861409E-2</v>
      </c>
      <c r="W38" s="528">
        <f ca="1">MAX($E$20:$E$27)</f>
        <v>6.10211704452676E-2</v>
      </c>
      <c r="X38" s="485">
        <f ca="1">_xlfn.STDEV.S($E$20:$E$27)</f>
        <v>1.5771005001138962E-2</v>
      </c>
      <c r="Y38" s="1695"/>
    </row>
    <row r="39" spans="1:25" x14ac:dyDescent="0.3">
      <c r="A39" t="str">
        <f ca="1">'Smolt to Adult Survival'!A41</f>
        <v>Okanagan - Osoyoos</v>
      </c>
      <c r="B39" s="1695">
        <f ca="1">'Smolt to Adult Survival'!B41</f>
        <v>2017</v>
      </c>
      <c r="C39" s="1697">
        <f t="shared" ca="1" si="0"/>
        <v>1885712</v>
      </c>
      <c r="D39" s="444">
        <f t="shared" ca="1" si="1"/>
        <v>18276.319408122064</v>
      </c>
      <c r="E39" s="479">
        <f t="shared" ca="1" si="2"/>
        <v>9.6919993127911712E-3</v>
      </c>
      <c r="F39" s="479">
        <f>'Smolt to Adult Survival'!$N41</f>
        <v>7.1579256306389602E-3</v>
      </c>
      <c r="H39" s="486" t="s">
        <v>429</v>
      </c>
      <c r="I39" s="987"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167324.37890684669</v>
      </c>
      <c r="R39" s="527">
        <f ca="1">MAX($D$28:$D$41)</f>
        <v>407786.91400662879</v>
      </c>
      <c r="S39" s="481">
        <f ca="1">_xlfn.STDEV.S($D$28:$D$41)</f>
        <v>123955.01619596303</v>
      </c>
      <c r="T39" s="494">
        <f ca="1">COUNT($E$28:$E$41)</f>
        <v>14</v>
      </c>
      <c r="U39" s="529">
        <f ca="1">MIN($E$28:$E$41)</f>
        <v>6.7769373373122877E-3</v>
      </c>
      <c r="V39" s="529">
        <f ca="1">AVERAGE($E$28:$E$41)</f>
        <v>6.3720416197479576E-2</v>
      </c>
      <c r="W39" s="529">
        <f ca="1">MAX($E$28:$E$41)</f>
        <v>0.14666776570815485</v>
      </c>
      <c r="X39" s="485">
        <f ca="1">_xlfn.STDEV.S($E$28:$E$41)</f>
        <v>4.1335280742345153E-2</v>
      </c>
      <c r="Y39" s="1695"/>
    </row>
    <row r="40" spans="1:25" ht="15" thickBot="1" x14ac:dyDescent="0.35">
      <c r="A40" t="str">
        <f ca="1">'Smolt to Adult Survival'!A42</f>
        <v>Okanagan - Osoyoos</v>
      </c>
      <c r="B40" s="1695">
        <f ca="1">'Smolt to Adult Survival'!B42</f>
        <v>2018</v>
      </c>
      <c r="C40" s="1697">
        <f t="shared" ca="1" si="0"/>
        <v>4122796</v>
      </c>
      <c r="D40" s="444">
        <f t="shared" ca="1" si="1"/>
        <v>168370.40175659824</v>
      </c>
      <c r="E40" s="479">
        <f t="shared" ca="1" si="2"/>
        <v>4.0838887433818756E-2</v>
      </c>
      <c r="F40" s="479">
        <f>'Smolt to Adult Survival'!$N42</f>
        <v>7.7963252451873424E-2</v>
      </c>
      <c r="H40" s="945" t="s">
        <v>430</v>
      </c>
      <c r="I40" s="946"/>
      <c r="J40" s="482"/>
      <c r="K40" s="492">
        <f ca="1">(K39-K38)/K38</f>
        <v>1.8878215495515991</v>
      </c>
      <c r="L40" s="492">
        <f ca="1">(L39-L38)/L38</f>
        <v>1.0380346728040928</v>
      </c>
      <c r="M40" s="492">
        <f ca="1">(M39-M38)/M38</f>
        <v>1.4157828568368409</v>
      </c>
      <c r="N40" s="483"/>
      <c r="O40" s="491"/>
      <c r="P40" s="492">
        <f ca="1">(P39-P38)/P38</f>
        <v>0.20944488378713413</v>
      </c>
      <c r="Q40" s="492">
        <f ca="1">(Q39-Q38)/Q38</f>
        <v>2.3270588264580327</v>
      </c>
      <c r="R40" s="492">
        <f ca="1">(R39-R38)/R38</f>
        <v>3.3852610438166773</v>
      </c>
      <c r="S40" s="483"/>
      <c r="T40" s="487"/>
      <c r="U40" s="492">
        <f ca="1">(U39-U38)/U38</f>
        <v>-0.59724052239012348</v>
      </c>
      <c r="V40" s="492">
        <f ca="1">(V39-V38)/V38</f>
        <v>0.75666993435400398</v>
      </c>
      <c r="W40" s="492">
        <f ca="1">(W39-W38)/W38</f>
        <v>1.4035554322857049</v>
      </c>
      <c r="X40" s="483"/>
      <c r="Y40" s="1695"/>
    </row>
    <row r="41" spans="1:25" x14ac:dyDescent="0.3">
      <c r="A41" t="str">
        <f ca="1">'Smolt to Adult Survival'!A43</f>
        <v>Okanagan - Osoyoos</v>
      </c>
      <c r="B41" s="1695">
        <f ca="1">'Smolt to Adult Survival'!B43</f>
        <v>2019</v>
      </c>
      <c r="C41" s="1697">
        <f t="shared" ca="1" si="0"/>
        <v>1556054</v>
      </c>
      <c r="D41" s="444">
        <f t="shared" ca="1" si="1"/>
        <v>94736.166193369922</v>
      </c>
      <c r="E41" s="479">
        <f t="shared" ca="1" si="2"/>
        <v>6.0882312691828123E-2</v>
      </c>
      <c r="F41" s="479">
        <f>'Smolt to Adult Survival'!$N43</f>
        <v>5.2299011063759782E-2</v>
      </c>
      <c r="H41" s="1696" t="s">
        <v>436</v>
      </c>
      <c r="I41" s="1695"/>
      <c r="J41" s="1695"/>
      <c r="K41" s="1695"/>
      <c r="L41" s="1695"/>
      <c r="M41" s="1695"/>
      <c r="N41" s="1695"/>
      <c r="O41" s="1695"/>
      <c r="P41" s="1695"/>
      <c r="Q41" s="1695"/>
      <c r="R41" s="1695"/>
      <c r="S41" s="1695"/>
      <c r="T41" s="1695"/>
      <c r="U41" s="1695"/>
      <c r="V41" s="1695"/>
      <c r="W41" s="1695"/>
      <c r="X41" s="1695"/>
      <c r="Y41" s="1695"/>
    </row>
    <row r="42" spans="1:25" x14ac:dyDescent="0.3">
      <c r="A42" t="str">
        <f ca="1">'Smolt to Adult Survival'!A44</f>
        <v>Okanagan - Osoyoos</v>
      </c>
      <c r="B42">
        <f ca="1">'Smolt to Adult Survival'!B44</f>
        <v>2020</v>
      </c>
      <c r="C42" s="444">
        <f t="shared" ca="1" si="0"/>
        <v>2540161</v>
      </c>
      <c r="D42" s="444">
        <f t="shared" ca="1" si="1"/>
        <v>377525.21545788232</v>
      </c>
      <c r="E42" s="479">
        <f t="shared" ca="1" si="2"/>
        <v>0.14862255402625357</v>
      </c>
      <c r="F42" s="479">
        <f>'Smolt to Adult Survival'!$N44</f>
        <v>0.19379102035998286</v>
      </c>
      <c r="H42" s="1695"/>
      <c r="I42" s="1695"/>
      <c r="J42" s="1695"/>
      <c r="K42" s="1695"/>
      <c r="L42" s="1695"/>
      <c r="M42" s="1695"/>
      <c r="N42" s="1695"/>
      <c r="O42" s="1695"/>
      <c r="P42" s="1695"/>
      <c r="Q42" s="1695"/>
      <c r="R42" s="1695"/>
      <c r="S42" s="1695"/>
      <c r="T42" s="1695"/>
      <c r="U42" s="1695"/>
      <c r="V42" s="1695"/>
      <c r="W42" s="1695"/>
      <c r="X42" s="1695"/>
      <c r="Y42" s="1695"/>
    </row>
    <row r="43" spans="1:25" x14ac:dyDescent="0.3">
      <c r="A43" t="str">
        <f ca="1">'Smolt to Adult Survival'!A45</f>
        <v>Okanagan - Osoyoos</v>
      </c>
      <c r="B43">
        <f ca="1">'Smolt to Adult Survival'!B45</f>
        <v>2021</v>
      </c>
      <c r="C43" s="444">
        <f t="shared" ca="1" si="0"/>
        <v>1464091</v>
      </c>
      <c r="D43" s="444">
        <f t="shared" ca="1" si="1"/>
        <v>110735.64509841938</v>
      </c>
      <c r="E43" s="479">
        <f t="shared" ca="1" si="2"/>
        <v>7.5634400524570794E-2</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566" t="s">
        <v>437</v>
      </c>
      <c r="I46" s="2566"/>
      <c r="J46" s="2566"/>
      <c r="K46" s="2566"/>
      <c r="L46" s="2566"/>
      <c r="M46" s="2566"/>
      <c r="N46" s="2566"/>
      <c r="O46" s="2566"/>
      <c r="P46" s="2566"/>
      <c r="Q46" s="2566"/>
      <c r="R46" s="2566"/>
      <c r="S46" s="2566"/>
      <c r="T46" s="2566"/>
      <c r="U46" s="2566"/>
      <c r="V46" s="2566"/>
      <c r="W46" s="2566"/>
      <c r="X46" s="2566"/>
      <c r="Y46" s="2566"/>
    </row>
    <row r="47" spans="1:25" x14ac:dyDescent="0.3">
      <c r="A47" t="str">
        <f ca="1">'Smolt to Adult Survival'!A49</f>
        <v/>
      </c>
      <c r="B47" t="str">
        <f ca="1">'Smolt to Adult Survival'!B49</f>
        <v/>
      </c>
      <c r="C47" s="444"/>
      <c r="D47" s="444"/>
      <c r="H47" s="1695"/>
      <c r="I47" s="1695"/>
      <c r="J47" s="1695"/>
      <c r="K47" s="1695"/>
      <c r="L47" s="1695"/>
      <c r="M47" s="1695"/>
      <c r="N47" s="1695"/>
      <c r="O47" s="1695"/>
      <c r="P47" s="1695"/>
      <c r="Q47" s="1695"/>
      <c r="R47" s="1695"/>
      <c r="S47" s="1695"/>
      <c r="T47" s="1695"/>
      <c r="U47" s="1695"/>
      <c r="V47" s="1695"/>
      <c r="W47" s="1695"/>
      <c r="X47" s="1695"/>
      <c r="Y47" s="1695"/>
    </row>
    <row r="48" spans="1:25" ht="15" thickBot="1" x14ac:dyDescent="0.35">
      <c r="A48" t="str">
        <f ca="1">'Smolt to Adult Survival'!A50</f>
        <v/>
      </c>
      <c r="B48" t="str">
        <f ca="1">'Smolt to Adult Survival'!B50</f>
        <v/>
      </c>
      <c r="H48" s="1703" t="s">
        <v>435</v>
      </c>
      <c r="I48" s="1695"/>
      <c r="J48" s="1695"/>
      <c r="K48" s="1695"/>
      <c r="L48" s="1695"/>
      <c r="M48" s="1695"/>
      <c r="N48" s="1695"/>
      <c r="O48" s="1695"/>
      <c r="P48" s="1695"/>
      <c r="Q48" s="1695"/>
      <c r="R48" s="1695"/>
      <c r="S48" s="1695"/>
      <c r="T48" s="1695"/>
      <c r="U48" s="1695"/>
      <c r="V48" s="1695"/>
      <c r="W48" s="1695"/>
      <c r="X48" s="1695"/>
      <c r="Y48" s="1695"/>
    </row>
    <row r="49" spans="1:25" ht="15" thickBot="1" x14ac:dyDescent="0.35">
      <c r="A49" t="str">
        <f ca="1">'Smolt to Adult Survival'!A51</f>
        <v/>
      </c>
      <c r="B49" t="str">
        <f ca="1">'Smolt to Adult Survival'!B51</f>
        <v/>
      </c>
      <c r="H49" s="2559" t="s">
        <v>432</v>
      </c>
      <c r="I49" s="2560"/>
      <c r="J49" s="2563" t="s">
        <v>53</v>
      </c>
      <c r="K49" s="2564"/>
      <c r="L49" s="2564"/>
      <c r="M49" s="2564"/>
      <c r="N49" s="2565"/>
      <c r="O49" s="2563" t="s">
        <v>55</v>
      </c>
      <c r="P49" s="2564"/>
      <c r="Q49" s="2564"/>
      <c r="R49" s="2564"/>
      <c r="S49" s="2565"/>
      <c r="T49" s="2564" t="s">
        <v>57</v>
      </c>
      <c r="U49" s="2564"/>
      <c r="V49" s="2564"/>
      <c r="W49" s="2564"/>
      <c r="X49" s="2565"/>
      <c r="Y49" s="1695"/>
    </row>
    <row r="50" spans="1:25" x14ac:dyDescent="0.3">
      <c r="H50" s="2561"/>
      <c r="I50" s="2562"/>
      <c r="J50" s="488" t="s">
        <v>423</v>
      </c>
      <c r="K50" s="480" t="s">
        <v>424</v>
      </c>
      <c r="L50" s="489" t="s">
        <v>425</v>
      </c>
      <c r="M50" s="493" t="s">
        <v>426</v>
      </c>
      <c r="N50" s="490" t="s">
        <v>427</v>
      </c>
      <c r="O50" s="488" t="s">
        <v>423</v>
      </c>
      <c r="P50" s="480" t="s">
        <v>424</v>
      </c>
      <c r="Q50" s="489" t="s">
        <v>425</v>
      </c>
      <c r="R50" s="493" t="s">
        <v>426</v>
      </c>
      <c r="S50" s="490" t="s">
        <v>427</v>
      </c>
      <c r="T50" s="480" t="s">
        <v>423</v>
      </c>
      <c r="U50" s="480" t="s">
        <v>424</v>
      </c>
      <c r="V50" s="489" t="s">
        <v>425</v>
      </c>
      <c r="W50" s="493" t="s">
        <v>426</v>
      </c>
      <c r="X50" s="490" t="s">
        <v>427</v>
      </c>
      <c r="Y50" s="1695"/>
    </row>
    <row r="51" spans="1:25" x14ac:dyDescent="0.3">
      <c r="H51" s="484" t="s">
        <v>428</v>
      </c>
      <c r="I51" s="986"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36967.169771718531</v>
      </c>
      <c r="R51" s="524">
        <f ca="1">MAX($D$7:$D$22)</f>
        <v>126229.20999999999</v>
      </c>
      <c r="S51" s="481">
        <f ca="1">_xlfn.STDEV.S($D$7:$D$22)</f>
        <v>40350.693408962921</v>
      </c>
      <c r="T51" s="494">
        <f ca="1">COUNT($E$7:$E$22)</f>
        <v>3</v>
      </c>
      <c r="U51" s="528">
        <f ca="1">MIN($E$7:$E$22)</f>
        <v>2.9999370809164944E-2</v>
      </c>
      <c r="V51" s="528">
        <f ca="1">AVERAGE($E$7:$E$22)</f>
        <v>4.8855911410350249E-2</v>
      </c>
      <c r="W51" s="528">
        <f ca="1">MAX($E$7:$E$22)</f>
        <v>6.10211704452676E-2</v>
      </c>
      <c r="X51" s="485">
        <f ca="1">_xlfn.STDEV.S($E$7:$E$22)</f>
        <v>1.6558017692795583E-2</v>
      </c>
      <c r="Y51" s="1695"/>
    </row>
    <row r="52" spans="1:25" x14ac:dyDescent="0.3">
      <c r="H52" s="1700" t="s">
        <v>438</v>
      </c>
      <c r="I52" s="1701"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2">
        <f ca="1">MIN($E$23:$E$27)</f>
        <v>1.6826264095705794E-2</v>
      </c>
      <c r="V52" s="1702">
        <f ca="1">AVERAGE($E$23:$E$27)</f>
        <v>2.8723915924768102E-2</v>
      </c>
      <c r="W52" s="1702">
        <f ca="1">MAX($E$23:$E$27)</f>
        <v>4.3960006675285143E-2</v>
      </c>
      <c r="X52" s="485">
        <f ca="1">_xlfn.STDEV.S($E$23:$E$27)</f>
        <v>1.0401970512933203E-2</v>
      </c>
      <c r="Y52" s="1695"/>
    </row>
    <row r="53" spans="1:25" x14ac:dyDescent="0.3">
      <c r="H53" s="486" t="s">
        <v>439</v>
      </c>
      <c r="I53" s="987"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167324.37890684669</v>
      </c>
      <c r="R53" s="527">
        <f ca="1">MAX($D$28:$D$41)</f>
        <v>407786.91400662879</v>
      </c>
      <c r="S53" s="481">
        <f ca="1">_xlfn.STDEV.S($D$28:$D$41)</f>
        <v>123955.01619596303</v>
      </c>
      <c r="T53" s="494">
        <f ca="1">COUNT($E$28:$E$41)</f>
        <v>14</v>
      </c>
      <c r="U53" s="529">
        <f ca="1">MIN($E$28:$E$41)</f>
        <v>6.7769373373122877E-3</v>
      </c>
      <c r="V53" s="529">
        <f ca="1">AVERAGE($E$28:$E$41)</f>
        <v>6.3720416197479576E-2</v>
      </c>
      <c r="W53" s="529">
        <f ca="1">MAX($E$28:$E$41)</f>
        <v>0.14666776570815485</v>
      </c>
      <c r="X53" s="485">
        <f ca="1">_xlfn.STDEV.S($E$28:$E$41)</f>
        <v>4.1335280742345153E-2</v>
      </c>
      <c r="Y53" s="1695"/>
    </row>
    <row r="54" spans="1:25" ht="15" thickBot="1" x14ac:dyDescent="0.35">
      <c r="H54" s="945" t="s">
        <v>440</v>
      </c>
      <c r="I54" s="946"/>
      <c r="J54" s="482"/>
      <c r="K54" s="492">
        <f ca="1">(K53-K51)/K51</f>
        <v>1.8878215495515991</v>
      </c>
      <c r="L54" s="492">
        <f ca="1">(L53-L51)/L51</f>
        <v>1.0659799103072696</v>
      </c>
      <c r="M54" s="492">
        <f ca="1">(M53-M51)/M51</f>
        <v>1.4157828568368409</v>
      </c>
      <c r="N54" s="483"/>
      <c r="O54" s="491"/>
      <c r="P54" s="492">
        <f ca="1">(P53-P51)/P51</f>
        <v>38.084603020917243</v>
      </c>
      <c r="Q54" s="492">
        <f ca="1">(Q53-Q51)/Q51</f>
        <v>3.5262967097593987</v>
      </c>
      <c r="R54" s="492">
        <f ca="1">(R53-R51)/R51</f>
        <v>2.2305273399606071</v>
      </c>
      <c r="S54" s="483"/>
      <c r="T54" s="487"/>
      <c r="U54" s="492">
        <f ca="1">(U53-U51)/U51</f>
        <v>-0.77409735089370924</v>
      </c>
      <c r="V54" s="492">
        <f ca="1">(V53-V51)/V51</f>
        <v>0.30425191871418539</v>
      </c>
      <c r="W54" s="492">
        <f ca="1">(W53-W51)/W51</f>
        <v>1.4035554322857049</v>
      </c>
      <c r="X54" s="483"/>
      <c r="Y54" s="1695"/>
    </row>
    <row r="55" spans="1:25" x14ac:dyDescent="0.3">
      <c r="H55" s="1696"/>
      <c r="I55" s="1695"/>
      <c r="J55" s="1695"/>
      <c r="K55" s="1695"/>
      <c r="L55" s="1695"/>
      <c r="M55" s="1695"/>
      <c r="N55" s="1695"/>
      <c r="O55" s="1695"/>
      <c r="P55" s="1695"/>
      <c r="Q55" s="1695"/>
      <c r="R55" s="1695"/>
      <c r="S55" s="1695"/>
      <c r="T55" s="1695"/>
      <c r="U55" s="1695"/>
      <c r="V55" s="1695"/>
      <c r="W55" s="1695"/>
      <c r="X55" s="1695"/>
      <c r="Y55" s="1695"/>
    </row>
    <row r="56" spans="1:25" x14ac:dyDescent="0.3">
      <c r="H56" s="1695"/>
      <c r="I56" s="1695"/>
      <c r="J56" s="1695"/>
      <c r="K56" s="1695"/>
      <c r="L56" s="1695"/>
      <c r="M56" s="1695"/>
      <c r="N56" s="1695"/>
      <c r="O56" s="1695"/>
      <c r="P56" s="1695"/>
      <c r="Q56" s="1695"/>
      <c r="R56" s="1695"/>
      <c r="S56" s="1695"/>
      <c r="T56" s="1695"/>
      <c r="U56" s="1695"/>
      <c r="V56" s="1695"/>
      <c r="W56" s="1695"/>
      <c r="X56" s="1695"/>
      <c r="Y56" s="1695"/>
    </row>
    <row r="57" spans="1:25" ht="15" thickBot="1" x14ac:dyDescent="0.35">
      <c r="H57" s="1703" t="s">
        <v>441</v>
      </c>
      <c r="I57" s="1695"/>
      <c r="J57" s="1695"/>
      <c r="K57" s="1695"/>
      <c r="L57" s="1695"/>
      <c r="M57" s="1695"/>
      <c r="N57" s="1695"/>
      <c r="O57" s="1695"/>
      <c r="P57" s="1695"/>
      <c r="Q57" s="1695"/>
      <c r="R57" s="1695"/>
      <c r="S57" s="1695"/>
      <c r="T57" s="1695"/>
      <c r="U57" s="1695"/>
      <c r="V57" s="1695"/>
      <c r="W57" s="1695"/>
      <c r="X57" s="1695"/>
      <c r="Y57" s="1695"/>
    </row>
    <row r="58" spans="1:25" ht="15" thickBot="1" x14ac:dyDescent="0.35">
      <c r="H58" s="2559" t="s">
        <v>432</v>
      </c>
      <c r="I58" s="2560"/>
      <c r="J58" s="2563" t="s">
        <v>53</v>
      </c>
      <c r="K58" s="2564"/>
      <c r="L58" s="2564"/>
      <c r="M58" s="2564"/>
      <c r="N58" s="2565"/>
      <c r="O58" s="2563" t="s">
        <v>55</v>
      </c>
      <c r="P58" s="2564"/>
      <c r="Q58" s="2564"/>
      <c r="R58" s="2564"/>
      <c r="S58" s="2565"/>
      <c r="T58" s="2564" t="s">
        <v>57</v>
      </c>
      <c r="U58" s="2564"/>
      <c r="V58" s="2564"/>
      <c r="W58" s="2564"/>
      <c r="X58" s="2565"/>
      <c r="Y58" s="1695"/>
    </row>
    <row r="59" spans="1:25" x14ac:dyDescent="0.3">
      <c r="H59" s="2561"/>
      <c r="I59" s="2562"/>
      <c r="J59" s="488" t="s">
        <v>423</v>
      </c>
      <c r="K59" s="480" t="s">
        <v>424</v>
      </c>
      <c r="L59" s="489" t="s">
        <v>425</v>
      </c>
      <c r="M59" s="493" t="s">
        <v>426</v>
      </c>
      <c r="N59" s="490" t="s">
        <v>427</v>
      </c>
      <c r="O59" s="488" t="s">
        <v>423</v>
      </c>
      <c r="P59" s="480" t="s">
        <v>424</v>
      </c>
      <c r="Q59" s="489" t="s">
        <v>425</v>
      </c>
      <c r="R59" s="493" t="s">
        <v>426</v>
      </c>
      <c r="S59" s="490" t="s">
        <v>427</v>
      </c>
      <c r="T59" s="480" t="s">
        <v>423</v>
      </c>
      <c r="U59" s="480" t="s">
        <v>424</v>
      </c>
      <c r="V59" s="489" t="s">
        <v>425</v>
      </c>
      <c r="W59" s="493" t="s">
        <v>426</v>
      </c>
      <c r="X59" s="490" t="s">
        <v>427</v>
      </c>
      <c r="Y59" s="1695"/>
    </row>
    <row r="60" spans="1:25" x14ac:dyDescent="0.3">
      <c r="H60" s="484" t="s">
        <v>428</v>
      </c>
      <c r="I60" s="986" t="str">
        <f ca="1">$B$20 &amp; "-" &amp; $B$22</f>
        <v>1998-2000</v>
      </c>
      <c r="J60" s="1060">
        <f ca="1">COUNT($C$20:$C$22)</f>
        <v>3</v>
      </c>
      <c r="K60" s="522">
        <f ca="1">MIN($C$20:$C$22)</f>
        <v>281333</v>
      </c>
      <c r="L60" s="522">
        <f ca="1">AVERAGE($C$20:$C$22)</f>
        <v>1530081</v>
      </c>
      <c r="M60" s="522">
        <f ca="1">MAX($C$20:$C$22)</f>
        <v>3099743</v>
      </c>
      <c r="N60" s="481">
        <f ca="1">_xlfn.STDEV.S($C$20:$C$27)</f>
        <v>1057586.560349925</v>
      </c>
      <c r="O60" s="1060">
        <f ca="1">COUNT($D$20:$D$22)</f>
        <v>3</v>
      </c>
      <c r="P60" s="523">
        <f ca="1">MIN($D$20:$D$22)</f>
        <v>17167.268944878469</v>
      </c>
      <c r="Q60" s="522">
        <f ca="1">AVERAGE($D$20:$D$22)</f>
        <v>59107.813768316781</v>
      </c>
      <c r="R60" s="524">
        <f ca="1">MAX($D$20:$D$22)</f>
        <v>92990.339670113375</v>
      </c>
      <c r="S60" s="481">
        <f ca="1">_xlfn.STDEV.S($D$20:$D$22)</f>
        <v>38548.453474259441</v>
      </c>
      <c r="T60" s="1060">
        <f ca="1">COUNT($E$20:$E$22)</f>
        <v>3</v>
      </c>
      <c r="U60" s="528">
        <f ca="1">MIN($E$20:$E$22)</f>
        <v>2.9999370809164944E-2</v>
      </c>
      <c r="V60" s="528">
        <f ca="1">AVERAGE($E$20:$E$22)</f>
        <v>4.8855911410350249E-2</v>
      </c>
      <c r="W60" s="528">
        <f ca="1">MAX($E$20:$E$22)</f>
        <v>6.10211704452676E-2</v>
      </c>
      <c r="X60" s="485">
        <f ca="1">_xlfn.STDEV.S($E$20:$E$22)</f>
        <v>1.6558017692795583E-2</v>
      </c>
      <c r="Y60" s="1695"/>
    </row>
    <row r="61" spans="1:25" x14ac:dyDescent="0.3">
      <c r="H61" s="1700" t="s">
        <v>438</v>
      </c>
      <c r="I61" s="1701"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2">
        <f ca="1">MIN($E$23:$E$27)</f>
        <v>1.6826264095705794E-2</v>
      </c>
      <c r="V61" s="1702">
        <f ca="1">AVERAGE($E$23:$E$27)</f>
        <v>2.8723915924768102E-2</v>
      </c>
      <c r="W61" s="1702">
        <f ca="1">MAX($E$23:$E$27)</f>
        <v>4.3960006675285143E-2</v>
      </c>
      <c r="X61" s="485">
        <f ca="1">_xlfn.STDEV.S($E$23:$E$27)</f>
        <v>1.0401970512933203E-2</v>
      </c>
      <c r="Y61" s="1695"/>
    </row>
    <row r="62" spans="1:25" x14ac:dyDescent="0.3">
      <c r="H62" s="486" t="s">
        <v>429</v>
      </c>
      <c r="I62" s="987"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167324.37890684669</v>
      </c>
      <c r="R62" s="527">
        <f ca="1">MAX($D$28:$D$41)</f>
        <v>407786.91400662879</v>
      </c>
      <c r="S62" s="481">
        <f ca="1">_xlfn.STDEV.S($D$28:$D$41)</f>
        <v>123955.01619596303</v>
      </c>
      <c r="T62" s="494">
        <f ca="1">COUNT($E$28:$E$41)</f>
        <v>14</v>
      </c>
      <c r="U62" s="529">
        <f ca="1">MIN($E$28:$E$41)</f>
        <v>6.7769373373122877E-3</v>
      </c>
      <c r="V62" s="529">
        <f ca="1">AVERAGE($E$28:$E$41)</f>
        <v>6.3720416197479576E-2</v>
      </c>
      <c r="W62" s="529">
        <f ca="1">MAX($E$28:$E$41)</f>
        <v>0.14666776570815485</v>
      </c>
      <c r="X62" s="485">
        <f ca="1">_xlfn.STDEV.S($E$28:$E$41)</f>
        <v>4.1335280742345153E-2</v>
      </c>
      <c r="Y62" s="1695"/>
    </row>
    <row r="63" spans="1:25" ht="15" thickBot="1" x14ac:dyDescent="0.35">
      <c r="H63" s="945" t="s">
        <v>440</v>
      </c>
      <c r="I63" s="946"/>
      <c r="J63" s="482"/>
      <c r="K63" s="492">
        <f ca="1">(K62-K60)/K60</f>
        <v>1.8878215495515991</v>
      </c>
      <c r="L63" s="492">
        <f ca="1">(L62-L60)/L60</f>
        <v>1.0659799103072696</v>
      </c>
      <c r="M63" s="492">
        <f ca="1">(M62-M60)/M60</f>
        <v>1.4157828568368409</v>
      </c>
      <c r="N63" s="483"/>
      <c r="O63" s="491"/>
      <c r="P63" s="492">
        <f ca="1">(P62-P60)/P60</f>
        <v>-0.12776139093596406</v>
      </c>
      <c r="Q63" s="492">
        <f ca="1">(Q62-Q60)/Q60</f>
        <v>1.8308334928898453</v>
      </c>
      <c r="R63" s="492">
        <f ca="1">(R62-R60)/R60</f>
        <v>3.3852610438166773</v>
      </c>
      <c r="S63" s="483"/>
      <c r="T63" s="487"/>
      <c r="U63" s="492">
        <f ca="1">(U62-U60)/U60</f>
        <v>-0.77409735089370924</v>
      </c>
      <c r="V63" s="492">
        <f ca="1">(V62-V60)/V60</f>
        <v>0.30425191871418539</v>
      </c>
      <c r="W63" s="492">
        <f ca="1">(W62-W60)/W60</f>
        <v>1.4035554322857049</v>
      </c>
      <c r="X63" s="483"/>
      <c r="Y63" s="1695"/>
    </row>
    <row r="64" spans="1:25" x14ac:dyDescent="0.3">
      <c r="H64" s="1696"/>
      <c r="I64" s="1695"/>
      <c r="J64" s="1695"/>
      <c r="K64" s="1695"/>
      <c r="L64" s="1695"/>
      <c r="M64" s="1695"/>
      <c r="N64" s="1695"/>
      <c r="O64" s="1695"/>
      <c r="P64" s="1695"/>
      <c r="Q64" s="1695"/>
      <c r="R64" s="1695"/>
      <c r="S64" s="1695"/>
      <c r="T64" s="1695"/>
      <c r="U64" s="1695"/>
      <c r="V64" s="1695"/>
      <c r="W64" s="1695"/>
      <c r="X64" s="1695"/>
      <c r="Y64" s="1695"/>
    </row>
    <row r="65" spans="8:25" x14ac:dyDescent="0.3">
      <c r="H65" s="1696" t="s">
        <v>442</v>
      </c>
      <c r="I65" s="1695"/>
      <c r="J65" s="1695"/>
      <c r="K65" s="1695"/>
      <c r="L65" s="1695"/>
      <c r="M65" s="1695"/>
      <c r="N65" s="1695"/>
      <c r="O65" s="1695"/>
      <c r="P65" s="1695"/>
      <c r="Q65" s="1695"/>
      <c r="R65" s="1695"/>
      <c r="S65" s="1695"/>
      <c r="T65" s="1695"/>
      <c r="U65" s="1695"/>
      <c r="V65" s="1695"/>
      <c r="W65" s="1695"/>
      <c r="X65" s="1695"/>
      <c r="Y65" s="1695"/>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25:Y25"/>
    <mergeCell ref="H36:I37"/>
    <mergeCell ref="J36:N36"/>
    <mergeCell ref="O36:S36"/>
    <mergeCell ref="T36:X36"/>
    <mergeCell ref="H28:I29"/>
    <mergeCell ref="J28:N28"/>
    <mergeCell ref="O28:S28"/>
    <mergeCell ref="T28:X28"/>
    <mergeCell ref="H15:I16"/>
    <mergeCell ref="J15:N15"/>
    <mergeCell ref="O15:S15"/>
    <mergeCell ref="T15:X15"/>
    <mergeCell ref="H7:I8"/>
    <mergeCell ref="J7:N7"/>
    <mergeCell ref="O7:S7"/>
    <mergeCell ref="T7:X7"/>
    <mergeCell ref="H58:I59"/>
    <mergeCell ref="J58:N58"/>
    <mergeCell ref="O58:S58"/>
    <mergeCell ref="T58:X58"/>
    <mergeCell ref="H46:Y46"/>
    <mergeCell ref="H49:I50"/>
    <mergeCell ref="J49:N49"/>
    <mergeCell ref="O49:S49"/>
    <mergeCell ref="T49:X49"/>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K2" activePane="bottomRight" state="frozen"/>
      <selection pane="topRight" activeCell="C15" sqref="C15"/>
      <selection pane="bottomLeft" activeCell="C15" sqref="C15"/>
      <selection pane="bottomRight" activeCell="T19" sqref="T19"/>
    </sheetView>
  </sheetViews>
  <sheetFormatPr defaultRowHeight="15" customHeight="1" x14ac:dyDescent="0.3"/>
  <cols>
    <col min="1" max="1" width="7.5546875" style="664" customWidth="1"/>
    <col min="2" max="2" width="9.44140625" hidden="1" customWidth="1"/>
    <col min="3" max="3" width="8.44140625" hidden="1" customWidth="1"/>
    <col min="4" max="4" width="9.44140625" hidden="1" customWidth="1"/>
    <col min="5" max="5" width="8" hidden="1" customWidth="1"/>
    <col min="6" max="6" width="6" bestFit="1" customWidth="1"/>
    <col min="7" max="7" width="6.6640625"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1" hidden="1" customWidth="1"/>
    <col min="19" max="19" width="7.6640625" style="815" customWidth="1"/>
    <col min="20" max="20" width="16.33203125" style="815" customWidth="1"/>
    <col min="21" max="22" width="23.44140625" style="815" customWidth="1"/>
  </cols>
  <sheetData>
    <row r="1" spans="1:22" ht="15" customHeight="1" thickBot="1" x14ac:dyDescent="0.4">
      <c r="A1" s="1410" t="s">
        <v>414</v>
      </c>
      <c r="B1" s="1408" t="s">
        <v>443</v>
      </c>
      <c r="C1" s="737" t="s">
        <v>444</v>
      </c>
      <c r="D1" s="737" t="s">
        <v>417</v>
      </c>
      <c r="E1" s="738" t="s">
        <v>418</v>
      </c>
      <c r="F1" s="725" t="s">
        <v>358</v>
      </c>
      <c r="G1" s="714" t="s">
        <v>369</v>
      </c>
      <c r="H1" s="714" t="s">
        <v>370</v>
      </c>
      <c r="I1" s="714" t="s">
        <v>361</v>
      </c>
      <c r="J1" s="714" t="s">
        <v>362</v>
      </c>
      <c r="K1" s="714" t="s">
        <v>371</v>
      </c>
      <c r="L1" s="714" t="s">
        <v>372</v>
      </c>
      <c r="M1" s="715">
        <v>3.1</v>
      </c>
      <c r="N1" s="724" t="s">
        <v>221</v>
      </c>
      <c r="O1" s="776" t="s">
        <v>445</v>
      </c>
      <c r="P1" s="811" t="s">
        <v>446</v>
      </c>
      <c r="R1" s="855" t="s">
        <v>447</v>
      </c>
      <c r="S1" s="842" t="s">
        <v>448</v>
      </c>
      <c r="T1" s="843" t="s">
        <v>449</v>
      </c>
      <c r="U1" s="844" t="s">
        <v>450</v>
      </c>
      <c r="V1" s="845" t="s">
        <v>451</v>
      </c>
    </row>
    <row r="2" spans="1:22" ht="15" customHeight="1" x14ac:dyDescent="0.3">
      <c r="A2" s="1411">
        <v>1980</v>
      </c>
      <c r="B2" s="1409">
        <f>'Sockeye Returns Data'!BW5</f>
        <v>0</v>
      </c>
      <c r="C2" s="778">
        <v>36474.167521682582</v>
      </c>
      <c r="D2" s="735">
        <f>B2-C2</f>
        <v>-36474.167521682582</v>
      </c>
      <c r="E2" s="736">
        <f>D2/C2</f>
        <v>-1</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452</v>
      </c>
      <c r="P2" s="700" t="s">
        <v>453</v>
      </c>
      <c r="Q2" t="s">
        <v>245</v>
      </c>
      <c r="R2" s="856">
        <v>1980</v>
      </c>
      <c r="S2" s="827"/>
      <c r="T2" s="828"/>
      <c r="U2" s="829" t="s">
        <v>454</v>
      </c>
      <c r="V2" s="830" t="s">
        <v>455</v>
      </c>
    </row>
    <row r="3" spans="1:22" ht="15" customHeight="1" x14ac:dyDescent="0.3">
      <c r="A3" s="791">
        <v>1981</v>
      </c>
      <c r="B3" s="1409">
        <f>'Sockeye Returns Data'!BW6</f>
        <v>0</v>
      </c>
      <c r="C3" s="779">
        <v>40527.66370276871</v>
      </c>
      <c r="D3" s="728">
        <f t="shared" ref="D3:D44" si="0">B3-C3</f>
        <v>-40527.66370276871</v>
      </c>
      <c r="E3" s="730">
        <f t="shared" ref="E3:E43" si="1">D3/C3</f>
        <v>-1</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452</v>
      </c>
      <c r="P3" s="2567" t="s">
        <v>456</v>
      </c>
      <c r="Q3" t="s">
        <v>245</v>
      </c>
      <c r="R3" s="856">
        <v>1981</v>
      </c>
      <c r="S3" s="827"/>
      <c r="T3" s="828"/>
      <c r="U3" s="829" t="s">
        <v>454</v>
      </c>
      <c r="V3" s="831" t="s">
        <v>455</v>
      </c>
    </row>
    <row r="4" spans="1:22" ht="15" customHeight="1" x14ac:dyDescent="0.3">
      <c r="A4" s="791">
        <v>1982</v>
      </c>
      <c r="B4" s="1409">
        <f>'Sockeye Returns Data'!BW7</f>
        <v>0</v>
      </c>
      <c r="C4" s="779">
        <v>27675.632271233906</v>
      </c>
      <c r="D4" s="728">
        <f t="shared" si="0"/>
        <v>-27675.632271233906</v>
      </c>
      <c r="E4" s="730">
        <f t="shared" si="1"/>
        <v>-1</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452</v>
      </c>
      <c r="P4" s="2567"/>
      <c r="R4" s="856">
        <v>1982</v>
      </c>
      <c r="S4" s="827"/>
      <c r="T4" s="828"/>
      <c r="U4" s="829" t="s">
        <v>454</v>
      </c>
      <c r="V4" s="831" t="s">
        <v>455</v>
      </c>
    </row>
    <row r="5" spans="1:22" ht="15" customHeight="1" x14ac:dyDescent="0.3">
      <c r="A5" s="791">
        <v>1983</v>
      </c>
      <c r="B5" s="1409">
        <f>'Sockeye Returns Data'!BW8</f>
        <v>0</v>
      </c>
      <c r="C5" s="779">
        <v>39631.867863682135</v>
      </c>
      <c r="D5" s="728">
        <f t="shared" si="0"/>
        <v>-39631.867863682135</v>
      </c>
      <c r="E5" s="730">
        <f t="shared" si="1"/>
        <v>-1</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452</v>
      </c>
      <c r="P5" s="2567"/>
      <c r="R5" s="856">
        <v>1983</v>
      </c>
      <c r="S5" s="827"/>
      <c r="T5" s="828"/>
      <c r="U5" s="829" t="s">
        <v>454</v>
      </c>
      <c r="V5" s="831" t="s">
        <v>455</v>
      </c>
    </row>
    <row r="6" spans="1:22" ht="15" customHeight="1" x14ac:dyDescent="0.3">
      <c r="A6" s="791">
        <v>1984</v>
      </c>
      <c r="B6" s="1409">
        <f>'Sockeye Returns Data'!BW9</f>
        <v>0</v>
      </c>
      <c r="C6" s="779">
        <v>143626.50705324707</v>
      </c>
      <c r="D6" s="728">
        <f t="shared" si="0"/>
        <v>-143626.50705324707</v>
      </c>
      <c r="E6" s="730">
        <f t="shared" si="1"/>
        <v>-1</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452</v>
      </c>
      <c r="P6" s="2567"/>
      <c r="R6" s="856">
        <v>1984</v>
      </c>
      <c r="S6" s="827"/>
      <c r="T6" s="828"/>
      <c r="U6" s="829" t="s">
        <v>454</v>
      </c>
      <c r="V6" s="831" t="s">
        <v>455</v>
      </c>
    </row>
    <row r="7" spans="1:22" ht="15" customHeight="1" x14ac:dyDescent="0.3">
      <c r="A7" s="781">
        <v>1985</v>
      </c>
      <c r="B7" s="1409">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457</v>
      </c>
      <c r="R7" s="857">
        <v>1985</v>
      </c>
      <c r="S7" s="832" t="s">
        <v>458</v>
      </c>
      <c r="T7" s="833" t="s">
        <v>459</v>
      </c>
      <c r="U7" s="834" t="s">
        <v>460</v>
      </c>
      <c r="V7" s="835"/>
    </row>
    <row r="8" spans="1:22" ht="15" customHeight="1" x14ac:dyDescent="0.3">
      <c r="A8" s="791">
        <v>1986</v>
      </c>
      <c r="B8" s="1409">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452</v>
      </c>
      <c r="R8" s="856">
        <v>1986</v>
      </c>
      <c r="S8" s="836" t="s">
        <v>461</v>
      </c>
      <c r="T8" s="837"/>
      <c r="U8" s="829" t="s">
        <v>454</v>
      </c>
      <c r="V8" s="831" t="s">
        <v>455</v>
      </c>
    </row>
    <row r="9" spans="1:22" ht="15" customHeight="1" x14ac:dyDescent="0.3">
      <c r="A9" s="850">
        <v>1987</v>
      </c>
      <c r="B9" s="1409">
        <f>'Sockeye Returns Data'!CG12</f>
        <v>99205</v>
      </c>
      <c r="C9" s="847">
        <v>99373.304487167072</v>
      </c>
      <c r="D9" s="846">
        <f t="shared" si="0"/>
        <v>-168.30448716707178</v>
      </c>
      <c r="E9" s="848">
        <f t="shared" si="1"/>
        <v>-1.6936589563528743E-3</v>
      </c>
      <c r="F9" s="964">
        <v>0.49199999999999999</v>
      </c>
      <c r="G9" s="849">
        <v>0.46000000000000008</v>
      </c>
      <c r="H9" s="849">
        <v>0.01</v>
      </c>
      <c r="I9" s="849">
        <v>2.8000000000000001E-2</v>
      </c>
      <c r="J9" s="849">
        <v>0.01</v>
      </c>
      <c r="K9" s="849" t="s">
        <v>257</v>
      </c>
      <c r="L9" s="849" t="s">
        <v>257</v>
      </c>
      <c r="M9" s="849" t="s">
        <v>257</v>
      </c>
      <c r="N9" s="774">
        <f t="shared" si="2"/>
        <v>1</v>
      </c>
      <c r="O9" s="781" t="s">
        <v>457</v>
      </c>
      <c r="P9" s="700"/>
      <c r="R9" s="858">
        <v>1987</v>
      </c>
      <c r="S9" s="836" t="s">
        <v>458</v>
      </c>
      <c r="T9" s="837" t="s">
        <v>459</v>
      </c>
      <c r="U9" s="838" t="s">
        <v>462</v>
      </c>
      <c r="V9" s="835" t="s">
        <v>463</v>
      </c>
    </row>
    <row r="10" spans="1:22" ht="15" customHeight="1" x14ac:dyDescent="0.3">
      <c r="A10" s="781">
        <v>1988</v>
      </c>
      <c r="B10" s="1409">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457</v>
      </c>
      <c r="R10" s="859">
        <v>1988</v>
      </c>
      <c r="S10" s="836" t="s">
        <v>458</v>
      </c>
      <c r="T10" s="837" t="s">
        <v>464</v>
      </c>
      <c r="U10" s="838"/>
      <c r="V10" s="835"/>
    </row>
    <row r="11" spans="1:22" ht="15" customHeight="1" x14ac:dyDescent="0.3">
      <c r="A11" s="781">
        <v>1989</v>
      </c>
      <c r="B11" s="1409">
        <f>'Sockeye Returns Data'!BW14</f>
        <v>0</v>
      </c>
      <c r="C11" s="525">
        <v>24071.11515744618</v>
      </c>
      <c r="D11" s="772">
        <f t="shared" si="0"/>
        <v>-24071.11515744618</v>
      </c>
      <c r="E11" s="777">
        <f t="shared" si="1"/>
        <v>-1</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457</v>
      </c>
      <c r="R11" s="859">
        <v>1989</v>
      </c>
      <c r="S11" s="836" t="s">
        <v>458</v>
      </c>
      <c r="T11" s="837" t="s">
        <v>465</v>
      </c>
      <c r="U11" s="838"/>
      <c r="V11" s="835"/>
    </row>
    <row r="12" spans="1:22" ht="15" customHeight="1" x14ac:dyDescent="0.3">
      <c r="A12" s="775">
        <v>1990</v>
      </c>
      <c r="B12" s="1409">
        <f>'Sockeye Returns Data'!BW15</f>
        <v>0</v>
      </c>
      <c r="C12" s="779">
        <v>10628.613606811994</v>
      </c>
      <c r="D12" s="728">
        <f t="shared" si="0"/>
        <v>-10628.613606811994</v>
      </c>
      <c r="E12" s="730">
        <f t="shared" si="1"/>
        <v>-1</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466</v>
      </c>
      <c r="P12" s="700" t="s">
        <v>467</v>
      </c>
      <c r="R12" s="860">
        <v>1990</v>
      </c>
      <c r="S12" s="836" t="s">
        <v>458</v>
      </c>
      <c r="T12" s="837" t="s">
        <v>468</v>
      </c>
      <c r="U12" s="838" t="s">
        <v>469</v>
      </c>
      <c r="V12" s="835" t="s">
        <v>463</v>
      </c>
    </row>
    <row r="13" spans="1:22" ht="15" customHeight="1" x14ac:dyDescent="0.3">
      <c r="A13" s="775">
        <v>1991</v>
      </c>
      <c r="B13" s="1409">
        <f>'Sockeye Returns Data'!BW16</f>
        <v>0</v>
      </c>
      <c r="C13" s="779">
        <v>40611.658678258478</v>
      </c>
      <c r="D13" s="728">
        <f t="shared" si="0"/>
        <v>-40611.658678258478</v>
      </c>
      <c r="E13" s="730">
        <f t="shared" si="1"/>
        <v>-1</v>
      </c>
      <c r="F13" s="782">
        <v>0.154</v>
      </c>
      <c r="G13" s="783">
        <v>0.76</v>
      </c>
      <c r="H13" s="783">
        <v>6.7000000000000004E-2</v>
      </c>
      <c r="I13" s="783">
        <v>1.4999999999999998E-2</v>
      </c>
      <c r="J13" s="783">
        <v>1E-3</v>
      </c>
      <c r="K13" s="783" t="s">
        <v>257</v>
      </c>
      <c r="L13" s="783">
        <v>3.0000000000000001E-3</v>
      </c>
      <c r="M13" s="783" t="s">
        <v>257</v>
      </c>
      <c r="N13" s="773">
        <f t="shared" si="2"/>
        <v>1</v>
      </c>
      <c r="O13" s="775" t="s">
        <v>466</v>
      </c>
      <c r="R13" s="859">
        <v>1991</v>
      </c>
      <c r="S13" s="836" t="s">
        <v>458</v>
      </c>
      <c r="T13" s="839" t="s">
        <v>470</v>
      </c>
      <c r="U13" s="838"/>
      <c r="V13" s="835"/>
    </row>
    <row r="14" spans="1:22" ht="15" customHeight="1" x14ac:dyDescent="0.3">
      <c r="A14" s="775">
        <v>1992</v>
      </c>
      <c r="B14" s="1409">
        <f>'Sockeye Returns Data'!BW17</f>
        <v>0</v>
      </c>
      <c r="C14" s="779">
        <v>61939.16181374951</v>
      </c>
      <c r="D14" s="728">
        <f t="shared" si="0"/>
        <v>-61939.16181374951</v>
      </c>
      <c r="E14" s="730">
        <f t="shared" si="1"/>
        <v>-1</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466</v>
      </c>
      <c r="R14" s="859">
        <v>1992</v>
      </c>
      <c r="S14" s="836" t="s">
        <v>458</v>
      </c>
      <c r="T14" s="839" t="s">
        <v>471</v>
      </c>
      <c r="U14" s="838"/>
      <c r="V14" s="835"/>
    </row>
    <row r="15" spans="1:22" ht="15" customHeight="1" x14ac:dyDescent="0.3">
      <c r="A15" s="775">
        <v>1993</v>
      </c>
      <c r="B15" s="1409">
        <f>'Sockeye Returns Data'!BW18</f>
        <v>0</v>
      </c>
      <c r="C15" s="779">
        <v>43643.856427217499</v>
      </c>
      <c r="D15" s="728">
        <f t="shared" si="0"/>
        <v>-43643.856427217499</v>
      </c>
      <c r="E15" s="730">
        <f t="shared" si="1"/>
        <v>-1</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466</v>
      </c>
      <c r="R15" s="859">
        <v>1993</v>
      </c>
      <c r="S15" s="836" t="s">
        <v>458</v>
      </c>
      <c r="T15" s="839" t="s">
        <v>472</v>
      </c>
      <c r="U15" s="838"/>
      <c r="V15" s="835"/>
    </row>
    <row r="16" spans="1:22" ht="15" customHeight="1" x14ac:dyDescent="0.3">
      <c r="A16" s="775">
        <v>1994</v>
      </c>
      <c r="B16" s="1409">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466</v>
      </c>
      <c r="R16" s="858">
        <v>1994</v>
      </c>
      <c r="S16" s="836" t="s">
        <v>458</v>
      </c>
      <c r="T16" s="839" t="s">
        <v>473</v>
      </c>
      <c r="U16" s="838" t="s">
        <v>474</v>
      </c>
      <c r="V16" s="835"/>
    </row>
    <row r="17" spans="1:22" ht="15" customHeight="1" x14ac:dyDescent="0.3">
      <c r="A17" s="775">
        <v>1995</v>
      </c>
      <c r="B17" s="1409">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466</v>
      </c>
      <c r="P17" s="700" t="s">
        <v>467</v>
      </c>
      <c r="R17" s="858">
        <v>1995</v>
      </c>
      <c r="S17" s="836" t="s">
        <v>458</v>
      </c>
      <c r="T17" s="839" t="s">
        <v>473</v>
      </c>
      <c r="U17" s="838" t="s">
        <v>474</v>
      </c>
      <c r="V17" s="835" t="s">
        <v>463</v>
      </c>
    </row>
    <row r="18" spans="1:22" ht="15" customHeight="1" x14ac:dyDescent="0.3">
      <c r="A18" s="775">
        <v>1996</v>
      </c>
      <c r="B18" s="1409">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466</v>
      </c>
      <c r="R18" s="859">
        <v>1996</v>
      </c>
      <c r="S18" s="836" t="s">
        <v>458</v>
      </c>
      <c r="T18" s="839" t="s">
        <v>473</v>
      </c>
      <c r="U18" s="838"/>
      <c r="V18" s="835"/>
    </row>
    <row r="19" spans="1:22" ht="15" customHeight="1" x14ac:dyDescent="0.3">
      <c r="A19" s="775">
        <v>1997</v>
      </c>
      <c r="B19" s="1409">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466</v>
      </c>
      <c r="R19" s="858">
        <v>1997</v>
      </c>
      <c r="S19" s="836" t="s">
        <v>458</v>
      </c>
      <c r="T19" s="839" t="s">
        <v>473</v>
      </c>
      <c r="U19" s="838" t="s">
        <v>474</v>
      </c>
      <c r="V19" s="835"/>
    </row>
    <row r="20" spans="1:22" ht="15" customHeight="1" x14ac:dyDescent="0.3">
      <c r="A20" s="775">
        <v>1998</v>
      </c>
      <c r="B20" s="1409">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466</v>
      </c>
      <c r="R20" s="859">
        <v>1998</v>
      </c>
      <c r="S20" s="836" t="s">
        <v>458</v>
      </c>
      <c r="T20" s="839" t="s">
        <v>473</v>
      </c>
      <c r="U20" s="838"/>
      <c r="V20" s="835"/>
    </row>
    <row r="21" spans="1:22" ht="15" customHeight="1" x14ac:dyDescent="0.3">
      <c r="A21" s="775">
        <v>1999</v>
      </c>
      <c r="B21" s="1409">
        <f>'Sockeye Returns Data'!BW24</f>
        <v>16715</v>
      </c>
      <c r="C21" s="779">
        <v>14263.477575094448</v>
      </c>
      <c r="D21" s="728">
        <f t="shared" si="0"/>
        <v>2451.5224249055518</v>
      </c>
      <c r="E21" s="730">
        <f t="shared" si="1"/>
        <v>0.1718741037729937</v>
      </c>
      <c r="F21" s="782">
        <v>0.1138861138861139</v>
      </c>
      <c r="G21" s="783">
        <v>0.84815184815184819</v>
      </c>
      <c r="H21" s="783">
        <v>3.7962037962037967E-2</v>
      </c>
      <c r="I21" s="783" t="s">
        <v>257</v>
      </c>
      <c r="J21" s="783" t="s">
        <v>257</v>
      </c>
      <c r="K21" s="783" t="s">
        <v>257</v>
      </c>
      <c r="L21" s="783" t="s">
        <v>257</v>
      </c>
      <c r="M21" s="783" t="s">
        <v>257</v>
      </c>
      <c r="N21" s="773">
        <f t="shared" si="2"/>
        <v>1</v>
      </c>
      <c r="O21" s="775" t="s">
        <v>466</v>
      </c>
      <c r="R21" s="859">
        <v>1999</v>
      </c>
      <c r="S21" s="836" t="s">
        <v>458</v>
      </c>
      <c r="T21" s="839" t="s">
        <v>473</v>
      </c>
      <c r="U21" s="838"/>
      <c r="V21" s="835"/>
    </row>
    <row r="22" spans="1:22" ht="15" customHeight="1" x14ac:dyDescent="0.3">
      <c r="A22" s="775">
        <v>2000</v>
      </c>
      <c r="B22" s="1409">
        <f>'Sockeye Returns Data'!BW25</f>
        <v>73866</v>
      </c>
      <c r="C22" s="779">
        <v>77438.414717812862</v>
      </c>
      <c r="D22" s="728">
        <f t="shared" si="0"/>
        <v>-3572.4147178128624</v>
      </c>
      <c r="E22" s="730">
        <f t="shared" si="1"/>
        <v>-4.6132332781227678E-2</v>
      </c>
      <c r="F22" s="782">
        <v>0.12999999999999998</v>
      </c>
      <c r="G22" s="1406">
        <v>0.83999999999999975</v>
      </c>
      <c r="H22" s="783">
        <v>9.9999999999999985E-3</v>
      </c>
      <c r="I22" s="783">
        <v>9.9999999999999985E-3</v>
      </c>
      <c r="J22" s="783">
        <v>9.9999999999999985E-3</v>
      </c>
      <c r="K22" s="783" t="s">
        <v>257</v>
      </c>
      <c r="L22" s="783" t="s">
        <v>257</v>
      </c>
      <c r="M22" s="783" t="s">
        <v>257</v>
      </c>
      <c r="N22" s="773">
        <f t="shared" si="2"/>
        <v>0.99999999999999978</v>
      </c>
      <c r="O22" s="850" t="s">
        <v>475</v>
      </c>
      <c r="P22" s="2335" t="s">
        <v>476</v>
      </c>
      <c r="R22" s="859">
        <v>2000</v>
      </c>
      <c r="S22" s="2335" t="s">
        <v>458</v>
      </c>
      <c r="T22" s="839" t="s">
        <v>473</v>
      </c>
      <c r="U22" s="838"/>
      <c r="V22" s="835" t="s">
        <v>477</v>
      </c>
    </row>
    <row r="23" spans="1:22" ht="15" customHeight="1" x14ac:dyDescent="0.3">
      <c r="A23" s="775">
        <v>2001</v>
      </c>
      <c r="B23" s="1409">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475</v>
      </c>
      <c r="R23" s="859">
        <v>2001</v>
      </c>
      <c r="S23" s="840" t="s">
        <v>461</v>
      </c>
      <c r="T23" s="839" t="s">
        <v>478</v>
      </c>
      <c r="U23" s="838" t="s">
        <v>479</v>
      </c>
      <c r="V23" s="835" t="s">
        <v>477</v>
      </c>
    </row>
    <row r="24" spans="1:22" ht="15" customHeight="1" x14ac:dyDescent="0.3">
      <c r="A24" s="775">
        <v>2002</v>
      </c>
      <c r="B24" s="1409">
        <f>'Sockeye Returns Data'!BW27</f>
        <v>14406</v>
      </c>
      <c r="C24" s="780">
        <v>13083.795990567603</v>
      </c>
      <c r="D24" s="728">
        <f t="shared" si="0"/>
        <v>1322.2040094323966</v>
      </c>
      <c r="E24" s="730">
        <f t="shared" si="1"/>
        <v>0.10105660546722087</v>
      </c>
      <c r="F24" s="782">
        <v>0.02</v>
      </c>
      <c r="G24" s="1406">
        <v>0.497</v>
      </c>
      <c r="H24" s="783">
        <v>1.2999999999999999E-2</v>
      </c>
      <c r="I24" s="783">
        <v>0.14799999999999999</v>
      </c>
      <c r="J24" s="783">
        <v>0.221</v>
      </c>
      <c r="K24" s="783" t="s">
        <v>257</v>
      </c>
      <c r="L24" s="783">
        <v>0.10100000000000001</v>
      </c>
      <c r="M24" s="783" t="s">
        <v>257</v>
      </c>
      <c r="N24" s="773">
        <f t="shared" si="2"/>
        <v>1</v>
      </c>
      <c r="O24" s="850" t="s">
        <v>475</v>
      </c>
      <c r="P24" s="1407" t="s">
        <v>480</v>
      </c>
      <c r="R24" s="859">
        <v>2002</v>
      </c>
      <c r="S24" s="1407" t="s">
        <v>458</v>
      </c>
      <c r="T24" s="1407" t="s">
        <v>481</v>
      </c>
      <c r="U24" s="1407" t="s">
        <v>482</v>
      </c>
      <c r="V24" s="1407" t="s">
        <v>481</v>
      </c>
    </row>
    <row r="25" spans="1:22" ht="15" customHeight="1" x14ac:dyDescent="0.3">
      <c r="A25" s="775">
        <v>2003</v>
      </c>
      <c r="B25" s="1409">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475</v>
      </c>
      <c r="P25" t="s">
        <v>483</v>
      </c>
      <c r="R25" s="859">
        <v>2003</v>
      </c>
      <c r="S25" s="840" t="s">
        <v>461</v>
      </c>
      <c r="T25" s="839" t="s">
        <v>478</v>
      </c>
      <c r="U25" s="838" t="s">
        <v>479</v>
      </c>
      <c r="V25" s="839" t="s">
        <v>484</v>
      </c>
    </row>
    <row r="26" spans="1:22" ht="15" customHeight="1" x14ac:dyDescent="0.3">
      <c r="A26" s="775">
        <v>2004</v>
      </c>
      <c r="B26" s="1409">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475</v>
      </c>
      <c r="P26" t="s">
        <v>485</v>
      </c>
      <c r="R26" s="859">
        <v>2004</v>
      </c>
      <c r="S26" s="840" t="s">
        <v>461</v>
      </c>
      <c r="T26" s="839" t="s">
        <v>478</v>
      </c>
      <c r="U26" s="838" t="s">
        <v>479</v>
      </c>
      <c r="V26" s="839" t="s">
        <v>486</v>
      </c>
    </row>
    <row r="27" spans="1:22" ht="15" customHeight="1" x14ac:dyDescent="0.3">
      <c r="A27" s="775">
        <v>2005</v>
      </c>
      <c r="B27" s="1409">
        <f>'Sockeye Returns Data'!BW30</f>
        <v>59170</v>
      </c>
      <c r="C27" s="779">
        <v>68612.905328998226</v>
      </c>
      <c r="D27" s="728">
        <f t="shared" si="0"/>
        <v>-9442.9053289982257</v>
      </c>
      <c r="E27" s="730">
        <f t="shared" si="1"/>
        <v>-0.13762579042119824</v>
      </c>
      <c r="F27" s="782">
        <v>3.6496350364963502E-3</v>
      </c>
      <c r="G27" s="1406">
        <v>0.96350364963503654</v>
      </c>
      <c r="H27" s="783">
        <v>0</v>
      </c>
      <c r="I27" s="783">
        <v>2.9197080291970802E-2</v>
      </c>
      <c r="J27" s="783">
        <v>3.6496350364963502E-3</v>
      </c>
      <c r="K27" s="783">
        <v>0</v>
      </c>
      <c r="L27" s="783"/>
      <c r="M27" s="783" t="s">
        <v>257</v>
      </c>
      <c r="N27" s="773">
        <f t="shared" si="2"/>
        <v>1</v>
      </c>
      <c r="O27" s="781" t="s">
        <v>475</v>
      </c>
      <c r="P27" t="s">
        <v>487</v>
      </c>
      <c r="R27" s="859">
        <v>2005</v>
      </c>
      <c r="S27" s="840" t="s">
        <v>461</v>
      </c>
      <c r="T27" s="839" t="s">
        <v>478</v>
      </c>
      <c r="U27" s="838" t="s">
        <v>479</v>
      </c>
      <c r="V27" s="839" t="s">
        <v>488</v>
      </c>
    </row>
    <row r="28" spans="1:22" ht="15" customHeight="1" x14ac:dyDescent="0.3">
      <c r="A28" s="775">
        <v>2006</v>
      </c>
      <c r="B28" s="1409">
        <f>'Sockeye Returns Data'!BW31</f>
        <v>27616</v>
      </c>
      <c r="C28" s="779">
        <v>26454.776046145224</v>
      </c>
      <c r="D28" s="728">
        <f t="shared" si="0"/>
        <v>1161.2239538547765</v>
      </c>
      <c r="E28" s="730">
        <f t="shared" si="1"/>
        <v>4.3894680938868905E-2</v>
      </c>
      <c r="F28" s="2336">
        <v>2.3809523809523812E-3</v>
      </c>
      <c r="G28" s="2336">
        <v>0.8833333333333333</v>
      </c>
      <c r="H28" s="2336" t="s">
        <v>257</v>
      </c>
      <c r="I28" s="2336">
        <v>0.10952380952380952</v>
      </c>
      <c r="J28" s="2336">
        <v>4.7619047619047623E-3</v>
      </c>
      <c r="K28" s="2336" t="s">
        <v>257</v>
      </c>
      <c r="L28" s="2336" t="s">
        <v>257</v>
      </c>
      <c r="M28" s="2336" t="s">
        <v>257</v>
      </c>
      <c r="N28" s="2336">
        <f t="shared" si="2"/>
        <v>1</v>
      </c>
      <c r="O28" s="850" t="s">
        <v>489</v>
      </c>
      <c r="P28" s="700" t="s">
        <v>490</v>
      </c>
      <c r="R28" s="859">
        <v>2006</v>
      </c>
      <c r="S28" s="840" t="s">
        <v>461</v>
      </c>
      <c r="T28" s="839" t="s">
        <v>473</v>
      </c>
      <c r="U28" s="838"/>
      <c r="V28" s="835" t="s">
        <v>477</v>
      </c>
    </row>
    <row r="29" spans="1:22" ht="15" customHeight="1" x14ac:dyDescent="0.3">
      <c r="A29" s="775">
        <v>2007</v>
      </c>
      <c r="B29" s="1409">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475</v>
      </c>
      <c r="R29" s="859">
        <v>2007</v>
      </c>
      <c r="S29" s="840" t="s">
        <v>461</v>
      </c>
      <c r="T29" s="839" t="s">
        <v>478</v>
      </c>
      <c r="U29" s="838" t="s">
        <v>479</v>
      </c>
      <c r="V29" s="835" t="s">
        <v>477</v>
      </c>
    </row>
    <row r="30" spans="1:22" ht="15" customHeight="1" x14ac:dyDescent="0.3">
      <c r="A30" s="775">
        <v>2008</v>
      </c>
      <c r="B30" s="1409">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475</v>
      </c>
      <c r="R30" s="859">
        <v>2008</v>
      </c>
      <c r="S30" s="840" t="s">
        <v>461</v>
      </c>
      <c r="T30" s="839" t="s">
        <v>478</v>
      </c>
      <c r="U30" s="838" t="s">
        <v>479</v>
      </c>
      <c r="V30" s="835" t="s">
        <v>477</v>
      </c>
    </row>
    <row r="31" spans="1:22" ht="15" customHeight="1" x14ac:dyDescent="0.3">
      <c r="A31" s="775">
        <v>2009</v>
      </c>
      <c r="B31" s="1409">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475</v>
      </c>
      <c r="R31" s="859">
        <v>2009</v>
      </c>
      <c r="S31" s="840" t="s">
        <v>461</v>
      </c>
      <c r="T31" s="839" t="s">
        <v>478</v>
      </c>
      <c r="U31" s="838" t="s">
        <v>479</v>
      </c>
      <c r="V31" s="835" t="s">
        <v>477</v>
      </c>
    </row>
    <row r="32" spans="1:22" ht="15" customHeight="1" x14ac:dyDescent="0.3">
      <c r="A32" s="775">
        <v>2010</v>
      </c>
      <c r="B32" s="1409">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475</v>
      </c>
      <c r="R32" s="859">
        <v>2010</v>
      </c>
      <c r="S32" s="840" t="s">
        <v>461</v>
      </c>
      <c r="T32" s="839" t="s">
        <v>478</v>
      </c>
      <c r="U32" s="838" t="s">
        <v>479</v>
      </c>
      <c r="V32" s="835" t="s">
        <v>477</v>
      </c>
    </row>
    <row r="33" spans="1:22" ht="15" customHeight="1" x14ac:dyDescent="0.3">
      <c r="A33" s="775">
        <v>2011</v>
      </c>
      <c r="B33" s="1780">
        <f>'Sockeye Returns Data'!CG36</f>
        <v>59581</v>
      </c>
      <c r="C33" s="779">
        <v>152248.04419374981</v>
      </c>
      <c r="D33" s="728">
        <f t="shared" si="0"/>
        <v>-92667.044193749811</v>
      </c>
      <c r="E33" s="730">
        <f t="shared" si="1"/>
        <v>-0.60865835541258162</v>
      </c>
      <c r="F33" s="782">
        <v>0.15300546448087432</v>
      </c>
      <c r="G33" s="1406">
        <v>0.80327868852459017</v>
      </c>
      <c r="H33" s="783">
        <v>2.7322404371584699E-3</v>
      </c>
      <c r="I33" s="783">
        <v>4.0983606557377046E-2</v>
      </c>
      <c r="J33" s="783">
        <v>0</v>
      </c>
      <c r="K33" s="783">
        <v>0</v>
      </c>
      <c r="L33" s="783" t="s">
        <v>257</v>
      </c>
      <c r="M33" s="783" t="s">
        <v>257</v>
      </c>
      <c r="N33" s="773">
        <f t="shared" si="2"/>
        <v>1</v>
      </c>
      <c r="O33" s="781" t="s">
        <v>475</v>
      </c>
      <c r="P33" t="s">
        <v>491</v>
      </c>
      <c r="R33" s="859">
        <v>2011</v>
      </c>
      <c r="S33" s="840" t="s">
        <v>461</v>
      </c>
      <c r="T33" s="839" t="s">
        <v>478</v>
      </c>
      <c r="U33" s="838" t="s">
        <v>479</v>
      </c>
      <c r="V33" s="835" t="s">
        <v>477</v>
      </c>
    </row>
    <row r="34" spans="1:22" ht="15" customHeight="1" x14ac:dyDescent="0.3">
      <c r="A34" s="775">
        <v>2012</v>
      </c>
      <c r="B34" s="1409">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475</v>
      </c>
      <c r="R34" s="859">
        <v>2012</v>
      </c>
      <c r="S34" s="840" t="s">
        <v>461</v>
      </c>
      <c r="T34" s="839" t="s">
        <v>478</v>
      </c>
      <c r="U34" s="838" t="s">
        <v>479</v>
      </c>
      <c r="V34" s="835" t="s">
        <v>477</v>
      </c>
    </row>
    <row r="35" spans="1:22" ht="15" customHeight="1" x14ac:dyDescent="0.3">
      <c r="A35" s="775">
        <v>2013</v>
      </c>
      <c r="B35" s="1409">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475</v>
      </c>
      <c r="R35" s="859">
        <v>2013</v>
      </c>
      <c r="S35" s="840" t="s">
        <v>461</v>
      </c>
      <c r="T35" s="839" t="s">
        <v>478</v>
      </c>
      <c r="U35" s="838" t="s">
        <v>479</v>
      </c>
      <c r="V35" s="839" t="s">
        <v>492</v>
      </c>
    </row>
    <row r="36" spans="1:22" ht="15" customHeight="1" x14ac:dyDescent="0.3">
      <c r="A36" s="775">
        <v>2014</v>
      </c>
      <c r="B36" s="1409">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475</v>
      </c>
      <c r="R36" s="859">
        <v>2014</v>
      </c>
      <c r="S36" s="840" t="s">
        <v>461</v>
      </c>
      <c r="T36" s="839" t="s">
        <v>478</v>
      </c>
      <c r="U36" s="838" t="s">
        <v>479</v>
      </c>
      <c r="V36" s="835" t="s">
        <v>477</v>
      </c>
    </row>
    <row r="37" spans="1:22" ht="15" customHeight="1" x14ac:dyDescent="0.3">
      <c r="A37" s="775">
        <v>2015</v>
      </c>
      <c r="B37" s="1409">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475</v>
      </c>
      <c r="P37" t="s">
        <v>493</v>
      </c>
      <c r="R37" s="859">
        <v>2015</v>
      </c>
      <c r="S37" s="840" t="s">
        <v>461</v>
      </c>
      <c r="T37" s="839" t="s">
        <v>478</v>
      </c>
      <c r="U37" s="838" t="s">
        <v>479</v>
      </c>
      <c r="V37" s="835" t="s">
        <v>477</v>
      </c>
    </row>
    <row r="38" spans="1:22" ht="15" customHeight="1" x14ac:dyDescent="0.3">
      <c r="A38" s="775">
        <v>2016</v>
      </c>
      <c r="B38" s="1409">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475</v>
      </c>
      <c r="R38" s="859">
        <v>2016</v>
      </c>
      <c r="S38" s="840" t="s">
        <v>461</v>
      </c>
      <c r="T38" s="839" t="s">
        <v>478</v>
      </c>
      <c r="U38" s="838" t="s">
        <v>479</v>
      </c>
      <c r="V38" s="835" t="s">
        <v>477</v>
      </c>
    </row>
    <row r="39" spans="1:22" ht="15" customHeight="1" x14ac:dyDescent="0.3">
      <c r="A39" s="775">
        <v>2017</v>
      </c>
      <c r="B39" s="1409">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475</v>
      </c>
      <c r="R39" s="859">
        <v>2017</v>
      </c>
      <c r="S39" s="840" t="s">
        <v>461</v>
      </c>
      <c r="T39" s="839" t="s">
        <v>478</v>
      </c>
      <c r="U39" s="838" t="s">
        <v>479</v>
      </c>
      <c r="V39" s="835" t="s">
        <v>477</v>
      </c>
    </row>
    <row r="40" spans="1:22" ht="15" customHeight="1" x14ac:dyDescent="0.3">
      <c r="A40" s="775">
        <v>2018</v>
      </c>
      <c r="B40" s="1409">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475</v>
      </c>
      <c r="R40" s="859">
        <v>2018</v>
      </c>
      <c r="S40" s="840" t="s">
        <v>461</v>
      </c>
      <c r="T40" s="839" t="s">
        <v>478</v>
      </c>
      <c r="U40" s="835" t="s">
        <v>479</v>
      </c>
      <c r="V40" s="835" t="s">
        <v>477</v>
      </c>
    </row>
    <row r="41" spans="1:22" ht="15" customHeight="1" x14ac:dyDescent="0.3">
      <c r="A41" s="775">
        <v>2019</v>
      </c>
      <c r="B41" s="1409">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475</v>
      </c>
      <c r="R41" s="859">
        <v>2019</v>
      </c>
      <c r="S41" s="840" t="s">
        <v>461</v>
      </c>
      <c r="T41" s="839" t="s">
        <v>478</v>
      </c>
      <c r="U41" s="838" t="s">
        <v>479</v>
      </c>
      <c r="V41" s="835" t="s">
        <v>477</v>
      </c>
    </row>
    <row r="42" spans="1:22" ht="15" customHeight="1" x14ac:dyDescent="0.3">
      <c r="A42" s="775">
        <v>2020</v>
      </c>
      <c r="B42" s="1409">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64" t="s">
        <v>494</v>
      </c>
      <c r="P42" t="s">
        <v>495</v>
      </c>
      <c r="R42" s="859">
        <v>2020</v>
      </c>
      <c r="S42" s="840" t="s">
        <v>461</v>
      </c>
      <c r="T42" s="839" t="s">
        <v>478</v>
      </c>
      <c r="U42" s="838" t="s">
        <v>479</v>
      </c>
      <c r="V42" s="2162" t="s">
        <v>496</v>
      </c>
    </row>
    <row r="43" spans="1:22" ht="15" customHeight="1" x14ac:dyDescent="0.3">
      <c r="A43" s="775">
        <v>2021</v>
      </c>
      <c r="B43" s="1409">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64" t="s">
        <v>494</v>
      </c>
      <c r="P43" t="s">
        <v>497</v>
      </c>
      <c r="R43" s="859">
        <v>2021</v>
      </c>
      <c r="S43" s="840" t="s">
        <v>461</v>
      </c>
      <c r="T43" s="839" t="s">
        <v>478</v>
      </c>
      <c r="U43" s="838" t="s">
        <v>479</v>
      </c>
      <c r="V43" s="2162" t="s">
        <v>496</v>
      </c>
    </row>
    <row r="44" spans="1:22" ht="15" customHeight="1" thickBot="1" x14ac:dyDescent="0.35">
      <c r="A44" s="944">
        <v>2022</v>
      </c>
      <c r="B44" s="1409">
        <f>'Sockeye Returns Data'!BW47</f>
        <v>414583.32661141601</v>
      </c>
      <c r="C44" s="851">
        <f>537299-VLOOKUP($A44,Skaha_Returns_PenChannel,2)</f>
        <v>497299</v>
      </c>
      <c r="D44" s="852">
        <f t="shared" si="0"/>
        <v>-82715.673388583993</v>
      </c>
      <c r="E44" s="853"/>
      <c r="F44" s="782">
        <v>1.9E-2</v>
      </c>
      <c r="G44" s="783">
        <v>0.86099999999999999</v>
      </c>
      <c r="H44" s="783">
        <v>8.0000000000000002E-3</v>
      </c>
      <c r="I44" s="783">
        <v>0.12</v>
      </c>
      <c r="J44" s="783"/>
      <c r="K44" s="783" t="s">
        <v>257</v>
      </c>
      <c r="L44" s="783" t="s">
        <v>257</v>
      </c>
      <c r="M44" s="783" t="s">
        <v>257</v>
      </c>
      <c r="N44" s="773">
        <f t="shared" si="2"/>
        <v>1.008</v>
      </c>
      <c r="O44" s="2164" t="s">
        <v>494</v>
      </c>
      <c r="P44" t="s">
        <v>498</v>
      </c>
      <c r="R44" s="859">
        <v>2022</v>
      </c>
      <c r="S44" s="840" t="s">
        <v>461</v>
      </c>
      <c r="T44" s="841" t="s">
        <v>478</v>
      </c>
      <c r="U44" s="838" t="s">
        <v>479</v>
      </c>
      <c r="V44" s="2163" t="s">
        <v>496</v>
      </c>
    </row>
    <row r="45" spans="1:22" ht="15" customHeight="1" thickBot="1" x14ac:dyDescent="0.35">
      <c r="A45" s="944">
        <v>2023</v>
      </c>
      <c r="B45" s="1409">
        <f>'Sockeye Returns Data'!BW48</f>
        <v>109627.63797347041</v>
      </c>
      <c r="C45" s="851">
        <f>537299-VLOOKUP($A45,Skaha_Returns_PenChannel,2)</f>
        <v>497299</v>
      </c>
      <c r="D45" s="852">
        <f t="shared" ref="D45" si="3">B45-C45</f>
        <v>-387671.36202652962</v>
      </c>
      <c r="E45" s="853"/>
      <c r="F45" s="782">
        <v>8.8999999999999996E-2</v>
      </c>
      <c r="G45" s="783">
        <v>0.81200000000000006</v>
      </c>
      <c r="H45" s="783">
        <v>3.0000000000000001E-3</v>
      </c>
      <c r="I45" s="783">
        <v>9.6000000000000002E-2</v>
      </c>
      <c r="J45" s="783">
        <v>0</v>
      </c>
      <c r="K45" s="783" t="s">
        <v>257</v>
      </c>
      <c r="L45" s="783" t="s">
        <v>257</v>
      </c>
      <c r="M45" s="783" t="s">
        <v>257</v>
      </c>
      <c r="N45" s="773">
        <f t="shared" ref="N45" si="4">SUM(F45:M45)</f>
        <v>1</v>
      </c>
      <c r="O45" s="2164" t="s">
        <v>494</v>
      </c>
      <c r="P45" t="s">
        <v>499</v>
      </c>
      <c r="R45" s="859">
        <v>2023</v>
      </c>
      <c r="S45" s="840" t="s">
        <v>461</v>
      </c>
      <c r="T45" s="841" t="s">
        <v>478</v>
      </c>
      <c r="U45" s="838" t="s">
        <v>479</v>
      </c>
      <c r="V45" s="2163" t="s">
        <v>496</v>
      </c>
    </row>
    <row r="48" spans="1:22" ht="15" customHeight="1" x14ac:dyDescent="0.3">
      <c r="H48" s="854"/>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544" t="s">
        <v>500</v>
      </c>
      <c r="B1" s="2571" t="s">
        <v>210</v>
      </c>
      <c r="C1" s="2573" t="s">
        <v>501</v>
      </c>
      <c r="D1" s="2568" t="s">
        <v>502</v>
      </c>
      <c r="E1" s="2569" t="s">
        <v>503</v>
      </c>
      <c r="F1" s="2568" t="s">
        <v>393</v>
      </c>
      <c r="G1" s="2569" t="s">
        <v>504</v>
      </c>
      <c r="I1" t="s">
        <v>505</v>
      </c>
    </row>
    <row r="2" spans="1:9" ht="24" customHeight="1" thickBot="1" x14ac:dyDescent="0.35">
      <c r="A2" s="2545"/>
      <c r="B2" s="2572"/>
      <c r="C2" s="2574"/>
      <c r="D2" s="2438"/>
      <c r="E2" s="2570"/>
      <c r="F2" s="2438"/>
      <c r="G2" s="2570"/>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544" t="s">
        <v>13</v>
      </c>
      <c r="B1" s="2585" t="s">
        <v>210</v>
      </c>
      <c r="C1" s="2587" t="s">
        <v>392</v>
      </c>
      <c r="D1" s="2589" t="s">
        <v>393</v>
      </c>
      <c r="E1" s="2591" t="s">
        <v>506</v>
      </c>
      <c r="F1" s="2581" t="s">
        <v>399</v>
      </c>
      <c r="G1" s="2579" t="s">
        <v>507</v>
      </c>
      <c r="H1" s="2544" t="s">
        <v>508</v>
      </c>
      <c r="I1" s="2581" t="s">
        <v>509</v>
      </c>
      <c r="J1" s="2581" t="s">
        <v>510</v>
      </c>
      <c r="K1" s="2581" t="s">
        <v>511</v>
      </c>
      <c r="L1" s="2581" t="s">
        <v>512</v>
      </c>
      <c r="M1" s="2583" t="s">
        <v>511</v>
      </c>
    </row>
    <row r="2" spans="1:14" ht="46.95" customHeight="1" thickBot="1" x14ac:dyDescent="0.35">
      <c r="A2" s="2545"/>
      <c r="B2" s="2586"/>
      <c r="C2" s="2588"/>
      <c r="D2" s="2590"/>
      <c r="E2" s="2592"/>
      <c r="F2" s="2582"/>
      <c r="G2" s="2580"/>
      <c r="H2" s="2545"/>
      <c r="I2" s="2582"/>
      <c r="J2" s="2582"/>
      <c r="K2" s="2582"/>
      <c r="L2" s="2582"/>
      <c r="M2" s="2584"/>
    </row>
    <row r="3" spans="1:14" ht="58.2" thickBot="1" x14ac:dyDescent="0.35">
      <c r="A3" s="913" t="s">
        <v>243</v>
      </c>
      <c r="B3" s="914">
        <v>2019</v>
      </c>
      <c r="C3" s="932">
        <f>VLOOKUP(B3,Smolt_Abundance,5)</f>
        <v>1556054</v>
      </c>
      <c r="D3" s="929">
        <v>91420.560052883011</v>
      </c>
      <c r="E3" s="915">
        <v>0.10017725419672734</v>
      </c>
      <c r="F3" s="916" t="s">
        <v>513</v>
      </c>
      <c r="G3" s="991" t="s">
        <v>514</v>
      </c>
      <c r="H3" s="995" t="s">
        <v>515</v>
      </c>
      <c r="I3" s="917">
        <f>0</f>
        <v>0</v>
      </c>
      <c r="J3" s="926">
        <f ca="1">AVERAGEIF(NOAA_OCI_MeanRanks,"&gt;=15",'Smolt to Adult Survival'!$E$22:$E$45)</f>
        <v>2.9811055054465407E-2</v>
      </c>
      <c r="K3" s="918">
        <f ca="1">J3*I3*C3</f>
        <v>0</v>
      </c>
      <c r="L3" s="926">
        <f ca="1">AVERAGEIF('Smolt to Adult Survival'!$M$30:$M$45,"&gt;=15",'Smolt to Adult Survival'!$E$30:$E$45)</f>
        <v>2.436399642233587E-2</v>
      </c>
      <c r="M3" s="923">
        <f ca="1">L3*I3*C3</f>
        <v>0</v>
      </c>
    </row>
    <row r="4" spans="1:14" ht="58.2" thickBot="1" x14ac:dyDescent="0.35">
      <c r="A4" s="450" t="s">
        <v>243</v>
      </c>
      <c r="B4" s="906">
        <v>2020</v>
      </c>
      <c r="C4" s="933">
        <f>VLOOKUP(B4,Smolt_Abundance,5)</f>
        <v>2540161</v>
      </c>
      <c r="D4" s="930">
        <v>557876.03585206589</v>
      </c>
      <c r="E4" s="907">
        <v>0.21962231364549958</v>
      </c>
      <c r="F4" s="908" t="s">
        <v>516</v>
      </c>
      <c r="G4" s="992" t="s">
        <v>517</v>
      </c>
      <c r="H4" s="996" t="s">
        <v>518</v>
      </c>
      <c r="I4" s="909">
        <f>'Adult Returns Data'!J69</f>
        <v>7.1777643921627582E-2</v>
      </c>
      <c r="J4" s="927">
        <f ca="1">AVERAGEIF(NOAA_OCI_MeanRanks,"&gt;=10",'Smolt to Adult Survival'!$E$22:$E$45)</f>
        <v>5.0945739897827656E-2</v>
      </c>
      <c r="K4" s="910">
        <f ca="1">J4*I4*C4</f>
        <v>9288.7722905773389</v>
      </c>
      <c r="L4" s="927">
        <f ca="1">AVERAGEIF('Smolt to Adult Survival'!$M$30:$M$45,"&gt;=10",'Smolt to Adult Survival'!$E$30:$E$45)</f>
        <v>5.6155144098991402E-2</v>
      </c>
      <c r="M4" s="924">
        <f ca="1">L4*I4*C4</f>
        <v>10238.586141376869</v>
      </c>
    </row>
    <row r="5" spans="1:14" ht="58.2" thickBot="1" x14ac:dyDescent="0.35">
      <c r="A5" s="450" t="s">
        <v>243</v>
      </c>
      <c r="B5" s="906">
        <v>2021</v>
      </c>
      <c r="C5" s="933">
        <f>VLOOKUP(B5,Smolt_Abundance,5)</f>
        <v>1464091</v>
      </c>
      <c r="D5" s="930" t="s">
        <v>257</v>
      </c>
      <c r="E5" s="907" t="s">
        <v>257</v>
      </c>
      <c r="F5" s="911" t="s">
        <v>519</v>
      </c>
      <c r="G5" s="993" t="s">
        <v>520</v>
      </c>
      <c r="H5" s="997" t="s">
        <v>521</v>
      </c>
      <c r="I5" s="909">
        <f>'Adult Returns Data'!I69</f>
        <v>0.84698222527411882</v>
      </c>
      <c r="J5" s="928">
        <f ca="1">AVERAGEIF(NOAA_OCI_MeanRanks,"&lt;10",'Smolt to Adult Survival'!$E$22:$E$45)</f>
        <v>7.1371555189223862E-2</v>
      </c>
      <c r="K5" s="912">
        <f ca="1">J5*I5*C5</f>
        <v>88504.943152204971</v>
      </c>
      <c r="L5" s="928">
        <f ca="1">AVERAGEIF('Smolt to Adult Survival'!$M$30:$M$45,"&lt;10",'Smolt to Adult Survival'!$E$30:$E$45)</f>
        <v>9.972723924532656E-2</v>
      </c>
      <c r="M5" s="925">
        <f ca="1">L5*I5*C5</f>
        <v>123667.66587519494</v>
      </c>
    </row>
    <row r="6" spans="1:14" ht="115.8" thickBot="1" x14ac:dyDescent="0.35">
      <c r="A6" s="934" t="s">
        <v>243</v>
      </c>
      <c r="B6" s="935">
        <v>2022</v>
      </c>
      <c r="C6" s="936">
        <f>VLOOKUP(B6,Smolt_Abundance,5)</f>
        <v>3673223</v>
      </c>
      <c r="D6" s="931" t="s">
        <v>257</v>
      </c>
      <c r="E6" s="919" t="s">
        <v>257</v>
      </c>
      <c r="F6" s="920" t="s">
        <v>516</v>
      </c>
      <c r="G6" s="994" t="s">
        <v>522</v>
      </c>
      <c r="H6" s="996" t="s">
        <v>523</v>
      </c>
      <c r="I6" s="909">
        <f>'Adult Returns Data'!H69</f>
        <v>8.1240130804253519E-2</v>
      </c>
      <c r="J6" s="927">
        <f ca="1">AVERAGEIF(NOAA_OCI_MeanRanks,"&gt;=10",'Smolt to Adult Survival'!$E$22:$E$45)</f>
        <v>5.0945739897827656E-2</v>
      </c>
      <c r="K6" s="910">
        <f ca="1">J6*I6*C6</f>
        <v>15202.877040435202</v>
      </c>
      <c r="L6" s="927">
        <f ca="1">AVERAGEIF('Smolt to Adult Survival'!$M$30:$M$45,"&gt;=10",'Smolt to Adult Survival'!$E$30:$E$45)</f>
        <v>5.6155144098991402E-2</v>
      </c>
      <c r="M6" s="924">
        <f ca="1">L6*I6*C6</f>
        <v>16757.431585781906</v>
      </c>
    </row>
    <row r="7" spans="1:14" ht="37.950000000000003" customHeight="1" thickBot="1" x14ac:dyDescent="0.35">
      <c r="A7" s="921" t="s">
        <v>243</v>
      </c>
      <c r="B7" s="922">
        <v>2023</v>
      </c>
      <c r="C7" s="2577"/>
      <c r="D7" s="2578"/>
      <c r="E7" s="2578"/>
      <c r="F7" s="2578"/>
      <c r="G7" s="2578"/>
      <c r="H7" s="2578"/>
      <c r="I7" s="2578"/>
      <c r="J7" s="2578"/>
      <c r="K7" s="1065">
        <f ca="1">SUM(K3:K6)</f>
        <v>112996.59248321751</v>
      </c>
      <c r="L7" s="937" t="s">
        <v>524</v>
      </c>
      <c r="M7" s="938">
        <f ca="1">SUM(M3:M6)</f>
        <v>150663.68360235373</v>
      </c>
      <c r="N7" s="2040" t="s">
        <v>525</v>
      </c>
    </row>
    <row r="8" spans="1:14" ht="15" thickBot="1" x14ac:dyDescent="0.35">
      <c r="I8" s="1062"/>
      <c r="J8" s="1063" t="s">
        <v>526</v>
      </c>
      <c r="K8" s="1064">
        <v>0.15</v>
      </c>
      <c r="L8" s="1062" t="s">
        <v>527</v>
      </c>
    </row>
    <row r="9" spans="1:14" x14ac:dyDescent="0.3">
      <c r="A9" s="1002" t="s">
        <v>528</v>
      </c>
      <c r="B9" s="316" t="s">
        <v>529</v>
      </c>
      <c r="C9" s="1004">
        <v>187400</v>
      </c>
      <c r="J9" s="2049" t="s">
        <v>530</v>
      </c>
      <c r="K9" s="2050">
        <f ca="1">$K$7-$K$7*$K$8</f>
        <v>96047.103610734877</v>
      </c>
      <c r="M9" s="2041">
        <f ca="1">$M$7-$M$7*$K$8</f>
        <v>128064.13106200067</v>
      </c>
      <c r="N9" s="2575" t="s">
        <v>525</v>
      </c>
    </row>
    <row r="10" spans="1:14" ht="15" thickBot="1" x14ac:dyDescent="0.35">
      <c r="B10" t="s">
        <v>531</v>
      </c>
      <c r="C10" s="713">
        <v>44300</v>
      </c>
      <c r="J10" s="2051" t="s">
        <v>532</v>
      </c>
      <c r="K10" s="2052">
        <f ca="1">$K$7+$K$7*$K$8</f>
        <v>129946.08135570014</v>
      </c>
      <c r="M10" s="2042">
        <f ca="1">$M$7+$M$7*$K$8</f>
        <v>173263.2361427068</v>
      </c>
      <c r="N10" s="2576"/>
    </row>
    <row r="11" spans="1:14" x14ac:dyDescent="0.3">
      <c r="B11" t="s">
        <v>533</v>
      </c>
      <c r="C11" s="713">
        <v>2600</v>
      </c>
    </row>
    <row r="12" spans="1:14" x14ac:dyDescent="0.3">
      <c r="B12" t="s">
        <v>343</v>
      </c>
      <c r="C12" s="713">
        <v>200</v>
      </c>
    </row>
    <row r="13" spans="1:14" x14ac:dyDescent="0.3">
      <c r="B13" t="s">
        <v>221</v>
      </c>
      <c r="C13" s="713">
        <f>SUM(C9:C12)</f>
        <v>234500</v>
      </c>
    </row>
    <row r="14" spans="1:14" x14ac:dyDescent="0.3">
      <c r="A14" t="s">
        <v>534</v>
      </c>
      <c r="B14" s="1003" t="s">
        <v>535</v>
      </c>
      <c r="C14" s="664"/>
    </row>
    <row r="15" spans="1:14" x14ac:dyDescent="0.3">
      <c r="B15" t="s">
        <v>536</v>
      </c>
      <c r="C15" s="442">
        <v>44942</v>
      </c>
    </row>
  </sheetData>
  <sortState xmlns:xlrd2="http://schemas.microsoft.com/office/spreadsheetml/2017/richdata2" ref="A3:M6">
    <sortCondition ref="B3:B6"/>
  </sortState>
  <mergeCells count="15">
    <mergeCell ref="A1:A2"/>
    <mergeCell ref="B1:B2"/>
    <mergeCell ref="C1:C2"/>
    <mergeCell ref="D1:D2"/>
    <mergeCell ref="E1:E2"/>
    <mergeCell ref="N9:N10"/>
    <mergeCell ref="C7:J7"/>
    <mergeCell ref="G1:G2"/>
    <mergeCell ref="H1:H2"/>
    <mergeCell ref="I1:I2"/>
    <mergeCell ref="J1:J2"/>
    <mergeCell ref="K1:K2"/>
    <mergeCell ref="L1:L2"/>
    <mergeCell ref="M1:M2"/>
    <mergeCell ref="F1:F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T79" activePane="bottomRight" state="frozen"/>
      <selection pane="topRight" activeCell="C15" sqref="C15"/>
      <selection pane="bottomLeft" activeCell="C15" sqref="C15"/>
      <selection pane="bottomRight" activeCell="AI244" sqref="AI244"/>
    </sheetView>
  </sheetViews>
  <sheetFormatPr defaultColWidth="8.6640625" defaultRowHeight="13.2" x14ac:dyDescent="0.25"/>
  <cols>
    <col min="1" max="1" width="16.5546875" style="559" bestFit="1" customWidth="1"/>
    <col min="2" max="2" width="12.44140625" style="557" hidden="1" customWidth="1"/>
    <col min="3" max="3" width="9.5546875" style="557" customWidth="1"/>
    <col min="4" max="5" width="9.5546875" style="557" hidden="1" customWidth="1"/>
    <col min="6" max="6" width="11.109375" style="557" hidden="1" customWidth="1"/>
    <col min="7" max="8" width="13.33203125" style="648" hidden="1" customWidth="1"/>
    <col min="9" max="9" width="13.33203125" style="650" hidden="1" customWidth="1"/>
    <col min="10" max="10" width="15.5546875" style="572" hidden="1" customWidth="1"/>
    <col min="11" max="11" width="14.6640625" style="651" hidden="1" customWidth="1"/>
    <col min="12" max="12" width="15.88671875" style="572" hidden="1" customWidth="1"/>
    <col min="13" max="13" width="13.88671875" style="572" hidden="1" customWidth="1"/>
    <col min="14" max="14" width="15.88671875" style="572" hidden="1" customWidth="1"/>
    <col min="15" max="15" width="15.44140625" style="572" hidden="1" customWidth="1"/>
    <col min="16" max="16" width="19.6640625" style="599" hidden="1" customWidth="1"/>
    <col min="17" max="17" width="17" style="599" hidden="1" customWidth="1"/>
    <col min="18" max="18" width="13.33203125" style="599" hidden="1" customWidth="1"/>
    <col min="19" max="19" width="15.33203125" style="559" hidden="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30"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53.4" thickBot="1" x14ac:dyDescent="0.3">
      <c r="A1" s="536" t="s">
        <v>13</v>
      </c>
      <c r="B1" s="537" t="s">
        <v>537</v>
      </c>
      <c r="C1" s="538" t="s">
        <v>538</v>
      </c>
      <c r="D1" s="539" t="s">
        <v>539</v>
      </c>
      <c r="E1" s="540" t="s">
        <v>540</v>
      </c>
      <c r="F1" s="541" t="s">
        <v>541</v>
      </c>
      <c r="G1" s="541" t="s">
        <v>542</v>
      </c>
      <c r="H1" s="541" t="s">
        <v>543</v>
      </c>
      <c r="I1" s="542" t="s">
        <v>544</v>
      </c>
      <c r="J1" s="542" t="s">
        <v>545</v>
      </c>
      <c r="K1" s="543" t="s">
        <v>546</v>
      </c>
      <c r="L1" s="544" t="s">
        <v>547</v>
      </c>
      <c r="M1" s="544" t="s">
        <v>548</v>
      </c>
      <c r="N1" s="544" t="s">
        <v>549</v>
      </c>
      <c r="O1" s="545" t="s">
        <v>550</v>
      </c>
      <c r="P1" s="545" t="s">
        <v>551</v>
      </c>
      <c r="Q1" s="545" t="s">
        <v>552</v>
      </c>
      <c r="R1" s="545" t="s">
        <v>553</v>
      </c>
      <c r="S1" s="546" t="s">
        <v>554</v>
      </c>
      <c r="T1" s="547" t="s">
        <v>357</v>
      </c>
      <c r="U1" s="548" t="s">
        <v>555</v>
      </c>
      <c r="V1" s="2166" t="s">
        <v>556</v>
      </c>
      <c r="W1" s="2165" t="s">
        <v>557</v>
      </c>
      <c r="X1" s="549" t="s">
        <v>558</v>
      </c>
      <c r="Y1" s="550" t="s">
        <v>559</v>
      </c>
      <c r="Z1" s="551" t="s">
        <v>560</v>
      </c>
      <c r="AA1" s="2326" t="s">
        <v>1328</v>
      </c>
      <c r="AB1" s="552" t="s">
        <v>561</v>
      </c>
      <c r="AC1" s="553" t="s">
        <v>562</v>
      </c>
      <c r="AD1" s="553" t="s">
        <v>563</v>
      </c>
      <c r="AE1" s="554" t="s">
        <v>564</v>
      </c>
      <c r="AF1" s="553" t="s">
        <v>565</v>
      </c>
      <c r="AG1" s="553" t="s">
        <v>566</v>
      </c>
      <c r="AH1" s="555" t="s">
        <v>567</v>
      </c>
      <c r="AI1" s="556" t="s">
        <v>450</v>
      </c>
      <c r="AK1" s="558"/>
    </row>
    <row r="2" spans="1:37" ht="14.4" hidden="1" x14ac:dyDescent="0.3">
      <c r="A2" s="560" t="s">
        <v>568</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4">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33"/>
      <c r="X2" s="559"/>
      <c r="Y2" s="576">
        <v>5.1999999999999998E-2</v>
      </c>
      <c r="Z2" s="2331">
        <f t="shared" ref="Z2:Z26" si="16">K2*Y2</f>
        <v>2032.3729165875197</v>
      </c>
      <c r="AA2" s="2332" t="s">
        <v>1329</v>
      </c>
      <c r="AB2" s="578"/>
      <c r="AC2" s="578"/>
      <c r="AD2" s="578"/>
      <c r="AE2" s="578"/>
      <c r="AF2" s="578"/>
      <c r="AG2" s="578"/>
      <c r="AH2" s="579"/>
      <c r="AI2" s="556" t="s">
        <v>569</v>
      </c>
      <c r="AK2" s="558"/>
    </row>
    <row r="3" spans="1:37" ht="14.4" hidden="1" x14ac:dyDescent="0.3">
      <c r="A3" s="560" t="s">
        <v>568</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5">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2334"/>
      <c r="X3" s="559"/>
      <c r="Y3" s="582">
        <v>0.82499999999999996</v>
      </c>
      <c r="Z3" s="2331">
        <f t="shared" si="16"/>
        <v>32244.378003551996</v>
      </c>
      <c r="AA3" s="2332" t="s">
        <v>1329</v>
      </c>
      <c r="AB3" s="578"/>
      <c r="AC3" s="578"/>
      <c r="AD3" s="578"/>
      <c r="AE3" s="578"/>
      <c r="AF3" s="578"/>
      <c r="AG3" s="578"/>
      <c r="AH3" s="579"/>
      <c r="AI3" s="556" t="s">
        <v>569</v>
      </c>
      <c r="AK3" s="558"/>
    </row>
    <row r="4" spans="1:37" ht="14.4" hidden="1" x14ac:dyDescent="0.3">
      <c r="A4" s="560" t="s">
        <v>568</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5">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2334"/>
      <c r="X4" s="559"/>
      <c r="Y4" s="582">
        <v>8.3000000000000004E-2</v>
      </c>
      <c r="Z4" s="2331">
        <f t="shared" si="16"/>
        <v>3243.9798476300798</v>
      </c>
      <c r="AA4" s="2332" t="s">
        <v>1329</v>
      </c>
      <c r="AB4" s="578"/>
      <c r="AC4" s="578"/>
      <c r="AD4" s="578"/>
      <c r="AE4" s="578"/>
      <c r="AF4" s="578"/>
      <c r="AG4" s="578"/>
      <c r="AH4" s="579"/>
      <c r="AI4" s="556" t="s">
        <v>569</v>
      </c>
      <c r="AK4" s="558"/>
    </row>
    <row r="5" spans="1:37" ht="14.4" hidden="1" x14ac:dyDescent="0.3">
      <c r="A5" s="560" t="s">
        <v>568</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5">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2333"/>
      <c r="X5" s="559"/>
      <c r="Y5" s="576">
        <v>2.3E-2</v>
      </c>
      <c r="Z5" s="2331">
        <f t="shared" si="16"/>
        <v>898.93417464447987</v>
      </c>
      <c r="AA5" s="2332" t="s">
        <v>1329</v>
      </c>
      <c r="AB5" s="578"/>
      <c r="AC5" s="578"/>
      <c r="AD5" s="578"/>
      <c r="AE5" s="578"/>
      <c r="AF5" s="578"/>
      <c r="AG5" s="578"/>
      <c r="AH5" s="579"/>
      <c r="AI5" s="556" t="s">
        <v>569</v>
      </c>
      <c r="AK5" s="558"/>
    </row>
    <row r="6" spans="1:37" ht="14.4" hidden="1" x14ac:dyDescent="0.3">
      <c r="A6" s="560" t="s">
        <v>568</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5">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2333"/>
      <c r="X6" s="559"/>
      <c r="Y6" s="576">
        <v>1.6E-2</v>
      </c>
      <c r="Z6" s="2331">
        <f t="shared" si="16"/>
        <v>625.34551279615994</v>
      </c>
      <c r="AA6" s="2332" t="s">
        <v>1329</v>
      </c>
      <c r="AB6" s="578"/>
      <c r="AC6" s="578"/>
      <c r="AD6" s="578"/>
      <c r="AE6" s="578"/>
      <c r="AF6" s="578"/>
      <c r="AG6" s="578"/>
      <c r="AH6" s="579"/>
      <c r="AI6" s="556" t="s">
        <v>569</v>
      </c>
      <c r="AK6" s="558"/>
    </row>
    <row r="7" spans="1:37" ht="14.4" hidden="1" x14ac:dyDescent="0.3">
      <c r="A7" s="560" t="s">
        <v>568</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5">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2331">
        <f t="shared" si="16"/>
        <v>2200.4286474232395</v>
      </c>
      <c r="AA7" s="2332" t="s">
        <v>1329</v>
      </c>
      <c r="AB7" s="583"/>
      <c r="AC7" s="583"/>
      <c r="AD7" s="583"/>
      <c r="AE7" s="584"/>
      <c r="AF7" s="583"/>
      <c r="AG7" s="583"/>
      <c r="AH7" s="585"/>
      <c r="AI7" s="556" t="s">
        <v>569</v>
      </c>
      <c r="AK7" s="558"/>
    </row>
    <row r="8" spans="1:37" ht="14.4" hidden="1" x14ac:dyDescent="0.3">
      <c r="A8" s="560" t="s">
        <v>568</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5">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2331">
        <f t="shared" si="16"/>
        <v>34910.646810080238</v>
      </c>
      <c r="AA8" s="2332" t="s">
        <v>1329</v>
      </c>
      <c r="AB8" s="583"/>
      <c r="AC8" s="583"/>
      <c r="AD8" s="583"/>
      <c r="AE8" s="584"/>
      <c r="AF8" s="583"/>
      <c r="AG8" s="583"/>
      <c r="AH8" s="585"/>
      <c r="AI8" s="556" t="s">
        <v>569</v>
      </c>
      <c r="AK8" s="558"/>
    </row>
    <row r="9" spans="1:37" ht="14.4" hidden="1" x14ac:dyDescent="0.3">
      <c r="A9" s="560" t="s">
        <v>568</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5">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2331">
        <f t="shared" si="16"/>
        <v>3512.2226487717094</v>
      </c>
      <c r="AA9" s="2332" t="s">
        <v>1329</v>
      </c>
      <c r="AB9" s="583"/>
      <c r="AC9" s="583"/>
      <c r="AD9" s="583"/>
      <c r="AE9" s="584"/>
      <c r="AF9" s="583"/>
      <c r="AG9" s="583"/>
      <c r="AH9" s="585"/>
      <c r="AI9" s="556" t="s">
        <v>569</v>
      </c>
      <c r="AK9" s="558"/>
    </row>
    <row r="10" spans="1:37" ht="14.4" hidden="1" x14ac:dyDescent="0.3">
      <c r="A10" s="560" t="s">
        <v>568</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5">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2331">
        <f t="shared" si="16"/>
        <v>973.26651712950979</v>
      </c>
      <c r="AA10" s="2332" t="s">
        <v>1329</v>
      </c>
      <c r="AB10" s="583"/>
      <c r="AC10" s="583"/>
      <c r="AD10" s="583"/>
      <c r="AE10" s="584"/>
      <c r="AF10" s="583"/>
      <c r="AG10" s="583"/>
      <c r="AH10" s="585"/>
      <c r="AI10" s="556" t="s">
        <v>569</v>
      </c>
      <c r="AK10" s="558"/>
    </row>
    <row r="11" spans="1:37" ht="14.4" hidden="1" x14ac:dyDescent="0.3">
      <c r="A11" s="560" t="s">
        <v>568</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5">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2331">
        <f t="shared" si="16"/>
        <v>677.05496843791991</v>
      </c>
      <c r="AA11" s="2332" t="s">
        <v>1329</v>
      </c>
      <c r="AB11" s="583"/>
      <c r="AC11" s="583"/>
      <c r="AD11" s="583"/>
      <c r="AE11" s="584"/>
      <c r="AF11" s="583"/>
      <c r="AG11" s="583"/>
      <c r="AH11" s="585"/>
      <c r="AI11" s="556" t="s">
        <v>569</v>
      </c>
      <c r="AK11" s="558"/>
    </row>
    <row r="12" spans="1:37" ht="14.4" hidden="1" x14ac:dyDescent="0.3">
      <c r="A12" s="560" t="s">
        <v>568</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5">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31">
        <f t="shared" si="16"/>
        <v>1405.3968804491199</v>
      </c>
      <c r="AA12" s="2332" t="s">
        <v>1329</v>
      </c>
      <c r="AB12" s="583"/>
      <c r="AC12" s="583"/>
      <c r="AD12" s="583"/>
      <c r="AE12" s="584"/>
      <c r="AF12" s="583"/>
      <c r="AG12" s="583"/>
      <c r="AH12" s="585"/>
      <c r="AI12" s="556" t="s">
        <v>569</v>
      </c>
      <c r="AK12" s="558"/>
    </row>
    <row r="13" spans="1:37" ht="14.4" hidden="1" x14ac:dyDescent="0.3">
      <c r="A13" s="560" t="s">
        <v>568</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5">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2331">
        <f t="shared" si="16"/>
        <v>22297.162045586996</v>
      </c>
      <c r="AA13" s="2332" t="s">
        <v>1329</v>
      </c>
      <c r="AB13" s="583"/>
      <c r="AC13" s="583"/>
      <c r="AD13" s="583"/>
      <c r="AE13" s="584"/>
      <c r="AF13" s="583"/>
      <c r="AG13" s="583"/>
      <c r="AH13" s="585"/>
      <c r="AI13" s="556" t="s">
        <v>569</v>
      </c>
      <c r="AK13" s="558"/>
    </row>
    <row r="14" spans="1:37" ht="14.4" hidden="1" x14ac:dyDescent="0.3">
      <c r="A14" s="560" t="s">
        <v>568</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5">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2331">
        <f t="shared" si="16"/>
        <v>2243.2296361014801</v>
      </c>
      <c r="AA14" s="2332" t="s">
        <v>1329</v>
      </c>
      <c r="AB14" s="583"/>
      <c r="AC14" s="583"/>
      <c r="AD14" s="583"/>
      <c r="AE14" s="584"/>
      <c r="AF14" s="583"/>
      <c r="AG14" s="583"/>
      <c r="AH14" s="585"/>
      <c r="AI14" s="556" t="s">
        <v>569</v>
      </c>
      <c r="AK14" s="558"/>
    </row>
    <row r="15" spans="1:37" ht="14.4" hidden="1" x14ac:dyDescent="0.3">
      <c r="A15" s="560" t="s">
        <v>568</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5">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2331">
        <f t="shared" si="16"/>
        <v>621.61785096787992</v>
      </c>
      <c r="AA15" s="2332" t="s">
        <v>1329</v>
      </c>
      <c r="AB15" s="583"/>
      <c r="AC15" s="583"/>
      <c r="AD15" s="583"/>
      <c r="AE15" s="584"/>
      <c r="AF15" s="583"/>
      <c r="AG15" s="583"/>
      <c r="AH15" s="585"/>
      <c r="AI15" s="556" t="s">
        <v>569</v>
      </c>
      <c r="AK15" s="558"/>
    </row>
    <row r="16" spans="1:37" ht="14.4" hidden="1" x14ac:dyDescent="0.3">
      <c r="A16" s="560" t="s">
        <v>568</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5">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2331">
        <f t="shared" si="16"/>
        <v>432.42980936895998</v>
      </c>
      <c r="AA16" s="2332" t="s">
        <v>1329</v>
      </c>
      <c r="AB16" s="583"/>
      <c r="AC16" s="583"/>
      <c r="AD16" s="583"/>
      <c r="AE16" s="584"/>
      <c r="AF16" s="583"/>
      <c r="AG16" s="583"/>
      <c r="AH16" s="585"/>
      <c r="AI16" s="556" t="s">
        <v>569</v>
      </c>
      <c r="AK16" s="558"/>
    </row>
    <row r="17" spans="1:37" ht="14.4" hidden="1" x14ac:dyDescent="0.3">
      <c r="A17" s="560" t="s">
        <v>568</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5">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31">
        <f t="shared" si="16"/>
        <v>2010.04120494476</v>
      </c>
      <c r="AA17" s="2332" t="s">
        <v>1329</v>
      </c>
      <c r="AB17" s="583"/>
      <c r="AC17" s="583"/>
      <c r="AD17" s="583"/>
      <c r="AE17" s="584"/>
      <c r="AF17" s="583"/>
      <c r="AG17" s="583"/>
      <c r="AH17" s="585"/>
      <c r="AI17" s="556" t="s">
        <v>569</v>
      </c>
      <c r="AK17" s="558"/>
    </row>
    <row r="18" spans="1:37" ht="14.4" hidden="1" x14ac:dyDescent="0.3">
      <c r="A18" s="560" t="s">
        <v>568</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5">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2331">
        <f t="shared" si="16"/>
        <v>31890.07680921975</v>
      </c>
      <c r="AA18" s="2332" t="s">
        <v>1329</v>
      </c>
      <c r="AB18" s="583"/>
      <c r="AC18" s="583"/>
      <c r="AD18" s="583"/>
      <c r="AE18" s="584"/>
      <c r="AF18" s="583"/>
      <c r="AG18" s="583"/>
      <c r="AH18" s="585"/>
      <c r="AI18" s="556" t="s">
        <v>569</v>
      </c>
      <c r="AK18" s="558"/>
    </row>
    <row r="19" spans="1:37" ht="14.4" hidden="1" x14ac:dyDescent="0.3">
      <c r="A19" s="560" t="s">
        <v>568</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5">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2331">
        <f t="shared" si="16"/>
        <v>3208.3350002002903</v>
      </c>
      <c r="AA19" s="2332" t="s">
        <v>1329</v>
      </c>
      <c r="AB19" s="583"/>
      <c r="AC19" s="583"/>
      <c r="AD19" s="583"/>
      <c r="AE19" s="584"/>
      <c r="AF19" s="583"/>
      <c r="AG19" s="583"/>
      <c r="AH19" s="585"/>
      <c r="AI19" s="556" t="s">
        <v>569</v>
      </c>
      <c r="AK19" s="558"/>
    </row>
    <row r="20" spans="1:37" ht="14.4" hidden="1" x14ac:dyDescent="0.3">
      <c r="A20" s="560" t="s">
        <v>568</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5">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2331">
        <f t="shared" si="16"/>
        <v>889.05668680249005</v>
      </c>
      <c r="AA20" s="2332" t="s">
        <v>1329</v>
      </c>
      <c r="AB20" s="583"/>
      <c r="AC20" s="583"/>
      <c r="AD20" s="583"/>
      <c r="AE20" s="584"/>
      <c r="AF20" s="583"/>
      <c r="AG20" s="583"/>
      <c r="AH20" s="585"/>
      <c r="AI20" s="556" t="s">
        <v>569</v>
      </c>
      <c r="AK20" s="558"/>
    </row>
    <row r="21" spans="1:37" ht="14.4" hidden="1" x14ac:dyDescent="0.3">
      <c r="A21" s="560" t="s">
        <v>568</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5">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2331">
        <f t="shared" si="16"/>
        <v>618.47421690608007</v>
      </c>
      <c r="AA21" s="2332" t="s">
        <v>1329</v>
      </c>
      <c r="AB21" s="583"/>
      <c r="AC21" s="583"/>
      <c r="AD21" s="583"/>
      <c r="AE21" s="584"/>
      <c r="AF21" s="583"/>
      <c r="AG21" s="583"/>
      <c r="AH21" s="585"/>
      <c r="AI21" s="556" t="s">
        <v>569</v>
      </c>
      <c r="AK21" s="558"/>
    </row>
    <row r="22" spans="1:37" ht="14.4" hidden="1" x14ac:dyDescent="0.3">
      <c r="A22" s="560" t="s">
        <v>568</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5">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31">
        <f t="shared" si="16"/>
        <v>7342.9881804551987</v>
      </c>
      <c r="AA22" s="2332" t="s">
        <v>1329</v>
      </c>
      <c r="AB22" s="583"/>
      <c r="AC22" s="583"/>
      <c r="AD22" s="583"/>
      <c r="AE22" s="584"/>
      <c r="AF22" s="583"/>
      <c r="AG22" s="583"/>
      <c r="AH22" s="585"/>
      <c r="AI22" s="556" t="s">
        <v>569</v>
      </c>
      <c r="AK22" s="558"/>
    </row>
    <row r="23" spans="1:37" ht="14.4" hidden="1" x14ac:dyDescent="0.3">
      <c r="A23" s="560" t="s">
        <v>568</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5">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2331">
        <f t="shared" si="16"/>
        <v>116499.33170914497</v>
      </c>
      <c r="AA23" s="2332" t="s">
        <v>1329</v>
      </c>
      <c r="AB23" s="583"/>
      <c r="AC23" s="583"/>
      <c r="AD23" s="583"/>
      <c r="AE23" s="584"/>
      <c r="AF23" s="583"/>
      <c r="AG23" s="583"/>
      <c r="AH23" s="585"/>
      <c r="AI23" s="556" t="s">
        <v>569</v>
      </c>
      <c r="AK23" s="558"/>
    </row>
    <row r="24" spans="1:37" ht="14.4" hidden="1" x14ac:dyDescent="0.3">
      <c r="A24" s="560" t="s">
        <v>568</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5">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2331">
        <f t="shared" si="16"/>
        <v>11720.538826495798</v>
      </c>
      <c r="AA24" s="2332" t="s">
        <v>1329</v>
      </c>
      <c r="AB24" s="583"/>
      <c r="AC24" s="583"/>
      <c r="AD24" s="583"/>
      <c r="AE24" s="584"/>
      <c r="AF24" s="583"/>
      <c r="AG24" s="583"/>
      <c r="AH24" s="585"/>
      <c r="AI24" s="556" t="s">
        <v>569</v>
      </c>
      <c r="AK24" s="558"/>
    </row>
    <row r="25" spans="1:37" ht="14.4" hidden="1" x14ac:dyDescent="0.3">
      <c r="A25" s="560" t="s">
        <v>568</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5">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2331">
        <f t="shared" si="16"/>
        <v>3247.8601567397995</v>
      </c>
      <c r="AA25" s="2332" t="s">
        <v>1329</v>
      </c>
      <c r="AB25" s="583"/>
      <c r="AC25" s="583"/>
      <c r="AD25" s="583"/>
      <c r="AE25" s="584"/>
      <c r="AF25" s="583"/>
      <c r="AG25" s="583"/>
      <c r="AH25" s="585"/>
      <c r="AI25" s="556" t="s">
        <v>569</v>
      </c>
      <c r="AK25" s="558"/>
    </row>
    <row r="26" spans="1:37" ht="14.4" hidden="1" x14ac:dyDescent="0.3">
      <c r="A26" s="560" t="s">
        <v>568</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5">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2331">
        <f t="shared" si="16"/>
        <v>2259.3809786015995</v>
      </c>
      <c r="AA26" s="2332" t="s">
        <v>1329</v>
      </c>
      <c r="AB26" s="583"/>
      <c r="AC26" s="583"/>
      <c r="AD26" s="583"/>
      <c r="AE26" s="584"/>
      <c r="AF26" s="583"/>
      <c r="AG26" s="583"/>
      <c r="AH26" s="585"/>
      <c r="AI26" s="556" t="s">
        <v>569</v>
      </c>
      <c r="AK26" s="558"/>
    </row>
    <row r="27" spans="1:37" ht="14.4" x14ac:dyDescent="0.3">
      <c r="A27" s="560" t="s">
        <v>568</v>
      </c>
      <c r="B27" s="557" t="str">
        <f>LEFT(E27,3)*10 &amp; "s"</f>
        <v>1980s</v>
      </c>
      <c r="C27" s="561">
        <v>1985</v>
      </c>
      <c r="D27" s="562">
        <f t="shared" si="1"/>
        <v>1982</v>
      </c>
      <c r="E27" s="563">
        <f t="shared" si="2"/>
        <v>1984</v>
      </c>
      <c r="F27" s="586">
        <f t="shared" si="3"/>
        <v>200758</v>
      </c>
      <c r="G27" s="587">
        <f t="shared" si="4"/>
        <v>205521</v>
      </c>
      <c r="H27" s="587">
        <f t="shared" si="5"/>
        <v>173308</v>
      </c>
      <c r="I27" s="2122">
        <f t="shared" si="6"/>
        <v>59983.547999999995</v>
      </c>
      <c r="J27" s="2126">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9" t="s">
        <v>1330</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570</v>
      </c>
      <c r="AK27" s="601"/>
    </row>
    <row r="28" spans="1:37" ht="14.4" x14ac:dyDescent="0.3">
      <c r="A28" s="560" t="s">
        <v>568</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2">
        <f t="shared" si="6"/>
        <v>59983.547999999995</v>
      </c>
      <c r="J28" s="2126">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9" t="s">
        <v>1330</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570</v>
      </c>
      <c r="AK28" s="601"/>
    </row>
    <row r="29" spans="1:37" ht="14.4" x14ac:dyDescent="0.3">
      <c r="A29" s="560" t="s">
        <v>568</v>
      </c>
      <c r="B29" s="557" t="str">
        <f t="shared" si="24"/>
        <v>1980s</v>
      </c>
      <c r="C29" s="561">
        <v>1985</v>
      </c>
      <c r="D29" s="562">
        <f t="shared" si="1"/>
        <v>1980</v>
      </c>
      <c r="E29" s="563">
        <f t="shared" si="2"/>
        <v>1982</v>
      </c>
      <c r="F29" s="586">
        <f t="shared" si="3"/>
        <v>200758</v>
      </c>
      <c r="G29" s="587">
        <f t="shared" si="4"/>
        <v>205521</v>
      </c>
      <c r="H29" s="587">
        <f t="shared" si="5"/>
        <v>173308</v>
      </c>
      <c r="I29" s="2122">
        <f t="shared" si="6"/>
        <v>59983.547999999995</v>
      </c>
      <c r="J29" s="2126">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9" t="s">
        <v>1330</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570</v>
      </c>
      <c r="AK29" s="601"/>
    </row>
    <row r="30" spans="1:37" ht="14.4" x14ac:dyDescent="0.3">
      <c r="A30" s="560" t="s">
        <v>568</v>
      </c>
      <c r="B30" s="557" t="str">
        <f t="shared" si="24"/>
        <v>1980s</v>
      </c>
      <c r="C30" s="561">
        <v>1985</v>
      </c>
      <c r="D30" s="562">
        <f t="shared" si="1"/>
        <v>1981</v>
      </c>
      <c r="E30" s="563">
        <f t="shared" si="2"/>
        <v>1984</v>
      </c>
      <c r="F30" s="586">
        <f t="shared" si="3"/>
        <v>200758</v>
      </c>
      <c r="G30" s="587">
        <f t="shared" si="4"/>
        <v>205521</v>
      </c>
      <c r="H30" s="587">
        <f t="shared" si="5"/>
        <v>173308</v>
      </c>
      <c r="I30" s="2122">
        <f t="shared" si="6"/>
        <v>59983.547999999995</v>
      </c>
      <c r="J30" s="2126">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9" t="s">
        <v>1330</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570</v>
      </c>
      <c r="AK30" s="601"/>
    </row>
    <row r="31" spans="1:37" ht="14.4" x14ac:dyDescent="0.3">
      <c r="A31" s="560" t="s">
        <v>568</v>
      </c>
      <c r="B31" s="557" t="str">
        <f t="shared" si="24"/>
        <v>1980s</v>
      </c>
      <c r="C31" s="561">
        <v>1985</v>
      </c>
      <c r="D31" s="562">
        <f t="shared" si="1"/>
        <v>1980</v>
      </c>
      <c r="E31" s="563">
        <f t="shared" si="2"/>
        <v>1983</v>
      </c>
      <c r="F31" s="586">
        <f t="shared" si="3"/>
        <v>200758</v>
      </c>
      <c r="G31" s="587">
        <f t="shared" si="4"/>
        <v>205521</v>
      </c>
      <c r="H31" s="587">
        <f t="shared" si="5"/>
        <v>173308</v>
      </c>
      <c r="I31" s="2122">
        <f t="shared" si="6"/>
        <v>59983.547999999995</v>
      </c>
      <c r="J31" s="2126">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9" t="s">
        <v>1330</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570</v>
      </c>
      <c r="AJ31" s="559"/>
    </row>
    <row r="32" spans="1:37" ht="14.4" x14ac:dyDescent="0.3">
      <c r="A32" s="560" t="s">
        <v>568</v>
      </c>
      <c r="B32" s="557" t="str">
        <f t="shared" si="24"/>
        <v>1980s</v>
      </c>
      <c r="C32" s="561">
        <v>1986</v>
      </c>
      <c r="D32" s="562">
        <f t="shared" si="1"/>
        <v>1983</v>
      </c>
      <c r="E32" s="563">
        <f t="shared" si="2"/>
        <v>1985</v>
      </c>
      <c r="F32" s="586">
        <f t="shared" si="3"/>
        <v>59963</v>
      </c>
      <c r="G32" s="587">
        <f t="shared" si="4"/>
        <v>62220</v>
      </c>
      <c r="H32" s="587">
        <f t="shared" si="5"/>
        <v>60380</v>
      </c>
      <c r="I32" s="2122">
        <f t="shared" si="6"/>
        <v>39380.015999999996</v>
      </c>
      <c r="J32" s="2126">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31">
        <f t="shared" ref="Z32:Z36" si="28">K32*Y32</f>
        <v>2555.02</v>
      </c>
      <c r="AA32" s="2332" t="s">
        <v>1329</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571</v>
      </c>
      <c r="AJ32" s="559"/>
    </row>
    <row r="33" spans="1:40" ht="14.4" x14ac:dyDescent="0.3">
      <c r="A33" s="560" t="s">
        <v>568</v>
      </c>
      <c r="B33" s="557" t="str">
        <f t="shared" si="24"/>
        <v>1980s</v>
      </c>
      <c r="C33" s="561">
        <v>1986</v>
      </c>
      <c r="D33" s="562">
        <f t="shared" si="1"/>
        <v>1982</v>
      </c>
      <c r="E33" s="563">
        <f t="shared" si="2"/>
        <v>1984</v>
      </c>
      <c r="F33" s="586">
        <f t="shared" si="3"/>
        <v>59963</v>
      </c>
      <c r="G33" s="587">
        <f t="shared" si="4"/>
        <v>62220</v>
      </c>
      <c r="H33" s="587">
        <f t="shared" si="5"/>
        <v>60380</v>
      </c>
      <c r="I33" s="2122">
        <f t="shared" si="6"/>
        <v>39380.015999999996</v>
      </c>
      <c r="J33" s="2126">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31">
        <f t="shared" si="28"/>
        <v>40536.375</v>
      </c>
      <c r="AA33" s="2332" t="s">
        <v>1329</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571</v>
      </c>
      <c r="AJ33" s="559"/>
    </row>
    <row r="34" spans="1:40" ht="14.4" x14ac:dyDescent="0.3">
      <c r="A34" s="560" t="s">
        <v>568</v>
      </c>
      <c r="B34" s="557" t="str">
        <f t="shared" si="24"/>
        <v>1980s</v>
      </c>
      <c r="C34" s="561">
        <v>1986</v>
      </c>
      <c r="D34" s="562">
        <f t="shared" si="1"/>
        <v>1981</v>
      </c>
      <c r="E34" s="563">
        <f t="shared" si="2"/>
        <v>1983</v>
      </c>
      <c r="F34" s="586">
        <f t="shared" si="3"/>
        <v>59963</v>
      </c>
      <c r="G34" s="587">
        <f t="shared" si="4"/>
        <v>62220</v>
      </c>
      <c r="H34" s="587">
        <f t="shared" si="5"/>
        <v>60380</v>
      </c>
      <c r="I34" s="2122">
        <f t="shared" si="6"/>
        <v>39380.015999999996</v>
      </c>
      <c r="J34" s="2126">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31">
        <f t="shared" si="28"/>
        <v>4078.2050000000004</v>
      </c>
      <c r="AA34" s="2332" t="s">
        <v>1329</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571</v>
      </c>
      <c r="AJ34" s="559"/>
    </row>
    <row r="35" spans="1:40" ht="14.4" x14ac:dyDescent="0.3">
      <c r="A35" s="560" t="s">
        <v>568</v>
      </c>
      <c r="B35" s="557" t="str">
        <f t="shared" si="24"/>
        <v>1980s</v>
      </c>
      <c r="C35" s="561">
        <v>1986</v>
      </c>
      <c r="D35" s="562">
        <f t="shared" si="1"/>
        <v>1982</v>
      </c>
      <c r="E35" s="563">
        <f t="shared" si="2"/>
        <v>1985</v>
      </c>
      <c r="F35" s="586">
        <f t="shared" si="3"/>
        <v>59963</v>
      </c>
      <c r="G35" s="587">
        <f t="shared" si="4"/>
        <v>62220</v>
      </c>
      <c r="H35" s="587">
        <f t="shared" si="5"/>
        <v>60380</v>
      </c>
      <c r="I35" s="2122">
        <f t="shared" si="6"/>
        <v>39380.015999999996</v>
      </c>
      <c r="J35" s="2126">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31">
        <f t="shared" si="28"/>
        <v>1130.105</v>
      </c>
      <c r="AA35" s="2332" t="s">
        <v>1329</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571</v>
      </c>
      <c r="AJ35" s="559"/>
    </row>
    <row r="36" spans="1:40" ht="14.4" x14ac:dyDescent="0.3">
      <c r="A36" s="560" t="s">
        <v>568</v>
      </c>
      <c r="B36" s="557" t="str">
        <f t="shared" si="24"/>
        <v>1980s</v>
      </c>
      <c r="C36" s="561">
        <v>1986</v>
      </c>
      <c r="D36" s="562">
        <f t="shared" si="1"/>
        <v>1981</v>
      </c>
      <c r="E36" s="563">
        <f t="shared" si="2"/>
        <v>1984</v>
      </c>
      <c r="F36" s="586">
        <f t="shared" si="3"/>
        <v>59963</v>
      </c>
      <c r="G36" s="587">
        <f t="shared" si="4"/>
        <v>62220</v>
      </c>
      <c r="H36" s="587">
        <f t="shared" si="5"/>
        <v>60380</v>
      </c>
      <c r="I36" s="2122">
        <f t="shared" si="6"/>
        <v>39380.015999999996</v>
      </c>
      <c r="J36" s="2126">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31">
        <f t="shared" si="28"/>
        <v>786.16</v>
      </c>
      <c r="AA36" s="2332" t="s">
        <v>1329</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571</v>
      </c>
      <c r="AJ36" s="559"/>
      <c r="AN36" s="603"/>
    </row>
    <row r="37" spans="1:40" ht="14.4" x14ac:dyDescent="0.3">
      <c r="A37" s="560" t="s">
        <v>568</v>
      </c>
      <c r="B37" s="557" t="str">
        <f t="shared" si="24"/>
        <v>1980s</v>
      </c>
      <c r="C37" s="561">
        <v>1987</v>
      </c>
      <c r="D37" s="562">
        <f t="shared" si="1"/>
        <v>1984</v>
      </c>
      <c r="E37" s="563">
        <f t="shared" si="2"/>
        <v>1986</v>
      </c>
      <c r="F37" s="586">
        <f t="shared" si="3"/>
        <v>145546</v>
      </c>
      <c r="G37" s="587">
        <f t="shared" si="4"/>
        <v>150366</v>
      </c>
      <c r="H37" s="587">
        <f t="shared" si="5"/>
        <v>121813</v>
      </c>
      <c r="I37" s="2122">
        <f t="shared" si="6"/>
        <v>45415.839999999997</v>
      </c>
      <c r="J37" s="2126">
        <f t="shared" si="7"/>
        <v>0.6500234728344878</v>
      </c>
      <c r="K37" s="590">
        <f t="shared" si="8"/>
        <v>99205</v>
      </c>
      <c r="L37" s="591">
        <f t="shared" si="17"/>
        <v>97741.429516230593</v>
      </c>
      <c r="M37" s="589">
        <f t="shared" ref="M37:M74" si="29">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9" t="s">
        <v>1330</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570</v>
      </c>
      <c r="AJ37" s="559"/>
      <c r="AN37" s="603"/>
    </row>
    <row r="38" spans="1:40" ht="14.4" x14ac:dyDescent="0.3">
      <c r="A38" s="560" t="s">
        <v>568</v>
      </c>
      <c r="B38" s="557" t="str">
        <f t="shared" si="24"/>
        <v>1980s</v>
      </c>
      <c r="C38" s="561">
        <v>1987</v>
      </c>
      <c r="D38" s="562">
        <f t="shared" si="1"/>
        <v>1983</v>
      </c>
      <c r="E38" s="563">
        <f t="shared" si="2"/>
        <v>1985</v>
      </c>
      <c r="F38" s="586">
        <f t="shared" si="3"/>
        <v>145546</v>
      </c>
      <c r="G38" s="587">
        <f t="shared" si="4"/>
        <v>150366</v>
      </c>
      <c r="H38" s="587">
        <f t="shared" si="5"/>
        <v>121813</v>
      </c>
      <c r="I38" s="2122">
        <f t="shared" si="6"/>
        <v>45415.839999999997</v>
      </c>
      <c r="J38" s="2126">
        <f t="shared" si="7"/>
        <v>0.6500234728344878</v>
      </c>
      <c r="K38" s="590">
        <f t="shared" si="8"/>
        <v>99205</v>
      </c>
      <c r="L38" s="591">
        <f t="shared" si="17"/>
        <v>97741.429516230593</v>
      </c>
      <c r="M38" s="589">
        <f t="shared" si="29"/>
        <v>45415.839999999997</v>
      </c>
      <c r="N38" s="591">
        <f t="shared" ref="N38:N74" si="30">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9" t="s">
        <v>1330</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570</v>
      </c>
      <c r="AJ38" s="559"/>
      <c r="AN38" s="603"/>
    </row>
    <row r="39" spans="1:40" ht="14.4" x14ac:dyDescent="0.3">
      <c r="A39" s="560" t="s">
        <v>568</v>
      </c>
      <c r="B39" s="557" t="str">
        <f t="shared" si="24"/>
        <v>1980s</v>
      </c>
      <c r="C39" s="561">
        <v>1987</v>
      </c>
      <c r="D39" s="562">
        <f t="shared" si="1"/>
        <v>1982</v>
      </c>
      <c r="E39" s="563">
        <f t="shared" si="2"/>
        <v>1984</v>
      </c>
      <c r="F39" s="586">
        <f t="shared" si="3"/>
        <v>145546</v>
      </c>
      <c r="G39" s="587">
        <f t="shared" si="4"/>
        <v>150366</v>
      </c>
      <c r="H39" s="587">
        <f t="shared" si="5"/>
        <v>121813</v>
      </c>
      <c r="I39" s="2122">
        <f t="shared" si="6"/>
        <v>45415.839999999997</v>
      </c>
      <c r="J39" s="2126">
        <f t="shared" si="7"/>
        <v>0.6500234728344878</v>
      </c>
      <c r="K39" s="590">
        <f t="shared" si="8"/>
        <v>99205</v>
      </c>
      <c r="L39" s="591">
        <f t="shared" si="17"/>
        <v>97741.429516230593</v>
      </c>
      <c r="M39" s="589">
        <f t="shared" si="29"/>
        <v>45415.839999999997</v>
      </c>
      <c r="N39" s="591">
        <f t="shared" si="30"/>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9" t="s">
        <v>1330</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570</v>
      </c>
      <c r="AJ39" s="559"/>
    </row>
    <row r="40" spans="1:40" ht="14.4" x14ac:dyDescent="0.3">
      <c r="A40" s="560" t="s">
        <v>568</v>
      </c>
      <c r="B40" s="557" t="str">
        <f t="shared" si="24"/>
        <v>1980s</v>
      </c>
      <c r="C40" s="561">
        <v>1987</v>
      </c>
      <c r="D40" s="562">
        <f t="shared" si="1"/>
        <v>1983</v>
      </c>
      <c r="E40" s="563">
        <f t="shared" si="2"/>
        <v>1986</v>
      </c>
      <c r="F40" s="586">
        <f t="shared" si="3"/>
        <v>145546</v>
      </c>
      <c r="G40" s="587">
        <f t="shared" si="4"/>
        <v>150366</v>
      </c>
      <c r="H40" s="587">
        <f t="shared" si="5"/>
        <v>121813</v>
      </c>
      <c r="I40" s="2122">
        <f t="shared" si="6"/>
        <v>45415.839999999997</v>
      </c>
      <c r="J40" s="2126">
        <f t="shared" si="7"/>
        <v>0.6500234728344878</v>
      </c>
      <c r="K40" s="590">
        <f t="shared" si="8"/>
        <v>99205</v>
      </c>
      <c r="L40" s="591">
        <f t="shared" si="17"/>
        <v>97741.429516230593</v>
      </c>
      <c r="M40" s="589">
        <f t="shared" si="29"/>
        <v>45415.839999999997</v>
      </c>
      <c r="N40" s="591">
        <f t="shared" si="30"/>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9" t="s">
        <v>1330</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570</v>
      </c>
      <c r="AJ40" s="559"/>
    </row>
    <row r="41" spans="1:40" ht="14.4" x14ac:dyDescent="0.3">
      <c r="A41" s="560" t="s">
        <v>568</v>
      </c>
      <c r="B41" s="557" t="str">
        <f t="shared" si="24"/>
        <v>1980s</v>
      </c>
      <c r="C41" s="561">
        <v>1987</v>
      </c>
      <c r="D41" s="562">
        <f t="shared" si="1"/>
        <v>1982</v>
      </c>
      <c r="E41" s="563">
        <f t="shared" si="2"/>
        <v>1985</v>
      </c>
      <c r="F41" s="586">
        <f t="shared" si="3"/>
        <v>145546</v>
      </c>
      <c r="G41" s="587">
        <f t="shared" si="4"/>
        <v>150366</v>
      </c>
      <c r="H41" s="587">
        <f t="shared" si="5"/>
        <v>121813</v>
      </c>
      <c r="I41" s="2122">
        <f t="shared" si="6"/>
        <v>45415.839999999997</v>
      </c>
      <c r="J41" s="2126">
        <f t="shared" si="7"/>
        <v>0.6500234728344878</v>
      </c>
      <c r="K41" s="590">
        <f t="shared" si="8"/>
        <v>99205</v>
      </c>
      <c r="L41" s="591">
        <f t="shared" si="17"/>
        <v>97741.429516230593</v>
      </c>
      <c r="M41" s="589">
        <f t="shared" si="29"/>
        <v>45415.839999999997</v>
      </c>
      <c r="N41" s="591">
        <f t="shared" si="30"/>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9" t="s">
        <v>1330</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570</v>
      </c>
      <c r="AJ41" s="559"/>
    </row>
    <row r="42" spans="1:40" ht="14.4" x14ac:dyDescent="0.3">
      <c r="A42" s="560" t="s">
        <v>568</v>
      </c>
      <c r="B42" s="557" t="str">
        <f t="shared" si="24"/>
        <v>1980s</v>
      </c>
      <c r="C42" s="561">
        <v>1988</v>
      </c>
      <c r="D42" s="562">
        <f t="shared" si="1"/>
        <v>1985</v>
      </c>
      <c r="E42" s="563">
        <f t="shared" si="2"/>
        <v>1987</v>
      </c>
      <c r="F42" s="586">
        <f t="shared" si="3"/>
        <v>99780</v>
      </c>
      <c r="G42" s="587">
        <f t="shared" si="4"/>
        <v>100543</v>
      </c>
      <c r="H42" s="587">
        <f t="shared" si="5"/>
        <v>82911</v>
      </c>
      <c r="I42" s="2122">
        <f t="shared" si="6"/>
        <v>38463.095999999998</v>
      </c>
      <c r="J42" s="2126">
        <f t="shared" si="7"/>
        <v>0.78213587652764505</v>
      </c>
      <c r="K42" s="590">
        <f t="shared" si="8"/>
        <v>78388</v>
      </c>
      <c r="L42" s="591">
        <f t="shared" si="17"/>
        <v>78638.287433719015</v>
      </c>
      <c r="M42" s="589">
        <f t="shared" si="29"/>
        <v>38463.095999999998</v>
      </c>
      <c r="N42" s="591">
        <f t="shared" si="30"/>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2329" t="s">
        <v>1330</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572</v>
      </c>
      <c r="AJ42" s="559"/>
    </row>
    <row r="43" spans="1:40" ht="14.4" x14ac:dyDescent="0.3">
      <c r="A43" s="560" t="s">
        <v>568</v>
      </c>
      <c r="B43" s="557" t="str">
        <f t="shared" si="24"/>
        <v>1980s</v>
      </c>
      <c r="C43" s="561">
        <v>1988</v>
      </c>
      <c r="D43" s="562">
        <f t="shared" si="1"/>
        <v>1984</v>
      </c>
      <c r="E43" s="563">
        <f t="shared" si="2"/>
        <v>1986</v>
      </c>
      <c r="F43" s="586">
        <f t="shared" si="3"/>
        <v>99780</v>
      </c>
      <c r="G43" s="587">
        <f t="shared" si="4"/>
        <v>100543</v>
      </c>
      <c r="H43" s="587">
        <f t="shared" si="5"/>
        <v>82911</v>
      </c>
      <c r="I43" s="2122">
        <f t="shared" si="6"/>
        <v>38463.095999999998</v>
      </c>
      <c r="J43" s="2126">
        <f t="shared" si="7"/>
        <v>0.78213587652764505</v>
      </c>
      <c r="K43" s="590">
        <f t="shared" si="8"/>
        <v>78388</v>
      </c>
      <c r="L43" s="591">
        <f t="shared" si="17"/>
        <v>78638.287433719015</v>
      </c>
      <c r="M43" s="589">
        <f t="shared" si="29"/>
        <v>38463.095999999998</v>
      </c>
      <c r="N43" s="591">
        <f t="shared" si="30"/>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2329" t="s">
        <v>1330</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573</v>
      </c>
      <c r="AJ43" s="559"/>
    </row>
    <row r="44" spans="1:40" ht="14.4" x14ac:dyDescent="0.3">
      <c r="A44" s="560" t="s">
        <v>568</v>
      </c>
      <c r="B44" s="557" t="str">
        <f t="shared" si="24"/>
        <v>1980s</v>
      </c>
      <c r="C44" s="561">
        <v>1988</v>
      </c>
      <c r="D44" s="562">
        <f t="shared" si="1"/>
        <v>1983</v>
      </c>
      <c r="E44" s="563">
        <f t="shared" si="2"/>
        <v>1985</v>
      </c>
      <c r="F44" s="586">
        <f t="shared" si="3"/>
        <v>99780</v>
      </c>
      <c r="G44" s="587">
        <f t="shared" si="4"/>
        <v>100543</v>
      </c>
      <c r="H44" s="587">
        <f t="shared" si="5"/>
        <v>82911</v>
      </c>
      <c r="I44" s="2122">
        <f t="shared" si="6"/>
        <v>38463.095999999998</v>
      </c>
      <c r="J44" s="2126">
        <f t="shared" si="7"/>
        <v>0.78213587652764505</v>
      </c>
      <c r="K44" s="590">
        <f t="shared" si="8"/>
        <v>78388</v>
      </c>
      <c r="L44" s="591">
        <f t="shared" si="17"/>
        <v>78638.287433719015</v>
      </c>
      <c r="M44" s="589">
        <f t="shared" si="29"/>
        <v>38463.095999999998</v>
      </c>
      <c r="N44" s="591">
        <f t="shared" si="30"/>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2329" t="s">
        <v>1330</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574</v>
      </c>
      <c r="AJ44" s="559"/>
    </row>
    <row r="45" spans="1:40" ht="14.4" x14ac:dyDescent="0.3">
      <c r="A45" s="560" t="s">
        <v>568</v>
      </c>
      <c r="B45" s="557" t="str">
        <f t="shared" si="24"/>
        <v>1980s</v>
      </c>
      <c r="C45" s="561">
        <v>1988</v>
      </c>
      <c r="D45" s="562">
        <f t="shared" si="1"/>
        <v>1984</v>
      </c>
      <c r="E45" s="563">
        <f t="shared" si="2"/>
        <v>1987</v>
      </c>
      <c r="F45" s="586">
        <f t="shared" si="3"/>
        <v>99780</v>
      </c>
      <c r="G45" s="587">
        <f t="shared" si="4"/>
        <v>100543</v>
      </c>
      <c r="H45" s="587">
        <f t="shared" si="5"/>
        <v>82911</v>
      </c>
      <c r="I45" s="2122">
        <f t="shared" si="6"/>
        <v>38463.095999999998</v>
      </c>
      <c r="J45" s="2126">
        <f t="shared" si="7"/>
        <v>0.78213587652764505</v>
      </c>
      <c r="K45" s="590">
        <f t="shared" si="8"/>
        <v>78388</v>
      </c>
      <c r="L45" s="591">
        <f t="shared" si="17"/>
        <v>78638.287433719015</v>
      </c>
      <c r="M45" s="589">
        <f t="shared" si="29"/>
        <v>38463.095999999998</v>
      </c>
      <c r="N45" s="591">
        <f t="shared" si="30"/>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2329" t="s">
        <v>1330</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575</v>
      </c>
      <c r="AJ45" s="559"/>
    </row>
    <row r="46" spans="1:40" ht="14.4" x14ac:dyDescent="0.3">
      <c r="A46" s="560" t="s">
        <v>568</v>
      </c>
      <c r="B46" s="557" t="str">
        <f t="shared" si="24"/>
        <v>1980s</v>
      </c>
      <c r="C46" s="561">
        <v>1988</v>
      </c>
      <c r="D46" s="562">
        <f t="shared" si="1"/>
        <v>1983</v>
      </c>
      <c r="E46" s="563">
        <f t="shared" si="2"/>
        <v>1986</v>
      </c>
      <c r="F46" s="586">
        <f t="shared" si="3"/>
        <v>99780</v>
      </c>
      <c r="G46" s="587">
        <f t="shared" si="4"/>
        <v>100543</v>
      </c>
      <c r="H46" s="587">
        <f t="shared" si="5"/>
        <v>82911</v>
      </c>
      <c r="I46" s="2122">
        <f t="shared" si="6"/>
        <v>38463.095999999998</v>
      </c>
      <c r="J46" s="2126">
        <f t="shared" si="7"/>
        <v>0.78213587652764505</v>
      </c>
      <c r="K46" s="590">
        <f t="shared" si="8"/>
        <v>78388</v>
      </c>
      <c r="L46" s="591">
        <f t="shared" si="17"/>
        <v>78638.287433719015</v>
      </c>
      <c r="M46" s="589">
        <f t="shared" si="29"/>
        <v>38463.095999999998</v>
      </c>
      <c r="N46" s="591">
        <f t="shared" si="30"/>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2329" t="s">
        <v>1330</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576</v>
      </c>
      <c r="AJ46" s="559"/>
    </row>
    <row r="47" spans="1:40" ht="14.4" x14ac:dyDescent="0.3">
      <c r="A47" s="560" t="s">
        <v>568</v>
      </c>
      <c r="B47" s="557" t="str">
        <f t="shared" si="24"/>
        <v>1980s</v>
      </c>
      <c r="C47" s="561">
        <v>1989</v>
      </c>
      <c r="D47" s="562">
        <f t="shared" si="1"/>
        <v>1986</v>
      </c>
      <c r="E47" s="563">
        <f t="shared" si="2"/>
        <v>1988</v>
      </c>
      <c r="F47" s="586">
        <f t="shared" si="3"/>
        <v>47478</v>
      </c>
      <c r="G47" s="587">
        <f t="shared" si="4"/>
        <v>43470</v>
      </c>
      <c r="H47" s="587">
        <f t="shared" si="5"/>
        <v>43434</v>
      </c>
      <c r="I47" s="2122">
        <f t="shared" si="6"/>
        <v>18084.831999999999</v>
      </c>
      <c r="J47" s="2126">
        <f t="shared" si="7"/>
        <v>0.48406937901498925</v>
      </c>
      <c r="K47" s="590">
        <f t="shared" si="8"/>
        <v>18256</v>
      </c>
      <c r="L47" s="591">
        <f t="shared" si="17"/>
        <v>21042.495905781583</v>
      </c>
      <c r="M47" s="589">
        <f t="shared" si="29"/>
        <v>18084.831999999999</v>
      </c>
      <c r="N47" s="591">
        <f t="shared" si="30"/>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2329" t="s">
        <v>1330</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577</v>
      </c>
      <c r="AJ47" s="559"/>
    </row>
    <row r="48" spans="1:40" ht="14.4" x14ac:dyDescent="0.3">
      <c r="A48" s="560" t="s">
        <v>568</v>
      </c>
      <c r="B48" s="557" t="str">
        <f t="shared" si="24"/>
        <v>1980s</v>
      </c>
      <c r="C48" s="561">
        <v>1989</v>
      </c>
      <c r="D48" s="562">
        <f t="shared" si="1"/>
        <v>1985</v>
      </c>
      <c r="E48" s="563">
        <f t="shared" si="2"/>
        <v>1987</v>
      </c>
      <c r="F48" s="586">
        <f t="shared" si="3"/>
        <v>47478</v>
      </c>
      <c r="G48" s="587">
        <f t="shared" si="4"/>
        <v>43470</v>
      </c>
      <c r="H48" s="587">
        <f t="shared" si="5"/>
        <v>43434</v>
      </c>
      <c r="I48" s="2122">
        <f t="shared" si="6"/>
        <v>18084.831999999999</v>
      </c>
      <c r="J48" s="2126">
        <f t="shared" si="7"/>
        <v>0.48406937901498925</v>
      </c>
      <c r="K48" s="590">
        <f t="shared" si="8"/>
        <v>18256</v>
      </c>
      <c r="L48" s="591">
        <f t="shared" si="17"/>
        <v>21042.495905781583</v>
      </c>
      <c r="M48" s="589">
        <f t="shared" si="29"/>
        <v>18084.831999999999</v>
      </c>
      <c r="N48" s="591">
        <f t="shared" si="30"/>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2329" t="s">
        <v>1330</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577</v>
      </c>
      <c r="AJ48" s="559"/>
    </row>
    <row r="49" spans="1:36" ht="14.4" x14ac:dyDescent="0.3">
      <c r="A49" s="560" t="s">
        <v>568</v>
      </c>
      <c r="B49" s="557" t="str">
        <f t="shared" si="24"/>
        <v>1980s</v>
      </c>
      <c r="C49" s="561">
        <v>1989</v>
      </c>
      <c r="D49" s="562">
        <f t="shared" si="1"/>
        <v>1984</v>
      </c>
      <c r="E49" s="563">
        <f t="shared" si="2"/>
        <v>1986</v>
      </c>
      <c r="F49" s="586">
        <f t="shared" si="3"/>
        <v>47478</v>
      </c>
      <c r="G49" s="587">
        <f t="shared" si="4"/>
        <v>43470</v>
      </c>
      <c r="H49" s="587">
        <f t="shared" si="5"/>
        <v>43434</v>
      </c>
      <c r="I49" s="2122">
        <f t="shared" si="6"/>
        <v>18084.831999999999</v>
      </c>
      <c r="J49" s="2126">
        <f t="shared" si="7"/>
        <v>0.48406937901498925</v>
      </c>
      <c r="K49" s="590">
        <f t="shared" si="8"/>
        <v>18256</v>
      </c>
      <c r="L49" s="591">
        <f t="shared" si="17"/>
        <v>21042.495905781583</v>
      </c>
      <c r="M49" s="589">
        <f t="shared" si="29"/>
        <v>18084.831999999999</v>
      </c>
      <c r="N49" s="591">
        <f t="shared" si="30"/>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2329" t="s">
        <v>1330</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577</v>
      </c>
      <c r="AJ49" s="559"/>
    </row>
    <row r="50" spans="1:36" ht="14.4" x14ac:dyDescent="0.3">
      <c r="A50" s="560" t="s">
        <v>568</v>
      </c>
      <c r="B50" s="557" t="str">
        <f t="shared" si="24"/>
        <v>1980s</v>
      </c>
      <c r="C50" s="561">
        <v>1989</v>
      </c>
      <c r="D50" s="562">
        <f t="shared" si="1"/>
        <v>1985</v>
      </c>
      <c r="E50" s="563">
        <f t="shared" si="2"/>
        <v>1988</v>
      </c>
      <c r="F50" s="586">
        <f t="shared" si="3"/>
        <v>47478</v>
      </c>
      <c r="G50" s="587">
        <f t="shared" si="4"/>
        <v>43470</v>
      </c>
      <c r="H50" s="587">
        <f t="shared" si="5"/>
        <v>43434</v>
      </c>
      <c r="I50" s="2122">
        <f t="shared" si="6"/>
        <v>18084.831999999999</v>
      </c>
      <c r="J50" s="2126">
        <f t="shared" si="7"/>
        <v>0.48406937901498925</v>
      </c>
      <c r="K50" s="590">
        <f t="shared" si="8"/>
        <v>18256</v>
      </c>
      <c r="L50" s="591">
        <f t="shared" si="17"/>
        <v>21042.495905781583</v>
      </c>
      <c r="M50" s="589">
        <f t="shared" si="29"/>
        <v>18084.831999999999</v>
      </c>
      <c r="N50" s="591">
        <f t="shared" si="30"/>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2329" t="s">
        <v>1330</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577</v>
      </c>
      <c r="AJ50" s="559"/>
    </row>
    <row r="51" spans="1:36" ht="14.4" x14ac:dyDescent="0.3">
      <c r="A51" s="560" t="s">
        <v>568</v>
      </c>
      <c r="B51" s="557" t="str">
        <f t="shared" si="24"/>
        <v>1980s</v>
      </c>
      <c r="C51" s="561">
        <v>1989</v>
      </c>
      <c r="D51" s="562">
        <f t="shared" si="1"/>
        <v>1984</v>
      </c>
      <c r="E51" s="563">
        <f t="shared" si="2"/>
        <v>1987</v>
      </c>
      <c r="F51" s="586">
        <f t="shared" si="3"/>
        <v>47478</v>
      </c>
      <c r="G51" s="587">
        <f t="shared" si="4"/>
        <v>43470</v>
      </c>
      <c r="H51" s="587">
        <f t="shared" si="5"/>
        <v>43434</v>
      </c>
      <c r="I51" s="2122">
        <f t="shared" si="6"/>
        <v>18084.831999999999</v>
      </c>
      <c r="J51" s="2126">
        <f t="shared" si="7"/>
        <v>0.48406937901498925</v>
      </c>
      <c r="K51" s="590">
        <f t="shared" si="8"/>
        <v>18256</v>
      </c>
      <c r="L51" s="591">
        <f t="shared" si="17"/>
        <v>21042.495905781583</v>
      </c>
      <c r="M51" s="589">
        <f t="shared" si="29"/>
        <v>18084.831999999999</v>
      </c>
      <c r="N51" s="591">
        <f t="shared" si="30"/>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2329" t="s">
        <v>1330</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577</v>
      </c>
      <c r="AJ51" s="559"/>
    </row>
    <row r="52" spans="1:36" ht="14.4" x14ac:dyDescent="0.3">
      <c r="A52" s="560" t="s">
        <v>568</v>
      </c>
      <c r="B52" s="557" t="str">
        <f t="shared" si="24"/>
        <v>1980s</v>
      </c>
      <c r="C52" s="561">
        <v>1990</v>
      </c>
      <c r="D52" s="562">
        <f t="shared" si="1"/>
        <v>1987</v>
      </c>
      <c r="E52" s="563">
        <f t="shared" si="2"/>
        <v>1989</v>
      </c>
      <c r="F52" s="586">
        <f t="shared" si="3"/>
        <v>49754</v>
      </c>
      <c r="G52" s="587">
        <f t="shared" si="4"/>
        <v>51639</v>
      </c>
      <c r="H52" s="587">
        <f t="shared" si="5"/>
        <v>51466</v>
      </c>
      <c r="I52" s="2122">
        <f t="shared" si="6"/>
        <v>8613.387999999999</v>
      </c>
      <c r="J52" s="2126">
        <f t="shared" si="7"/>
        <v>0.19512466302698048</v>
      </c>
      <c r="K52" s="590">
        <f t="shared" si="8"/>
        <v>12393</v>
      </c>
      <c r="L52" s="591">
        <f t="shared" si="17"/>
        <v>10076.042474050244</v>
      </c>
      <c r="M52" s="589">
        <f t="shared" si="29"/>
        <v>8613.387999999999</v>
      </c>
      <c r="N52" s="591">
        <f t="shared" si="30"/>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9" t="s">
        <v>1330</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578</v>
      </c>
      <c r="AJ52" s="559"/>
    </row>
    <row r="53" spans="1:36" ht="14.4" x14ac:dyDescent="0.3">
      <c r="A53" s="560" t="s">
        <v>568</v>
      </c>
      <c r="B53" s="557" t="str">
        <f t="shared" si="24"/>
        <v>1980s</v>
      </c>
      <c r="C53" s="561">
        <v>1990</v>
      </c>
      <c r="D53" s="562">
        <f t="shared" si="1"/>
        <v>1986</v>
      </c>
      <c r="E53" s="563">
        <f t="shared" si="2"/>
        <v>1988</v>
      </c>
      <c r="F53" s="586">
        <f t="shared" si="3"/>
        <v>49754</v>
      </c>
      <c r="G53" s="587">
        <f t="shared" si="4"/>
        <v>51639</v>
      </c>
      <c r="H53" s="587">
        <f t="shared" si="5"/>
        <v>51466</v>
      </c>
      <c r="I53" s="2122">
        <f t="shared" si="6"/>
        <v>8613.387999999999</v>
      </c>
      <c r="J53" s="2126">
        <f t="shared" si="7"/>
        <v>0.19512466302698048</v>
      </c>
      <c r="K53" s="590">
        <f t="shared" si="8"/>
        <v>12393</v>
      </c>
      <c r="L53" s="591">
        <f t="shared" si="17"/>
        <v>10076.042474050244</v>
      </c>
      <c r="M53" s="589">
        <f t="shared" si="29"/>
        <v>8613.387999999999</v>
      </c>
      <c r="N53" s="591">
        <f t="shared" si="30"/>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9" t="s">
        <v>1330</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578</v>
      </c>
      <c r="AJ53" s="559"/>
    </row>
    <row r="54" spans="1:36" ht="14.4" x14ac:dyDescent="0.3">
      <c r="A54" s="560" t="s">
        <v>568</v>
      </c>
      <c r="B54" s="557" t="str">
        <f t="shared" si="24"/>
        <v>1980s</v>
      </c>
      <c r="C54" s="561">
        <v>1990</v>
      </c>
      <c r="D54" s="562">
        <f t="shared" si="1"/>
        <v>1985</v>
      </c>
      <c r="E54" s="563">
        <f t="shared" si="2"/>
        <v>1987</v>
      </c>
      <c r="F54" s="586">
        <f t="shared" si="3"/>
        <v>49754</v>
      </c>
      <c r="G54" s="587">
        <f t="shared" si="4"/>
        <v>51639</v>
      </c>
      <c r="H54" s="587">
        <f t="shared" si="5"/>
        <v>51466</v>
      </c>
      <c r="I54" s="2122">
        <f t="shared" si="6"/>
        <v>8613.387999999999</v>
      </c>
      <c r="J54" s="2126">
        <f t="shared" si="7"/>
        <v>0.19512466302698048</v>
      </c>
      <c r="K54" s="590">
        <f t="shared" si="8"/>
        <v>12393</v>
      </c>
      <c r="L54" s="591">
        <f t="shared" si="17"/>
        <v>10076.042474050244</v>
      </c>
      <c r="M54" s="589">
        <f t="shared" si="29"/>
        <v>8613.387999999999</v>
      </c>
      <c r="N54" s="591">
        <f t="shared" si="30"/>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9" t="s">
        <v>1330</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578</v>
      </c>
      <c r="AJ54" s="559"/>
    </row>
    <row r="55" spans="1:36" ht="14.4" x14ac:dyDescent="0.3">
      <c r="A55" s="560" t="s">
        <v>568</v>
      </c>
      <c r="B55" s="557" t="str">
        <f t="shared" si="24"/>
        <v>1980s</v>
      </c>
      <c r="C55" s="561">
        <v>1990</v>
      </c>
      <c r="D55" s="562">
        <f t="shared" si="1"/>
        <v>1986</v>
      </c>
      <c r="E55" s="563">
        <f t="shared" si="2"/>
        <v>1989</v>
      </c>
      <c r="F55" s="586">
        <f t="shared" si="3"/>
        <v>49754</v>
      </c>
      <c r="G55" s="587">
        <f t="shared" si="4"/>
        <v>51639</v>
      </c>
      <c r="H55" s="587">
        <f t="shared" si="5"/>
        <v>51466</v>
      </c>
      <c r="I55" s="2122">
        <f t="shared" si="6"/>
        <v>8613.387999999999</v>
      </c>
      <c r="J55" s="2126">
        <f t="shared" si="7"/>
        <v>0.19512466302698048</v>
      </c>
      <c r="K55" s="590">
        <f t="shared" si="8"/>
        <v>12393</v>
      </c>
      <c r="L55" s="591">
        <f t="shared" si="17"/>
        <v>10076.042474050244</v>
      </c>
      <c r="M55" s="589">
        <f t="shared" si="29"/>
        <v>8613.387999999999</v>
      </c>
      <c r="N55" s="591">
        <f t="shared" si="30"/>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9" t="s">
        <v>1330</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578</v>
      </c>
      <c r="AJ55" s="559"/>
    </row>
    <row r="56" spans="1:36" ht="14.4" x14ac:dyDescent="0.3">
      <c r="A56" s="560" t="s">
        <v>568</v>
      </c>
      <c r="B56" s="557" t="str">
        <f t="shared" si="24"/>
        <v>1980s</v>
      </c>
      <c r="C56" s="561">
        <v>1990</v>
      </c>
      <c r="D56" s="562">
        <f t="shared" si="1"/>
        <v>1985</v>
      </c>
      <c r="E56" s="563">
        <f t="shared" si="2"/>
        <v>1988</v>
      </c>
      <c r="F56" s="586">
        <f t="shared" si="3"/>
        <v>49754</v>
      </c>
      <c r="G56" s="587">
        <f t="shared" si="4"/>
        <v>51639</v>
      </c>
      <c r="H56" s="587">
        <f t="shared" si="5"/>
        <v>51466</v>
      </c>
      <c r="I56" s="2122">
        <f t="shared" si="6"/>
        <v>8613.387999999999</v>
      </c>
      <c r="J56" s="2126">
        <f t="shared" si="7"/>
        <v>0.19512466302698048</v>
      </c>
      <c r="K56" s="590">
        <f t="shared" si="8"/>
        <v>12393</v>
      </c>
      <c r="L56" s="591">
        <f t="shared" si="17"/>
        <v>10076.042474050244</v>
      </c>
      <c r="M56" s="589">
        <f t="shared" si="29"/>
        <v>8613.387999999999</v>
      </c>
      <c r="N56" s="591">
        <f t="shared" si="30"/>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9" t="s">
        <v>1330</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578</v>
      </c>
      <c r="AJ56" s="559"/>
    </row>
    <row r="57" spans="1:36" ht="14.4" x14ac:dyDescent="0.3">
      <c r="A57" s="560" t="s">
        <v>568</v>
      </c>
      <c r="B57" s="557" t="str">
        <f t="shared" si="24"/>
        <v>1980s</v>
      </c>
      <c r="C57" s="561">
        <v>1990</v>
      </c>
      <c r="D57" s="562">
        <f t="shared" si="1"/>
        <v>1984</v>
      </c>
      <c r="E57" s="563">
        <f t="shared" si="2"/>
        <v>1987</v>
      </c>
      <c r="F57" s="586">
        <f t="shared" si="3"/>
        <v>49754</v>
      </c>
      <c r="G57" s="587">
        <f t="shared" si="4"/>
        <v>51639</v>
      </c>
      <c r="H57" s="587">
        <f t="shared" si="5"/>
        <v>51466</v>
      </c>
      <c r="I57" s="2122">
        <f t="shared" si="6"/>
        <v>8613.387999999999</v>
      </c>
      <c r="J57" s="2126">
        <f t="shared" si="7"/>
        <v>0.19512466302698048</v>
      </c>
      <c r="K57" s="590">
        <f t="shared" si="8"/>
        <v>12393</v>
      </c>
      <c r="L57" s="591">
        <f t="shared" si="17"/>
        <v>10076.042474050244</v>
      </c>
      <c r="M57" s="589">
        <f t="shared" si="29"/>
        <v>8613.387999999999</v>
      </c>
      <c r="N57" s="591">
        <f t="shared" si="30"/>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9" t="s">
        <v>1330</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578</v>
      </c>
      <c r="AJ57" s="559"/>
    </row>
    <row r="58" spans="1:36" ht="14.4" x14ac:dyDescent="0.3">
      <c r="A58" s="560" t="s">
        <v>568</v>
      </c>
      <c r="B58" s="557" t="str">
        <f t="shared" si="24"/>
        <v>1990s</v>
      </c>
      <c r="C58" s="561">
        <v>1991</v>
      </c>
      <c r="D58" s="562">
        <f t="shared" si="1"/>
        <v>1988</v>
      </c>
      <c r="E58" s="563">
        <f t="shared" si="2"/>
        <v>1990</v>
      </c>
      <c r="F58" s="586">
        <f t="shared" si="3"/>
        <v>76484</v>
      </c>
      <c r="G58" s="587">
        <f t="shared" si="4"/>
        <v>79540</v>
      </c>
      <c r="H58" s="587">
        <f t="shared" si="5"/>
        <v>79537</v>
      </c>
      <c r="I58" s="2122">
        <f t="shared" si="6"/>
        <v>31118.679999999997</v>
      </c>
      <c r="J58" s="2126">
        <f t="shared" si="7"/>
        <v>0.50095268758350897</v>
      </c>
      <c r="K58" s="590">
        <f t="shared" si="8"/>
        <v>39765</v>
      </c>
      <c r="L58" s="591">
        <f t="shared" si="17"/>
        <v>39845.776770392302</v>
      </c>
      <c r="M58" s="589">
        <f t="shared" si="29"/>
        <v>31118.679999999997</v>
      </c>
      <c r="N58" s="591">
        <f t="shared" si="30"/>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9" t="s">
        <v>1330</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579</v>
      </c>
      <c r="AJ58" s="559"/>
    </row>
    <row r="59" spans="1:36" ht="14.4" x14ac:dyDescent="0.3">
      <c r="A59" s="560" t="s">
        <v>568</v>
      </c>
      <c r="B59" s="557" t="str">
        <f t="shared" si="24"/>
        <v>1980s</v>
      </c>
      <c r="C59" s="561">
        <v>1991</v>
      </c>
      <c r="D59" s="562">
        <f t="shared" si="1"/>
        <v>1987</v>
      </c>
      <c r="E59" s="563">
        <f t="shared" si="2"/>
        <v>1989</v>
      </c>
      <c r="F59" s="586">
        <f t="shared" si="3"/>
        <v>76484</v>
      </c>
      <c r="G59" s="587">
        <f t="shared" si="4"/>
        <v>79540</v>
      </c>
      <c r="H59" s="587">
        <f t="shared" si="5"/>
        <v>79537</v>
      </c>
      <c r="I59" s="2122">
        <f t="shared" si="6"/>
        <v>31118.679999999997</v>
      </c>
      <c r="J59" s="2126">
        <f t="shared" si="7"/>
        <v>0.50095268758350897</v>
      </c>
      <c r="K59" s="590">
        <f t="shared" si="8"/>
        <v>39765</v>
      </c>
      <c r="L59" s="591">
        <f t="shared" si="17"/>
        <v>39845.776770392302</v>
      </c>
      <c r="M59" s="589">
        <f t="shared" si="29"/>
        <v>31118.679999999997</v>
      </c>
      <c r="N59" s="591">
        <f t="shared" si="30"/>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9" t="s">
        <v>1330</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579</v>
      </c>
      <c r="AJ59" s="559"/>
    </row>
    <row r="60" spans="1:36" ht="14.4" x14ac:dyDescent="0.3">
      <c r="A60" s="560" t="s">
        <v>568</v>
      </c>
      <c r="B60" s="557" t="str">
        <f t="shared" si="24"/>
        <v>1980s</v>
      </c>
      <c r="C60" s="561">
        <v>1991</v>
      </c>
      <c r="D60" s="562">
        <f t="shared" si="1"/>
        <v>1986</v>
      </c>
      <c r="E60" s="563">
        <f t="shared" si="2"/>
        <v>1988</v>
      </c>
      <c r="F60" s="586">
        <f t="shared" si="3"/>
        <v>76484</v>
      </c>
      <c r="G60" s="587">
        <f t="shared" si="4"/>
        <v>79540</v>
      </c>
      <c r="H60" s="587">
        <f t="shared" si="5"/>
        <v>79537</v>
      </c>
      <c r="I60" s="2122">
        <f t="shared" si="6"/>
        <v>31118.679999999997</v>
      </c>
      <c r="J60" s="2126">
        <f t="shared" si="7"/>
        <v>0.50095268758350897</v>
      </c>
      <c r="K60" s="590">
        <f t="shared" si="8"/>
        <v>39765</v>
      </c>
      <c r="L60" s="591">
        <f t="shared" si="17"/>
        <v>39845.776770392302</v>
      </c>
      <c r="M60" s="589">
        <f t="shared" si="29"/>
        <v>31118.679999999997</v>
      </c>
      <c r="N60" s="591">
        <f t="shared" si="30"/>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9" t="s">
        <v>1330</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579</v>
      </c>
      <c r="AJ60" s="559"/>
    </row>
    <row r="61" spans="1:36" ht="14.4" x14ac:dyDescent="0.3">
      <c r="A61" s="560" t="s">
        <v>568</v>
      </c>
      <c r="B61" s="557" t="str">
        <f t="shared" si="24"/>
        <v>1990s</v>
      </c>
      <c r="C61" s="561">
        <v>1991</v>
      </c>
      <c r="D61" s="562">
        <f t="shared" si="1"/>
        <v>1987</v>
      </c>
      <c r="E61" s="563">
        <f t="shared" si="2"/>
        <v>1990</v>
      </c>
      <c r="F61" s="586">
        <f t="shared" si="3"/>
        <v>76484</v>
      </c>
      <c r="G61" s="587">
        <f t="shared" si="4"/>
        <v>79540</v>
      </c>
      <c r="H61" s="587">
        <f t="shared" si="5"/>
        <v>79537</v>
      </c>
      <c r="I61" s="2122">
        <f t="shared" si="6"/>
        <v>31118.679999999997</v>
      </c>
      <c r="J61" s="2126">
        <f t="shared" si="7"/>
        <v>0.50095268758350897</v>
      </c>
      <c r="K61" s="590">
        <f t="shared" si="8"/>
        <v>39765</v>
      </c>
      <c r="L61" s="591">
        <f t="shared" si="17"/>
        <v>39845.776770392302</v>
      </c>
      <c r="M61" s="589">
        <f t="shared" si="29"/>
        <v>31118.679999999997</v>
      </c>
      <c r="N61" s="591">
        <f t="shared" si="30"/>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9" t="s">
        <v>1330</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579</v>
      </c>
      <c r="AJ61" s="559"/>
    </row>
    <row r="62" spans="1:36" ht="14.4" x14ac:dyDescent="0.3">
      <c r="A62" s="560" t="s">
        <v>568</v>
      </c>
      <c r="B62" s="557" t="str">
        <f t="shared" si="24"/>
        <v>1980s</v>
      </c>
      <c r="C62" s="561">
        <v>1991</v>
      </c>
      <c r="D62" s="562">
        <f t="shared" si="1"/>
        <v>1986</v>
      </c>
      <c r="E62" s="563">
        <f t="shared" si="2"/>
        <v>1989</v>
      </c>
      <c r="F62" s="586">
        <f t="shared" si="3"/>
        <v>76484</v>
      </c>
      <c r="G62" s="587">
        <f t="shared" si="4"/>
        <v>79540</v>
      </c>
      <c r="H62" s="587">
        <f t="shared" si="5"/>
        <v>79537</v>
      </c>
      <c r="I62" s="2122">
        <f t="shared" si="6"/>
        <v>31118.679999999997</v>
      </c>
      <c r="J62" s="2126">
        <f t="shared" si="7"/>
        <v>0.50095268758350897</v>
      </c>
      <c r="K62" s="590">
        <f t="shared" si="8"/>
        <v>39765</v>
      </c>
      <c r="L62" s="591">
        <f t="shared" si="17"/>
        <v>39845.776770392302</v>
      </c>
      <c r="M62" s="589">
        <f t="shared" si="29"/>
        <v>31118.679999999997</v>
      </c>
      <c r="N62" s="591">
        <f t="shared" si="30"/>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9" t="s">
        <v>1330</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579</v>
      </c>
      <c r="AJ62" s="559"/>
    </row>
    <row r="63" spans="1:36" ht="14.4" x14ac:dyDescent="0.3">
      <c r="A63" s="560" t="s">
        <v>568</v>
      </c>
      <c r="B63" s="557" t="str">
        <f t="shared" si="24"/>
        <v>1980s</v>
      </c>
      <c r="C63" s="561">
        <v>1991</v>
      </c>
      <c r="D63" s="562">
        <f>C62-U62</f>
        <v>1986</v>
      </c>
      <c r="E63" s="563">
        <f>C62-(T62-INT(T62))*10</f>
        <v>1989</v>
      </c>
      <c r="F63" s="586">
        <f t="shared" si="3"/>
        <v>76484</v>
      </c>
      <c r="G63" s="587">
        <f t="shared" si="4"/>
        <v>79540</v>
      </c>
      <c r="H63" s="587">
        <f t="shared" si="5"/>
        <v>79537</v>
      </c>
      <c r="I63" s="2122">
        <f t="shared" si="6"/>
        <v>31118.679999999997</v>
      </c>
      <c r="J63" s="2126">
        <f t="shared" si="7"/>
        <v>0.50095268758350897</v>
      </c>
      <c r="K63" s="590">
        <f t="shared" si="8"/>
        <v>39765</v>
      </c>
      <c r="L63" s="591">
        <f t="shared" si="17"/>
        <v>39845.776770392302</v>
      </c>
      <c r="M63" s="589">
        <f t="shared" si="29"/>
        <v>31118.679999999997</v>
      </c>
      <c r="N63" s="591">
        <f t="shared" si="30"/>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9" t="s">
        <v>1330</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579</v>
      </c>
      <c r="AJ63" s="559"/>
    </row>
    <row r="64" spans="1:36" ht="14.4" x14ac:dyDescent="0.3">
      <c r="A64" s="560" t="s">
        <v>568</v>
      </c>
      <c r="B64" s="557" t="str">
        <f t="shared" si="24"/>
        <v>1990s</v>
      </c>
      <c r="C64" s="561">
        <v>1992</v>
      </c>
      <c r="D64" s="562">
        <f t="shared" ref="D64:D127" si="31">C64-U64</f>
        <v>1989</v>
      </c>
      <c r="E64" s="563">
        <f t="shared" ref="E64:E127" si="32">C64-(T64-INT(T64))*10</f>
        <v>1991</v>
      </c>
      <c r="F64" s="586">
        <f t="shared" si="3"/>
        <v>85000</v>
      </c>
      <c r="G64" s="587">
        <f t="shared" si="4"/>
        <v>88427</v>
      </c>
      <c r="H64" s="587">
        <f t="shared" si="5"/>
        <v>88419</v>
      </c>
      <c r="I64" s="2122">
        <f t="shared" si="6"/>
        <v>47488.531999999992</v>
      </c>
      <c r="J64" s="2126">
        <f t="shared" si="7"/>
        <v>0.69469319328837453</v>
      </c>
      <c r="K64" s="590">
        <f t="shared" si="8"/>
        <v>60990</v>
      </c>
      <c r="L64" s="591">
        <f t="shared" si="17"/>
        <v>61429.635002911098</v>
      </c>
      <c r="M64" s="589">
        <f t="shared" si="29"/>
        <v>47488.531999999992</v>
      </c>
      <c r="N64" s="591">
        <f t="shared" si="30"/>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9" t="s">
        <v>1330</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580</v>
      </c>
      <c r="AJ64" s="559"/>
    </row>
    <row r="65" spans="1:36" ht="14.4" x14ac:dyDescent="0.3">
      <c r="A65" s="560" t="s">
        <v>568</v>
      </c>
      <c r="B65" s="557" t="str">
        <f t="shared" si="24"/>
        <v>1990s</v>
      </c>
      <c r="C65" s="561">
        <v>1992</v>
      </c>
      <c r="D65" s="562">
        <f t="shared" si="31"/>
        <v>1988</v>
      </c>
      <c r="E65" s="563">
        <f t="shared" si="32"/>
        <v>1990</v>
      </c>
      <c r="F65" s="586">
        <f t="shared" si="3"/>
        <v>85000</v>
      </c>
      <c r="G65" s="587">
        <f t="shared" si="4"/>
        <v>88427</v>
      </c>
      <c r="H65" s="587">
        <f t="shared" si="5"/>
        <v>88419</v>
      </c>
      <c r="I65" s="2122">
        <f t="shared" si="6"/>
        <v>47488.531999999992</v>
      </c>
      <c r="J65" s="2126">
        <f t="shared" si="7"/>
        <v>0.69469319328837453</v>
      </c>
      <c r="K65" s="590">
        <f t="shared" si="8"/>
        <v>60990</v>
      </c>
      <c r="L65" s="591">
        <f t="shared" si="17"/>
        <v>61429.635002911098</v>
      </c>
      <c r="M65" s="589">
        <f t="shared" si="29"/>
        <v>47488.531999999992</v>
      </c>
      <c r="N65" s="591">
        <f t="shared" si="30"/>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9" t="s">
        <v>1330</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580</v>
      </c>
      <c r="AJ65" s="559"/>
    </row>
    <row r="66" spans="1:36" ht="14.4" x14ac:dyDescent="0.3">
      <c r="A66" s="560" t="s">
        <v>568</v>
      </c>
      <c r="B66" s="557" t="str">
        <f t="shared" si="24"/>
        <v>1980s</v>
      </c>
      <c r="C66" s="561">
        <v>1992</v>
      </c>
      <c r="D66" s="562">
        <f t="shared" si="31"/>
        <v>1987</v>
      </c>
      <c r="E66" s="563">
        <f t="shared" si="32"/>
        <v>1989</v>
      </c>
      <c r="F66" s="586">
        <f t="shared" ref="F66:F129" si="33">VLOOKUP($C66,SockeyeReturnsData,2)</f>
        <v>85000</v>
      </c>
      <c r="G66" s="587">
        <f t="shared" ref="G66:G129" si="34">VLOOKUP($C66,SockeyeReturnsData,3)</f>
        <v>88427</v>
      </c>
      <c r="H66" s="587">
        <f t="shared" ref="H66:H129" si="35">VLOOKUP($C66,SockeyeReturnsData,5)</f>
        <v>88419</v>
      </c>
      <c r="I66" s="2122">
        <f t="shared" ref="I66:I129" si="36">VLOOKUP($C66,SockeyeReturnsData,12)</f>
        <v>47488.531999999992</v>
      </c>
      <c r="J66" s="2126">
        <f t="shared" ref="J66:J129" si="37">VLOOKUP($C66,SockeyeReturnsData,18)</f>
        <v>0.69469319328837453</v>
      </c>
      <c r="K66" s="590">
        <f t="shared" ref="K66:K129" si="38">VLOOKUP($C66,SockeyeReturnsData,30)</f>
        <v>60990</v>
      </c>
      <c r="L66" s="591">
        <f t="shared" si="17"/>
        <v>61429.635002911098</v>
      </c>
      <c r="M66" s="589">
        <f t="shared" si="29"/>
        <v>47488.531999999992</v>
      </c>
      <c r="N66" s="591">
        <f t="shared" si="30"/>
        <v>4199268419.1639991</v>
      </c>
      <c r="O66" s="569">
        <f t="shared" ref="O66:O129" si="39">VLOOKUP($C66,SockeyeReturnsData,6)/G66</f>
        <v>3.958067106200595E-4</v>
      </c>
      <c r="P66" s="592">
        <f t="shared" ref="P66:P129" si="40">VLOOKUP($C66,SockeyeReturnsData,18)</f>
        <v>0.69469319328837453</v>
      </c>
      <c r="Q66" s="571">
        <f t="shared" ref="Q66:Q129" si="41">VLOOKUP($C66,SockeyeReturnsData,20)</f>
        <v>0.58903167877886586</v>
      </c>
      <c r="R66" s="572">
        <f t="shared" ref="R66:R129" si="42">VLOOKUP($C66,SockeyeReturnsData,19)</f>
        <v>0.63</v>
      </c>
      <c r="S66" s="573">
        <f t="shared" ref="S66:S129" si="43">VLOOKUP($C66,SockeyeReturnsData,24)</f>
        <v>0.20176658862914079</v>
      </c>
      <c r="T66" s="574">
        <v>1.3</v>
      </c>
      <c r="U66" s="557">
        <f t="shared" ref="U66:U129" si="44">INT(T66) + (T66-INT(T66))*10 + 1</f>
        <v>5</v>
      </c>
      <c r="V66" s="575">
        <f t="shared" ref="V66:V129" si="45">INT(T66)</f>
        <v>1</v>
      </c>
      <c r="W66" s="594">
        <v>1.4E-2</v>
      </c>
      <c r="X66" s="595">
        <f t="shared" si="18"/>
        <v>1237.9780000000001</v>
      </c>
      <c r="Y66" s="594">
        <v>1.6E-2</v>
      </c>
      <c r="Z66" s="596">
        <f t="shared" si="19"/>
        <v>853.86</v>
      </c>
      <c r="AA66" s="2329" t="s">
        <v>1330</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580</v>
      </c>
      <c r="AJ66" s="559"/>
    </row>
    <row r="67" spans="1:36" ht="14.4" x14ac:dyDescent="0.3">
      <c r="A67" s="560" t="s">
        <v>568</v>
      </c>
      <c r="B67" s="557" t="str">
        <f t="shared" si="24"/>
        <v>1990s</v>
      </c>
      <c r="C67" s="561">
        <v>1992</v>
      </c>
      <c r="D67" s="562">
        <f t="shared" si="31"/>
        <v>1988</v>
      </c>
      <c r="E67" s="563">
        <f t="shared" si="32"/>
        <v>1991</v>
      </c>
      <c r="F67" s="586">
        <f t="shared" si="33"/>
        <v>85000</v>
      </c>
      <c r="G67" s="587">
        <f t="shared" si="34"/>
        <v>88427</v>
      </c>
      <c r="H67" s="587">
        <f t="shared" si="35"/>
        <v>88419</v>
      </c>
      <c r="I67" s="2122">
        <f t="shared" si="36"/>
        <v>47488.531999999992</v>
      </c>
      <c r="J67" s="2126">
        <f t="shared" si="37"/>
        <v>0.69469319328837453</v>
      </c>
      <c r="K67" s="590">
        <f t="shared" si="38"/>
        <v>60990</v>
      </c>
      <c r="L67" s="591">
        <f t="shared" ref="L67:L130" si="46">J67*G67</f>
        <v>61429.635002911098</v>
      </c>
      <c r="M67" s="589">
        <f t="shared" si="29"/>
        <v>47488.531999999992</v>
      </c>
      <c r="N67" s="591">
        <f t="shared" si="30"/>
        <v>4199268419.1639991</v>
      </c>
      <c r="O67" s="569">
        <f t="shared" si="39"/>
        <v>3.958067106200595E-4</v>
      </c>
      <c r="P67" s="592">
        <f t="shared" si="40"/>
        <v>0.69469319328837453</v>
      </c>
      <c r="Q67" s="571">
        <f t="shared" si="41"/>
        <v>0.58903167877886586</v>
      </c>
      <c r="R67" s="572">
        <f t="shared" si="42"/>
        <v>0.63</v>
      </c>
      <c r="S67" s="573">
        <f t="shared" si="43"/>
        <v>0.20176658862914079</v>
      </c>
      <c r="T67" s="574">
        <v>2.1</v>
      </c>
      <c r="U67" s="557">
        <f t="shared" si="44"/>
        <v>4.0000000000000009</v>
      </c>
      <c r="V67" s="575">
        <f t="shared" si="45"/>
        <v>2</v>
      </c>
      <c r="W67" s="594">
        <v>7.0000000000000007E-2</v>
      </c>
      <c r="X67" s="595">
        <f t="shared" si="18"/>
        <v>6189.89</v>
      </c>
      <c r="Y67" s="594">
        <v>6.9000000000000006E-2</v>
      </c>
      <c r="Z67" s="596">
        <f t="shared" si="19"/>
        <v>4269.3</v>
      </c>
      <c r="AA67" s="2329" t="s">
        <v>1330</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580</v>
      </c>
      <c r="AJ67" s="559"/>
    </row>
    <row r="68" spans="1:36" ht="14.4" x14ac:dyDescent="0.3">
      <c r="A68" s="560" t="s">
        <v>568</v>
      </c>
      <c r="B68" s="557" t="str">
        <f t="shared" si="24"/>
        <v>1990s</v>
      </c>
      <c r="C68" s="561">
        <v>1992</v>
      </c>
      <c r="D68" s="562">
        <f t="shared" si="31"/>
        <v>1987</v>
      </c>
      <c r="E68" s="563">
        <f t="shared" si="32"/>
        <v>1990</v>
      </c>
      <c r="F68" s="586">
        <f t="shared" si="33"/>
        <v>85000</v>
      </c>
      <c r="G68" s="587">
        <f t="shared" si="34"/>
        <v>88427</v>
      </c>
      <c r="H68" s="587">
        <f t="shared" si="35"/>
        <v>88419</v>
      </c>
      <c r="I68" s="2122">
        <f t="shared" si="36"/>
        <v>47488.531999999992</v>
      </c>
      <c r="J68" s="2126">
        <f t="shared" si="37"/>
        <v>0.69469319328837453</v>
      </c>
      <c r="K68" s="590">
        <f t="shared" si="38"/>
        <v>60990</v>
      </c>
      <c r="L68" s="591">
        <f t="shared" si="46"/>
        <v>61429.635002911098</v>
      </c>
      <c r="M68" s="589">
        <f t="shared" si="29"/>
        <v>47488.531999999992</v>
      </c>
      <c r="N68" s="591">
        <f t="shared" si="30"/>
        <v>4199268419.1639991</v>
      </c>
      <c r="O68" s="569">
        <f t="shared" si="39"/>
        <v>3.958067106200595E-4</v>
      </c>
      <c r="P68" s="592">
        <f t="shared" si="40"/>
        <v>0.69469319328837453</v>
      </c>
      <c r="Q68" s="571">
        <f t="shared" si="41"/>
        <v>0.58903167877886586</v>
      </c>
      <c r="R68" s="572">
        <f t="shared" si="42"/>
        <v>0.63</v>
      </c>
      <c r="S68" s="573">
        <f t="shared" si="43"/>
        <v>0.20176658862914079</v>
      </c>
      <c r="T68" s="574">
        <v>2.2000000000000002</v>
      </c>
      <c r="U68" s="557">
        <f t="shared" si="44"/>
        <v>5.0000000000000018</v>
      </c>
      <c r="V68" s="575">
        <f t="shared" si="45"/>
        <v>2</v>
      </c>
      <c r="W68" s="594">
        <v>1.4E-2</v>
      </c>
      <c r="X68" s="595">
        <f t="shared" si="18"/>
        <v>1237.9780000000001</v>
      </c>
      <c r="Y68" s="594">
        <v>1.0999999999999999E-2</v>
      </c>
      <c r="Z68" s="596">
        <f t="shared" si="19"/>
        <v>853.86</v>
      </c>
      <c r="AA68" s="2329" t="s">
        <v>1330</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580</v>
      </c>
      <c r="AJ68" s="559"/>
    </row>
    <row r="69" spans="1:36" ht="14.4" x14ac:dyDescent="0.3">
      <c r="A69" s="560" t="s">
        <v>568</v>
      </c>
      <c r="B69" s="557" t="str">
        <f t="shared" si="24"/>
        <v>1990s</v>
      </c>
      <c r="C69" s="561">
        <v>1993</v>
      </c>
      <c r="D69" s="562">
        <f t="shared" si="31"/>
        <v>1990</v>
      </c>
      <c r="E69" s="563">
        <f t="shared" si="32"/>
        <v>1992</v>
      </c>
      <c r="F69" s="586">
        <f t="shared" si="33"/>
        <v>88025</v>
      </c>
      <c r="G69" s="587">
        <f t="shared" si="34"/>
        <v>83459</v>
      </c>
      <c r="H69" s="587">
        <f t="shared" si="35"/>
        <v>83395</v>
      </c>
      <c r="I69" s="2122">
        <f t="shared" si="36"/>
        <v>31525.067999999996</v>
      </c>
      <c r="J69" s="2126">
        <f t="shared" si="37"/>
        <v>0.48034539082736549</v>
      </c>
      <c r="K69" s="590">
        <f t="shared" si="38"/>
        <v>40052</v>
      </c>
      <c r="L69" s="591">
        <f t="shared" si="46"/>
        <v>40089.145973061095</v>
      </c>
      <c r="M69" s="589">
        <f t="shared" si="29"/>
        <v>31525.067999999996</v>
      </c>
      <c r="N69" s="591">
        <f t="shared" si="30"/>
        <v>2631050650.2119994</v>
      </c>
      <c r="O69" s="569">
        <f t="shared" si="39"/>
        <v>2.15674762458213E-4</v>
      </c>
      <c r="P69" s="592">
        <f t="shared" si="40"/>
        <v>0.48034539082736549</v>
      </c>
      <c r="Q69" s="571">
        <f t="shared" si="41"/>
        <v>0.42734137581729442</v>
      </c>
      <c r="R69" s="572">
        <f t="shared" si="42"/>
        <v>0.57999999999999996</v>
      </c>
      <c r="S69" s="573">
        <f t="shared" si="43"/>
        <v>0.15261106780982073</v>
      </c>
      <c r="T69" s="574">
        <v>1.1000000000000001</v>
      </c>
      <c r="U69" s="557">
        <f t="shared" si="44"/>
        <v>3.0000000000000009</v>
      </c>
      <c r="V69" s="575">
        <f t="shared" si="45"/>
        <v>1</v>
      </c>
      <c r="W69" s="594">
        <v>0</v>
      </c>
      <c r="X69" s="595">
        <f t="shared" si="18"/>
        <v>0</v>
      </c>
      <c r="Y69" s="594">
        <v>0</v>
      </c>
      <c r="Z69" s="596">
        <f t="shared" si="19"/>
        <v>0</v>
      </c>
      <c r="AA69" s="2329" t="s">
        <v>1330</v>
      </c>
      <c r="AB69" s="597">
        <f t="shared" si="25"/>
        <v>0</v>
      </c>
      <c r="AC69" s="597">
        <f t="shared" si="26"/>
        <v>0</v>
      </c>
      <c r="AD69" s="597">
        <f>IF(Y69,L69*Y69,0)</f>
        <v>0</v>
      </c>
      <c r="AE69" s="598">
        <f t="shared" si="20"/>
        <v>0</v>
      </c>
      <c r="AF69" s="572">
        <f t="shared" si="21"/>
        <v>0</v>
      </c>
      <c r="AG69" s="599">
        <f t="shared" si="22"/>
        <v>0</v>
      </c>
      <c r="AH69" s="600">
        <f t="shared" si="23"/>
        <v>0</v>
      </c>
      <c r="AI69" s="559" t="s">
        <v>581</v>
      </c>
    </row>
    <row r="70" spans="1:36" ht="14.4" x14ac:dyDescent="0.3">
      <c r="A70" s="560" t="s">
        <v>568</v>
      </c>
      <c r="B70" s="557" t="str">
        <f t="shared" si="24"/>
        <v>1990s</v>
      </c>
      <c r="C70" s="561">
        <v>1993</v>
      </c>
      <c r="D70" s="562">
        <f t="shared" si="31"/>
        <v>1989</v>
      </c>
      <c r="E70" s="563">
        <f t="shared" si="32"/>
        <v>1991</v>
      </c>
      <c r="F70" s="586">
        <f t="shared" si="33"/>
        <v>88025</v>
      </c>
      <c r="G70" s="587">
        <f t="shared" si="34"/>
        <v>83459</v>
      </c>
      <c r="H70" s="587">
        <f t="shared" si="35"/>
        <v>83395</v>
      </c>
      <c r="I70" s="2122">
        <f t="shared" si="36"/>
        <v>31525.067999999996</v>
      </c>
      <c r="J70" s="2126">
        <f t="shared" si="37"/>
        <v>0.48034539082736549</v>
      </c>
      <c r="K70" s="590">
        <f t="shared" si="38"/>
        <v>40052</v>
      </c>
      <c r="L70" s="591">
        <f t="shared" si="46"/>
        <v>40089.145973061095</v>
      </c>
      <c r="M70" s="589">
        <f t="shared" si="29"/>
        <v>31525.067999999996</v>
      </c>
      <c r="N70" s="591">
        <f t="shared" si="30"/>
        <v>2631050650.2119994</v>
      </c>
      <c r="O70" s="569">
        <f t="shared" si="39"/>
        <v>2.15674762458213E-4</v>
      </c>
      <c r="P70" s="592">
        <f t="shared" si="40"/>
        <v>0.48034539082736549</v>
      </c>
      <c r="Q70" s="571">
        <f t="shared" si="41"/>
        <v>0.42734137581729442</v>
      </c>
      <c r="R70" s="572">
        <f t="shared" si="42"/>
        <v>0.57999999999999996</v>
      </c>
      <c r="S70" s="573">
        <f t="shared" si="43"/>
        <v>0.15261106780982073</v>
      </c>
      <c r="T70" s="574">
        <v>1.2</v>
      </c>
      <c r="U70" s="557">
        <f t="shared" si="44"/>
        <v>3.9999999999999996</v>
      </c>
      <c r="V70" s="575">
        <f t="shared" si="45"/>
        <v>1</v>
      </c>
      <c r="W70" s="594">
        <v>0.88700000000000001</v>
      </c>
      <c r="X70" s="595">
        <f t="shared" si="18"/>
        <v>74028.133000000002</v>
      </c>
      <c r="Y70" s="594">
        <v>0.89700000000000002</v>
      </c>
      <c r="Z70" s="596">
        <f t="shared" si="19"/>
        <v>35526.124000000003</v>
      </c>
      <c r="AA70" s="2329" t="s">
        <v>1330</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581</v>
      </c>
    </row>
    <row r="71" spans="1:36" ht="14.4" x14ac:dyDescent="0.3">
      <c r="A71" s="560" t="s">
        <v>568</v>
      </c>
      <c r="B71" s="557" t="str">
        <f t="shared" si="24"/>
        <v>1990s</v>
      </c>
      <c r="C71" s="561">
        <v>1993</v>
      </c>
      <c r="D71" s="562">
        <f t="shared" si="31"/>
        <v>1988</v>
      </c>
      <c r="E71" s="563">
        <f t="shared" si="32"/>
        <v>1990</v>
      </c>
      <c r="F71" s="586">
        <f t="shared" si="33"/>
        <v>88025</v>
      </c>
      <c r="G71" s="587">
        <f t="shared" si="34"/>
        <v>83459</v>
      </c>
      <c r="H71" s="587">
        <f t="shared" si="35"/>
        <v>83395</v>
      </c>
      <c r="I71" s="2122">
        <f t="shared" si="36"/>
        <v>31525.067999999996</v>
      </c>
      <c r="J71" s="2126">
        <f t="shared" si="37"/>
        <v>0.48034539082736549</v>
      </c>
      <c r="K71" s="590">
        <f t="shared" si="38"/>
        <v>40052</v>
      </c>
      <c r="L71" s="591">
        <f t="shared" si="46"/>
        <v>40089.145973061095</v>
      </c>
      <c r="M71" s="589">
        <f t="shared" si="29"/>
        <v>31525.067999999996</v>
      </c>
      <c r="N71" s="591">
        <f t="shared" si="30"/>
        <v>2631050650.2119994</v>
      </c>
      <c r="O71" s="569">
        <f t="shared" si="39"/>
        <v>2.15674762458213E-4</v>
      </c>
      <c r="P71" s="592">
        <f t="shared" si="40"/>
        <v>0.48034539082736549</v>
      </c>
      <c r="Q71" s="571">
        <f t="shared" si="41"/>
        <v>0.42734137581729442</v>
      </c>
      <c r="R71" s="572">
        <f t="shared" si="42"/>
        <v>0.57999999999999996</v>
      </c>
      <c r="S71" s="573">
        <f t="shared" si="43"/>
        <v>0.15261106780982073</v>
      </c>
      <c r="T71" s="574">
        <v>1.3</v>
      </c>
      <c r="U71" s="557">
        <f t="shared" si="44"/>
        <v>5</v>
      </c>
      <c r="V71" s="575">
        <f t="shared" si="45"/>
        <v>1</v>
      </c>
      <c r="W71" s="594">
        <v>5.2999999999999999E-2</v>
      </c>
      <c r="X71" s="595">
        <f t="shared" si="18"/>
        <v>4423.3270000000002</v>
      </c>
      <c r="Y71" s="594">
        <v>4.8000000000000001E-2</v>
      </c>
      <c r="Z71" s="596">
        <f t="shared" si="19"/>
        <v>2122.7559999999999</v>
      </c>
      <c r="AA71" s="2329" t="s">
        <v>1330</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581</v>
      </c>
    </row>
    <row r="72" spans="1:36" ht="14.4" x14ac:dyDescent="0.3">
      <c r="A72" s="560" t="s">
        <v>568</v>
      </c>
      <c r="B72" s="557" t="str">
        <f t="shared" si="24"/>
        <v>1990s</v>
      </c>
      <c r="C72" s="561">
        <v>1993</v>
      </c>
      <c r="D72" s="562">
        <f t="shared" si="31"/>
        <v>1989</v>
      </c>
      <c r="E72" s="563">
        <f t="shared" si="32"/>
        <v>1992</v>
      </c>
      <c r="F72" s="586">
        <f t="shared" si="33"/>
        <v>88025</v>
      </c>
      <c r="G72" s="587">
        <f t="shared" si="34"/>
        <v>83459</v>
      </c>
      <c r="H72" s="587">
        <f t="shared" si="35"/>
        <v>83395</v>
      </c>
      <c r="I72" s="2122">
        <f t="shared" si="36"/>
        <v>31525.067999999996</v>
      </c>
      <c r="J72" s="2126">
        <f t="shared" si="37"/>
        <v>0.48034539082736549</v>
      </c>
      <c r="K72" s="590">
        <f t="shared" si="38"/>
        <v>40052</v>
      </c>
      <c r="L72" s="591">
        <f t="shared" si="46"/>
        <v>40089.145973061095</v>
      </c>
      <c r="M72" s="589">
        <f t="shared" si="29"/>
        <v>31525.067999999996</v>
      </c>
      <c r="N72" s="591">
        <f t="shared" si="30"/>
        <v>2631050650.2119994</v>
      </c>
      <c r="O72" s="569">
        <f t="shared" si="39"/>
        <v>2.15674762458213E-4</v>
      </c>
      <c r="P72" s="592">
        <f t="shared" si="40"/>
        <v>0.48034539082736549</v>
      </c>
      <c r="Q72" s="571">
        <f t="shared" si="41"/>
        <v>0.42734137581729442</v>
      </c>
      <c r="R72" s="572">
        <f t="shared" si="42"/>
        <v>0.57999999999999996</v>
      </c>
      <c r="S72" s="573">
        <f t="shared" si="43"/>
        <v>0.15261106780982073</v>
      </c>
      <c r="T72" s="574">
        <v>2.1</v>
      </c>
      <c r="U72" s="557">
        <f t="shared" si="44"/>
        <v>4.0000000000000009</v>
      </c>
      <c r="V72" s="575">
        <f t="shared" si="45"/>
        <v>2</v>
      </c>
      <c r="W72" s="594">
        <v>2E-3</v>
      </c>
      <c r="X72" s="595">
        <f t="shared" si="18"/>
        <v>166.91800000000001</v>
      </c>
      <c r="Y72" s="594">
        <v>4.0000000000000001E-3</v>
      </c>
      <c r="Z72" s="596">
        <f t="shared" si="19"/>
        <v>80.103999999999999</v>
      </c>
      <c r="AA72" s="2329" t="s">
        <v>1330</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581</v>
      </c>
    </row>
    <row r="73" spans="1:36" ht="14.4" x14ac:dyDescent="0.3">
      <c r="A73" s="560" t="s">
        <v>568</v>
      </c>
      <c r="B73" s="557" t="str">
        <f t="shared" si="24"/>
        <v>1990s</v>
      </c>
      <c r="C73" s="561">
        <v>1993</v>
      </c>
      <c r="D73" s="562">
        <f t="shared" si="31"/>
        <v>1988</v>
      </c>
      <c r="E73" s="563">
        <f t="shared" si="32"/>
        <v>1991</v>
      </c>
      <c r="F73" s="586">
        <f t="shared" si="33"/>
        <v>88025</v>
      </c>
      <c r="G73" s="587">
        <f t="shared" si="34"/>
        <v>83459</v>
      </c>
      <c r="H73" s="587">
        <f t="shared" si="35"/>
        <v>83395</v>
      </c>
      <c r="I73" s="2122">
        <f t="shared" si="36"/>
        <v>31525.067999999996</v>
      </c>
      <c r="J73" s="2126">
        <f t="shared" si="37"/>
        <v>0.48034539082736549</v>
      </c>
      <c r="K73" s="590">
        <f t="shared" si="38"/>
        <v>40052</v>
      </c>
      <c r="L73" s="591">
        <f t="shared" si="46"/>
        <v>40089.145973061095</v>
      </c>
      <c r="M73" s="589">
        <f t="shared" si="29"/>
        <v>31525.067999999996</v>
      </c>
      <c r="N73" s="591">
        <f t="shared" si="30"/>
        <v>2631050650.2119994</v>
      </c>
      <c r="O73" s="569">
        <f t="shared" si="39"/>
        <v>2.15674762458213E-4</v>
      </c>
      <c r="P73" s="592">
        <f t="shared" si="40"/>
        <v>0.48034539082736549</v>
      </c>
      <c r="Q73" s="571">
        <f t="shared" si="41"/>
        <v>0.42734137581729442</v>
      </c>
      <c r="R73" s="572">
        <f t="shared" si="42"/>
        <v>0.57999999999999996</v>
      </c>
      <c r="S73" s="573">
        <f t="shared" si="43"/>
        <v>0.15261106780982073</v>
      </c>
      <c r="T73" s="574">
        <v>2.2000000000000002</v>
      </c>
      <c r="U73" s="557">
        <f t="shared" si="44"/>
        <v>5.0000000000000018</v>
      </c>
      <c r="V73" s="575">
        <f t="shared" si="45"/>
        <v>2</v>
      </c>
      <c r="W73" s="594">
        <v>5.7000000000000002E-2</v>
      </c>
      <c r="X73" s="595">
        <f t="shared" si="18"/>
        <v>4757.1630000000005</v>
      </c>
      <c r="Y73" s="594">
        <v>0.05</v>
      </c>
      <c r="Z73" s="596">
        <f t="shared" si="19"/>
        <v>2282.9639999999999</v>
      </c>
      <c r="AA73" s="2329" t="s">
        <v>1330</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581</v>
      </c>
    </row>
    <row r="74" spans="1:36" ht="14.4" x14ac:dyDescent="0.3">
      <c r="A74" s="560" t="s">
        <v>568</v>
      </c>
      <c r="B74" s="557" t="str">
        <f t="shared" si="24"/>
        <v>1990s</v>
      </c>
      <c r="C74" s="561">
        <v>1993</v>
      </c>
      <c r="D74" s="562">
        <f t="shared" si="31"/>
        <v>1987</v>
      </c>
      <c r="E74" s="563">
        <f t="shared" si="32"/>
        <v>1990</v>
      </c>
      <c r="F74" s="586">
        <f t="shared" si="33"/>
        <v>88025</v>
      </c>
      <c r="G74" s="587">
        <f t="shared" si="34"/>
        <v>83459</v>
      </c>
      <c r="H74" s="587">
        <f t="shared" si="35"/>
        <v>83395</v>
      </c>
      <c r="I74" s="2122">
        <f t="shared" si="36"/>
        <v>31525.067999999996</v>
      </c>
      <c r="J74" s="2126">
        <f t="shared" si="37"/>
        <v>0.48034539082736549</v>
      </c>
      <c r="K74" s="590">
        <f t="shared" si="38"/>
        <v>40052</v>
      </c>
      <c r="L74" s="591">
        <f t="shared" si="46"/>
        <v>40089.145973061095</v>
      </c>
      <c r="M74" s="589">
        <f t="shared" si="29"/>
        <v>31525.067999999996</v>
      </c>
      <c r="N74" s="591">
        <f t="shared" si="30"/>
        <v>2631050650.2119994</v>
      </c>
      <c r="O74" s="569">
        <f t="shared" si="39"/>
        <v>2.15674762458213E-4</v>
      </c>
      <c r="P74" s="592">
        <f t="shared" si="40"/>
        <v>0.48034539082736549</v>
      </c>
      <c r="Q74" s="571">
        <f t="shared" si="41"/>
        <v>0.42734137581729442</v>
      </c>
      <c r="R74" s="572">
        <f t="shared" si="42"/>
        <v>0.57999999999999996</v>
      </c>
      <c r="S74" s="573">
        <f t="shared" si="43"/>
        <v>0.15261106780982073</v>
      </c>
      <c r="T74" s="574">
        <v>2.2999999999999998</v>
      </c>
      <c r="U74" s="557">
        <f t="shared" si="44"/>
        <v>5.9999999999999982</v>
      </c>
      <c r="V74" s="575">
        <f t="shared" si="45"/>
        <v>2</v>
      </c>
      <c r="W74" s="594">
        <v>2E-3</v>
      </c>
      <c r="X74" s="595">
        <f t="shared" si="18"/>
        <v>166.91800000000001</v>
      </c>
      <c r="Y74" s="594">
        <v>2E-3</v>
      </c>
      <c r="Z74" s="596">
        <f t="shared" si="19"/>
        <v>80.103999999999999</v>
      </c>
      <c r="AA74" s="2329" t="s">
        <v>1330</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581</v>
      </c>
    </row>
    <row r="75" spans="1:36" ht="14.4" x14ac:dyDescent="0.3">
      <c r="A75" s="560" t="s">
        <v>568</v>
      </c>
      <c r="B75" s="557" t="str">
        <f t="shared" si="24"/>
        <v>1990s</v>
      </c>
      <c r="C75" s="561">
        <v>1994</v>
      </c>
      <c r="D75" s="562">
        <f t="shared" si="31"/>
        <v>1991</v>
      </c>
      <c r="E75" s="563">
        <f t="shared" si="32"/>
        <v>1993</v>
      </c>
      <c r="F75" s="586">
        <f t="shared" si="33"/>
        <v>12873</v>
      </c>
      <c r="G75" s="587">
        <f t="shared" si="34"/>
        <v>12957</v>
      </c>
      <c r="H75" s="587">
        <f t="shared" si="35"/>
        <v>12956</v>
      </c>
      <c r="I75" s="2122">
        <f t="shared" si="36"/>
        <v>1885.9119999999998</v>
      </c>
      <c r="J75" s="2126">
        <f t="shared" si="37"/>
        <v>0.16591114630069498</v>
      </c>
      <c r="K75" s="590">
        <f t="shared" si="38"/>
        <v>2202</v>
      </c>
      <c r="L75" s="591">
        <f t="shared" si="46"/>
        <v>2149.7107226181047</v>
      </c>
      <c r="M75" s="606"/>
      <c r="N75" s="591"/>
      <c r="O75" s="569">
        <f t="shared" si="39"/>
        <v>3.8589179594041831E-4</v>
      </c>
      <c r="P75" s="592">
        <f t="shared" si="40"/>
        <v>0.16591114630069498</v>
      </c>
      <c r="Q75" s="571">
        <f t="shared" si="41"/>
        <v>0.1516531560251389</v>
      </c>
      <c r="R75" s="572">
        <f t="shared" si="42"/>
        <v>0</v>
      </c>
      <c r="S75" s="573">
        <f t="shared" si="43"/>
        <v>8.5828959555418333E-2</v>
      </c>
      <c r="T75" s="602">
        <v>1.1000000000000001</v>
      </c>
      <c r="U75" s="557">
        <f t="shared" si="44"/>
        <v>3.0000000000000009</v>
      </c>
      <c r="V75" s="575">
        <f t="shared" si="45"/>
        <v>1</v>
      </c>
      <c r="W75" s="594">
        <v>0.14299999999999999</v>
      </c>
      <c r="X75" s="595">
        <f t="shared" si="18"/>
        <v>1852.8509999999999</v>
      </c>
      <c r="Y75" s="576">
        <v>5.1999999999999998E-2</v>
      </c>
      <c r="Z75" s="596">
        <f t="shared" si="19"/>
        <v>314.88599999999997</v>
      </c>
      <c r="AA75" s="2329" t="s">
        <v>1330</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568</v>
      </c>
      <c r="B76" s="557" t="str">
        <f t="shared" si="24"/>
        <v>1990s</v>
      </c>
      <c r="C76" s="561">
        <v>1994</v>
      </c>
      <c r="D76" s="562">
        <f t="shared" si="31"/>
        <v>1990</v>
      </c>
      <c r="E76" s="563">
        <f t="shared" si="32"/>
        <v>1992</v>
      </c>
      <c r="F76" s="586">
        <f t="shared" si="33"/>
        <v>12873</v>
      </c>
      <c r="G76" s="587">
        <f t="shared" si="34"/>
        <v>12957</v>
      </c>
      <c r="H76" s="587">
        <f t="shared" si="35"/>
        <v>12956</v>
      </c>
      <c r="I76" s="2122">
        <f t="shared" si="36"/>
        <v>1885.9119999999998</v>
      </c>
      <c r="J76" s="2126">
        <f t="shared" si="37"/>
        <v>0.16591114630069498</v>
      </c>
      <c r="K76" s="590">
        <f t="shared" si="38"/>
        <v>2202</v>
      </c>
      <c r="L76" s="591">
        <f t="shared" si="46"/>
        <v>2149.7107226181047</v>
      </c>
      <c r="M76" s="607"/>
      <c r="N76" s="591"/>
      <c r="O76" s="569">
        <f t="shared" si="39"/>
        <v>3.8589179594041831E-4</v>
      </c>
      <c r="P76" s="592">
        <f t="shared" si="40"/>
        <v>0.16591114630069498</v>
      </c>
      <c r="Q76" s="571">
        <f t="shared" si="41"/>
        <v>0.1516531560251389</v>
      </c>
      <c r="R76" s="572">
        <f t="shared" si="42"/>
        <v>0</v>
      </c>
      <c r="S76" s="573">
        <f t="shared" si="43"/>
        <v>8.5828959555418333E-2</v>
      </c>
      <c r="T76" s="574">
        <v>1.2</v>
      </c>
      <c r="U76" s="557">
        <f t="shared" si="44"/>
        <v>3.9999999999999996</v>
      </c>
      <c r="V76" s="575">
        <f t="shared" si="45"/>
        <v>1</v>
      </c>
      <c r="W76" s="594">
        <v>0.126</v>
      </c>
      <c r="X76" s="595">
        <f t="shared" si="18"/>
        <v>1632.5820000000001</v>
      </c>
      <c r="Y76" s="576">
        <v>0.82499999999999996</v>
      </c>
      <c r="Z76" s="596">
        <f t="shared" si="19"/>
        <v>277.452</v>
      </c>
      <c r="AA76" s="2329" t="s">
        <v>1330</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568</v>
      </c>
      <c r="B77" s="557" t="str">
        <f t="shared" si="24"/>
        <v>1990s</v>
      </c>
      <c r="C77" s="561">
        <v>1994</v>
      </c>
      <c r="D77" s="562">
        <f t="shared" si="31"/>
        <v>1989</v>
      </c>
      <c r="E77" s="563">
        <f t="shared" si="32"/>
        <v>1991</v>
      </c>
      <c r="F77" s="586">
        <f t="shared" si="33"/>
        <v>12873</v>
      </c>
      <c r="G77" s="587">
        <f t="shared" si="34"/>
        <v>12957</v>
      </c>
      <c r="H77" s="587">
        <f t="shared" si="35"/>
        <v>12956</v>
      </c>
      <c r="I77" s="2122">
        <f t="shared" si="36"/>
        <v>1885.9119999999998</v>
      </c>
      <c r="J77" s="2126">
        <f t="shared" si="37"/>
        <v>0.16591114630069498</v>
      </c>
      <c r="K77" s="590">
        <f t="shared" si="38"/>
        <v>2202</v>
      </c>
      <c r="L77" s="591">
        <f t="shared" si="46"/>
        <v>2149.7107226181047</v>
      </c>
      <c r="M77" s="607"/>
      <c r="N77" s="591"/>
      <c r="O77" s="569">
        <f t="shared" si="39"/>
        <v>3.8589179594041831E-4</v>
      </c>
      <c r="P77" s="592">
        <f t="shared" si="40"/>
        <v>0.16591114630069498</v>
      </c>
      <c r="Q77" s="571">
        <f t="shared" si="41"/>
        <v>0.1516531560251389</v>
      </c>
      <c r="R77" s="572">
        <f t="shared" si="42"/>
        <v>0</v>
      </c>
      <c r="S77" s="573">
        <f t="shared" si="43"/>
        <v>8.5828959555418333E-2</v>
      </c>
      <c r="T77" s="574">
        <v>1.3</v>
      </c>
      <c r="U77" s="557">
        <f t="shared" si="44"/>
        <v>5</v>
      </c>
      <c r="V77" s="575">
        <f t="shared" si="45"/>
        <v>1</v>
      </c>
      <c r="W77" s="594">
        <v>0.69799999999999995</v>
      </c>
      <c r="X77" s="595">
        <f t="shared" si="18"/>
        <v>9043.985999999999</v>
      </c>
      <c r="Y77" s="576">
        <v>8.3000000000000004E-2</v>
      </c>
      <c r="Z77" s="596">
        <f t="shared" si="19"/>
        <v>1536.9959999999999</v>
      </c>
      <c r="AA77" s="2329" t="s">
        <v>1330</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568</v>
      </c>
      <c r="B78" s="557" t="str">
        <f t="shared" si="24"/>
        <v>1990s</v>
      </c>
      <c r="C78" s="561">
        <v>1994</v>
      </c>
      <c r="D78" s="562">
        <f t="shared" si="31"/>
        <v>1990</v>
      </c>
      <c r="E78" s="563">
        <f t="shared" si="32"/>
        <v>1993</v>
      </c>
      <c r="F78" s="586">
        <f t="shared" si="33"/>
        <v>12873</v>
      </c>
      <c r="G78" s="587">
        <f t="shared" si="34"/>
        <v>12957</v>
      </c>
      <c r="H78" s="587">
        <f t="shared" si="35"/>
        <v>12956</v>
      </c>
      <c r="I78" s="2122">
        <f t="shared" si="36"/>
        <v>1885.9119999999998</v>
      </c>
      <c r="J78" s="2126">
        <f t="shared" si="37"/>
        <v>0.16591114630069498</v>
      </c>
      <c r="K78" s="590">
        <f t="shared" si="38"/>
        <v>2202</v>
      </c>
      <c r="L78" s="591">
        <f t="shared" si="46"/>
        <v>2149.7107226181047</v>
      </c>
      <c r="M78" s="607"/>
      <c r="N78" s="591"/>
      <c r="O78" s="569">
        <f t="shared" si="39"/>
        <v>3.8589179594041831E-4</v>
      </c>
      <c r="P78" s="592">
        <f t="shared" si="40"/>
        <v>0.16591114630069498</v>
      </c>
      <c r="Q78" s="571">
        <f t="shared" si="41"/>
        <v>0.1516531560251389</v>
      </c>
      <c r="R78" s="572">
        <f t="shared" si="42"/>
        <v>0</v>
      </c>
      <c r="S78" s="573">
        <f t="shared" si="43"/>
        <v>8.5828959555418333E-2</v>
      </c>
      <c r="T78" s="574">
        <v>2.1</v>
      </c>
      <c r="U78" s="557">
        <f t="shared" si="44"/>
        <v>4.0000000000000009</v>
      </c>
      <c r="V78" s="575">
        <f t="shared" si="45"/>
        <v>2</v>
      </c>
      <c r="W78" s="594">
        <v>1.6E-2</v>
      </c>
      <c r="X78" s="595">
        <f t="shared" si="18"/>
        <v>207.31200000000001</v>
      </c>
      <c r="Y78" s="576">
        <v>2.3E-2</v>
      </c>
      <c r="Z78" s="596">
        <f t="shared" si="19"/>
        <v>35.231999999999999</v>
      </c>
      <c r="AA78" s="2329" t="s">
        <v>1330</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568</v>
      </c>
      <c r="B79" s="557" t="str">
        <f t="shared" si="24"/>
        <v>1990s</v>
      </c>
      <c r="C79" s="561">
        <v>1994</v>
      </c>
      <c r="D79" s="562">
        <f t="shared" si="31"/>
        <v>1989</v>
      </c>
      <c r="E79" s="563">
        <f t="shared" si="32"/>
        <v>1992</v>
      </c>
      <c r="F79" s="586">
        <f t="shared" si="33"/>
        <v>12873</v>
      </c>
      <c r="G79" s="587">
        <f t="shared" si="34"/>
        <v>12957</v>
      </c>
      <c r="H79" s="587">
        <f t="shared" si="35"/>
        <v>12956</v>
      </c>
      <c r="I79" s="2122">
        <f t="shared" si="36"/>
        <v>1885.9119999999998</v>
      </c>
      <c r="J79" s="2126">
        <f t="shared" si="37"/>
        <v>0.16591114630069498</v>
      </c>
      <c r="K79" s="590">
        <f t="shared" si="38"/>
        <v>2202</v>
      </c>
      <c r="L79" s="591">
        <f t="shared" si="46"/>
        <v>2149.7107226181047</v>
      </c>
      <c r="M79" s="607"/>
      <c r="N79" s="591"/>
      <c r="O79" s="569">
        <f t="shared" si="39"/>
        <v>3.8589179594041831E-4</v>
      </c>
      <c r="P79" s="592">
        <f t="shared" si="40"/>
        <v>0.16591114630069498</v>
      </c>
      <c r="Q79" s="571">
        <f t="shared" si="41"/>
        <v>0.1516531560251389</v>
      </c>
      <c r="R79" s="572">
        <f t="shared" si="42"/>
        <v>0</v>
      </c>
      <c r="S79" s="573">
        <f t="shared" si="43"/>
        <v>8.5828959555418333E-2</v>
      </c>
      <c r="T79" s="574">
        <v>2.2000000000000002</v>
      </c>
      <c r="U79" s="557">
        <f t="shared" si="44"/>
        <v>5.0000000000000018</v>
      </c>
      <c r="V79" s="575">
        <f t="shared" si="45"/>
        <v>2</v>
      </c>
      <c r="W79" s="594">
        <v>1.7000000000000001E-2</v>
      </c>
      <c r="X79" s="595">
        <f t="shared" si="18"/>
        <v>220.26900000000001</v>
      </c>
      <c r="Y79" s="576">
        <v>1.6E-2</v>
      </c>
      <c r="Z79" s="596">
        <f t="shared" si="19"/>
        <v>37.434000000000005</v>
      </c>
      <c r="AA79" s="2329" t="s">
        <v>1330</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568</v>
      </c>
      <c r="B80" s="557" t="str">
        <f t="shared" si="24"/>
        <v>1990s</v>
      </c>
      <c r="C80" s="561">
        <v>1995</v>
      </c>
      <c r="D80" s="562">
        <f t="shared" si="31"/>
        <v>1992</v>
      </c>
      <c r="E80" s="563">
        <f t="shared" si="32"/>
        <v>1994</v>
      </c>
      <c r="F80" s="586">
        <f t="shared" si="33"/>
        <v>9913</v>
      </c>
      <c r="G80" s="587">
        <f t="shared" si="34"/>
        <v>8883</v>
      </c>
      <c r="H80" s="587">
        <f t="shared" si="35"/>
        <v>8882</v>
      </c>
      <c r="I80" s="2122">
        <f t="shared" si="36"/>
        <v>5537.7439999999997</v>
      </c>
      <c r="J80" s="2126">
        <f t="shared" si="37"/>
        <v>0.69019852813291505</v>
      </c>
      <c r="K80" s="590">
        <f t="shared" si="38"/>
        <v>5238</v>
      </c>
      <c r="L80" s="591">
        <f t="shared" si="46"/>
        <v>6131.033525404684</v>
      </c>
      <c r="M80" s="606"/>
      <c r="N80" s="591"/>
      <c r="O80" s="569">
        <f t="shared" si="39"/>
        <v>5.6287290329843525E-4</v>
      </c>
      <c r="P80" s="592">
        <f t="shared" si="40"/>
        <v>0.69019852813291505</v>
      </c>
      <c r="Q80" s="571">
        <f t="shared" si="41"/>
        <v>0.56055918414117112</v>
      </c>
      <c r="R80" s="572">
        <f t="shared" si="42"/>
        <v>0</v>
      </c>
      <c r="S80" s="573">
        <f t="shared" si="43"/>
        <v>4.6002315723551138E-2</v>
      </c>
      <c r="T80" s="602">
        <v>1.1000000000000001</v>
      </c>
      <c r="U80" s="557">
        <f t="shared" si="44"/>
        <v>3.0000000000000009</v>
      </c>
      <c r="V80" s="575">
        <f t="shared" si="45"/>
        <v>1</v>
      </c>
      <c r="W80" s="594">
        <v>0.41299999999999998</v>
      </c>
      <c r="X80" s="595">
        <f t="shared" si="18"/>
        <v>3668.6789999999996</v>
      </c>
      <c r="Y80" s="576">
        <v>5.1999999999999998E-2</v>
      </c>
      <c r="Z80" s="596">
        <f t="shared" si="19"/>
        <v>2163.2939999999999</v>
      </c>
      <c r="AA80" s="2329" t="s">
        <v>1330</v>
      </c>
      <c r="AB80" s="597">
        <f t="shared" si="25"/>
        <v>2532.1168459921346</v>
      </c>
      <c r="AC80" s="597" t="str">
        <f t="shared" si="26"/>
        <v/>
      </c>
      <c r="AD80" s="597">
        <f t="shared" si="27"/>
        <v>318.81374332104355</v>
      </c>
      <c r="AE80" s="598">
        <f t="shared" si="20"/>
        <v>2532.1168459921346</v>
      </c>
      <c r="AF80" s="572">
        <f t="shared" si="21"/>
        <v>287.96268799999996</v>
      </c>
      <c r="AG80" s="599">
        <f t="shared" si="22"/>
        <v>0</v>
      </c>
      <c r="AH80" s="600">
        <f t="shared" si="23"/>
        <v>0</v>
      </c>
    </row>
    <row r="81" spans="1:35" ht="14.4" x14ac:dyDescent="0.3">
      <c r="A81" s="560" t="s">
        <v>568</v>
      </c>
      <c r="B81" s="557" t="str">
        <f t="shared" si="24"/>
        <v>1990s</v>
      </c>
      <c r="C81" s="561">
        <v>1995</v>
      </c>
      <c r="D81" s="562">
        <f t="shared" si="31"/>
        <v>1991</v>
      </c>
      <c r="E81" s="563">
        <f t="shared" si="32"/>
        <v>1993</v>
      </c>
      <c r="F81" s="586">
        <f t="shared" si="33"/>
        <v>9913</v>
      </c>
      <c r="G81" s="587">
        <f t="shared" si="34"/>
        <v>8883</v>
      </c>
      <c r="H81" s="587">
        <f t="shared" si="35"/>
        <v>8882</v>
      </c>
      <c r="I81" s="2122">
        <f t="shared" si="36"/>
        <v>5537.7439999999997</v>
      </c>
      <c r="J81" s="2126">
        <f t="shared" si="37"/>
        <v>0.69019852813291505</v>
      </c>
      <c r="K81" s="590">
        <f t="shared" si="38"/>
        <v>5238</v>
      </c>
      <c r="L81" s="591">
        <f t="shared" si="46"/>
        <v>6131.033525404684</v>
      </c>
      <c r="M81" s="607"/>
      <c r="N81" s="591"/>
      <c r="O81" s="569">
        <f t="shared" si="39"/>
        <v>5.6287290329843525E-4</v>
      </c>
      <c r="P81" s="592">
        <f t="shared" si="40"/>
        <v>0.69019852813291505</v>
      </c>
      <c r="Q81" s="571">
        <f t="shared" si="41"/>
        <v>0.56055918414117112</v>
      </c>
      <c r="R81" s="572">
        <f t="shared" si="42"/>
        <v>0</v>
      </c>
      <c r="S81" s="573">
        <f t="shared" si="43"/>
        <v>4.6002315723551138E-2</v>
      </c>
      <c r="T81" s="574">
        <v>1.2</v>
      </c>
      <c r="U81" s="557">
        <f t="shared" si="44"/>
        <v>3.9999999999999996</v>
      </c>
      <c r="V81" s="575">
        <f t="shared" si="45"/>
        <v>1</v>
      </c>
      <c r="W81" s="594">
        <v>0.51400000000000001</v>
      </c>
      <c r="X81" s="595">
        <f t="shared" si="18"/>
        <v>4565.8620000000001</v>
      </c>
      <c r="Y81" s="576">
        <v>0.82499999999999996</v>
      </c>
      <c r="Z81" s="596">
        <f t="shared" si="19"/>
        <v>2692.3319999999999</v>
      </c>
      <c r="AA81" s="2329" t="s">
        <v>1330</v>
      </c>
      <c r="AB81" s="597">
        <f t="shared" si="25"/>
        <v>3151.3512320580076</v>
      </c>
      <c r="AC81" s="597" t="str">
        <f t="shared" si="26"/>
        <v/>
      </c>
      <c r="AD81" s="597">
        <f t="shared" si="27"/>
        <v>5058.1026584588644</v>
      </c>
      <c r="AE81" s="598">
        <f t="shared" si="20"/>
        <v>3151.3512320580076</v>
      </c>
      <c r="AF81" s="572">
        <f t="shared" si="21"/>
        <v>4568.6387999999997</v>
      </c>
      <c r="AG81" s="572">
        <f t="shared" si="22"/>
        <v>0</v>
      </c>
      <c r="AH81" s="600">
        <f t="shared" si="23"/>
        <v>0</v>
      </c>
    </row>
    <row r="82" spans="1:35" ht="14.4" x14ac:dyDescent="0.3">
      <c r="A82" s="560" t="s">
        <v>568</v>
      </c>
      <c r="B82" s="557" t="str">
        <f t="shared" si="24"/>
        <v>1990s</v>
      </c>
      <c r="C82" s="561">
        <v>1995</v>
      </c>
      <c r="D82" s="562">
        <f t="shared" si="31"/>
        <v>1990</v>
      </c>
      <c r="E82" s="563">
        <f t="shared" si="32"/>
        <v>1992</v>
      </c>
      <c r="F82" s="586">
        <f t="shared" si="33"/>
        <v>9913</v>
      </c>
      <c r="G82" s="587">
        <f t="shared" si="34"/>
        <v>8883</v>
      </c>
      <c r="H82" s="587">
        <f t="shared" si="35"/>
        <v>8882</v>
      </c>
      <c r="I82" s="2122">
        <f t="shared" si="36"/>
        <v>5537.7439999999997</v>
      </c>
      <c r="J82" s="2126">
        <f t="shared" si="37"/>
        <v>0.69019852813291505</v>
      </c>
      <c r="K82" s="590">
        <f t="shared" si="38"/>
        <v>5238</v>
      </c>
      <c r="L82" s="591">
        <f t="shared" si="46"/>
        <v>6131.033525404684</v>
      </c>
      <c r="M82" s="607"/>
      <c r="N82" s="591"/>
      <c r="O82" s="569">
        <f t="shared" si="39"/>
        <v>5.6287290329843525E-4</v>
      </c>
      <c r="P82" s="592">
        <f t="shared" si="40"/>
        <v>0.69019852813291505</v>
      </c>
      <c r="Q82" s="571">
        <f t="shared" si="41"/>
        <v>0.56055918414117112</v>
      </c>
      <c r="R82" s="572">
        <f t="shared" si="42"/>
        <v>0</v>
      </c>
      <c r="S82" s="573">
        <f t="shared" si="43"/>
        <v>4.6002315723551138E-2</v>
      </c>
      <c r="T82" s="574">
        <v>1.3</v>
      </c>
      <c r="U82" s="557">
        <f t="shared" si="44"/>
        <v>5</v>
      </c>
      <c r="V82" s="575">
        <f t="shared" si="45"/>
        <v>1</v>
      </c>
      <c r="W82" s="594">
        <v>1.2999999999999999E-2</v>
      </c>
      <c r="X82" s="595">
        <f t="shared" si="18"/>
        <v>115.479</v>
      </c>
      <c r="Y82" s="576">
        <v>8.3000000000000004E-2</v>
      </c>
      <c r="Z82" s="596">
        <f t="shared" si="19"/>
        <v>68.093999999999994</v>
      </c>
      <c r="AA82" s="2329" t="s">
        <v>1330</v>
      </c>
      <c r="AB82" s="597">
        <f t="shared" si="25"/>
        <v>79.703435830260887</v>
      </c>
      <c r="AC82" s="597" t="str">
        <f t="shared" si="26"/>
        <v/>
      </c>
      <c r="AD82" s="597">
        <f t="shared" si="27"/>
        <v>508.87578260858879</v>
      </c>
      <c r="AE82" s="598">
        <f t="shared" si="20"/>
        <v>79.703435830260887</v>
      </c>
      <c r="AF82" s="572">
        <f t="shared" si="21"/>
        <v>459.63275199999998</v>
      </c>
      <c r="AG82" s="572">
        <f t="shared" si="22"/>
        <v>0</v>
      </c>
      <c r="AH82" s="600">
        <f t="shared" si="23"/>
        <v>0</v>
      </c>
    </row>
    <row r="83" spans="1:35" ht="14.4" x14ac:dyDescent="0.3">
      <c r="A83" s="560" t="s">
        <v>568</v>
      </c>
      <c r="B83" s="557" t="str">
        <f t="shared" si="24"/>
        <v>1990s</v>
      </c>
      <c r="C83" s="561">
        <v>1995</v>
      </c>
      <c r="D83" s="562">
        <f t="shared" si="31"/>
        <v>1991</v>
      </c>
      <c r="E83" s="563">
        <f t="shared" si="32"/>
        <v>1994</v>
      </c>
      <c r="F83" s="586">
        <f t="shared" si="33"/>
        <v>9913</v>
      </c>
      <c r="G83" s="587">
        <f t="shared" si="34"/>
        <v>8883</v>
      </c>
      <c r="H83" s="587">
        <f t="shared" si="35"/>
        <v>8882</v>
      </c>
      <c r="I83" s="2122">
        <f t="shared" si="36"/>
        <v>5537.7439999999997</v>
      </c>
      <c r="J83" s="2126">
        <f t="shared" si="37"/>
        <v>0.69019852813291505</v>
      </c>
      <c r="K83" s="590">
        <f t="shared" si="38"/>
        <v>5238</v>
      </c>
      <c r="L83" s="591">
        <f t="shared" si="46"/>
        <v>6131.033525404684</v>
      </c>
      <c r="M83" s="607"/>
      <c r="N83" s="591"/>
      <c r="O83" s="569">
        <f t="shared" si="39"/>
        <v>5.6287290329843525E-4</v>
      </c>
      <c r="P83" s="592">
        <f t="shared" si="40"/>
        <v>0.69019852813291505</v>
      </c>
      <c r="Q83" s="571">
        <f t="shared" si="41"/>
        <v>0.56055918414117112</v>
      </c>
      <c r="R83" s="572">
        <f t="shared" si="42"/>
        <v>0</v>
      </c>
      <c r="S83" s="573">
        <f t="shared" si="43"/>
        <v>4.6002315723551138E-2</v>
      </c>
      <c r="T83" s="574">
        <v>2.1</v>
      </c>
      <c r="U83" s="557">
        <f t="shared" si="44"/>
        <v>4.0000000000000009</v>
      </c>
      <c r="V83" s="575">
        <f t="shared" si="45"/>
        <v>2</v>
      </c>
      <c r="W83" s="594">
        <v>5.8000000000000003E-2</v>
      </c>
      <c r="X83" s="595">
        <f t="shared" si="18"/>
        <v>515.21400000000006</v>
      </c>
      <c r="Y83" s="576">
        <v>2.3E-2</v>
      </c>
      <c r="Z83" s="596">
        <f t="shared" si="19"/>
        <v>303.80400000000003</v>
      </c>
      <c r="AA83" s="2329" t="s">
        <v>1330</v>
      </c>
      <c r="AB83" s="597">
        <f t="shared" si="25"/>
        <v>355.59994447347168</v>
      </c>
      <c r="AC83" s="597" t="str">
        <f t="shared" si="26"/>
        <v/>
      </c>
      <c r="AD83" s="597">
        <f t="shared" si="27"/>
        <v>141.01377108430773</v>
      </c>
      <c r="AE83" s="598">
        <f t="shared" si="20"/>
        <v>355.59994447347168</v>
      </c>
      <c r="AF83" s="572">
        <f t="shared" si="21"/>
        <v>127.368112</v>
      </c>
      <c r="AG83" s="572">
        <f t="shared" si="22"/>
        <v>0</v>
      </c>
      <c r="AH83" s="600">
        <f t="shared" si="23"/>
        <v>0</v>
      </c>
    </row>
    <row r="84" spans="1:35" ht="14.4" x14ac:dyDescent="0.3">
      <c r="A84" s="560" t="s">
        <v>568</v>
      </c>
      <c r="B84" s="557" t="str">
        <f t="shared" si="24"/>
        <v>1990s</v>
      </c>
      <c r="C84" s="561">
        <v>1995</v>
      </c>
      <c r="D84" s="562">
        <f t="shared" si="31"/>
        <v>1990</v>
      </c>
      <c r="E84" s="563">
        <f t="shared" si="32"/>
        <v>1993</v>
      </c>
      <c r="F84" s="586">
        <f t="shared" si="33"/>
        <v>9913</v>
      </c>
      <c r="G84" s="587">
        <f t="shared" si="34"/>
        <v>8883</v>
      </c>
      <c r="H84" s="587">
        <f t="shared" si="35"/>
        <v>8882</v>
      </c>
      <c r="I84" s="2122">
        <f t="shared" si="36"/>
        <v>5537.7439999999997</v>
      </c>
      <c r="J84" s="2126">
        <f t="shared" si="37"/>
        <v>0.69019852813291505</v>
      </c>
      <c r="K84" s="590">
        <f t="shared" si="38"/>
        <v>5238</v>
      </c>
      <c r="L84" s="591">
        <f t="shared" si="46"/>
        <v>6131.033525404684</v>
      </c>
      <c r="M84" s="607"/>
      <c r="N84" s="591"/>
      <c r="O84" s="569">
        <f t="shared" si="39"/>
        <v>5.6287290329843525E-4</v>
      </c>
      <c r="P84" s="592">
        <f t="shared" si="40"/>
        <v>0.69019852813291505</v>
      </c>
      <c r="Q84" s="571">
        <f t="shared" si="41"/>
        <v>0.56055918414117112</v>
      </c>
      <c r="R84" s="572">
        <f t="shared" si="42"/>
        <v>0</v>
      </c>
      <c r="S84" s="573">
        <f t="shared" si="43"/>
        <v>4.6002315723551138E-2</v>
      </c>
      <c r="T84" s="574">
        <v>2.2000000000000002</v>
      </c>
      <c r="U84" s="557">
        <f t="shared" si="44"/>
        <v>5.0000000000000018</v>
      </c>
      <c r="V84" s="575">
        <f t="shared" si="45"/>
        <v>2</v>
      </c>
      <c r="W84" s="594">
        <v>0</v>
      </c>
      <c r="X84" s="595">
        <f t="shared" si="18"/>
        <v>0</v>
      </c>
      <c r="Y84" s="576">
        <v>1.6E-2</v>
      </c>
      <c r="Z84" s="596">
        <f t="shared" si="19"/>
        <v>0</v>
      </c>
      <c r="AA84" s="2329" t="s">
        <v>1330</v>
      </c>
      <c r="AB84" s="597">
        <f t="shared" si="25"/>
        <v>0</v>
      </c>
      <c r="AC84" s="597" t="str">
        <f t="shared" si="26"/>
        <v/>
      </c>
      <c r="AD84" s="597">
        <f t="shared" si="27"/>
        <v>98.096536406474954</v>
      </c>
      <c r="AE84" s="598">
        <f t="shared" si="20"/>
        <v>0</v>
      </c>
      <c r="AF84" s="572">
        <f t="shared" si="21"/>
        <v>88.603904</v>
      </c>
      <c r="AG84" s="572">
        <f t="shared" si="22"/>
        <v>0</v>
      </c>
      <c r="AH84" s="600">
        <f t="shared" si="23"/>
        <v>0</v>
      </c>
    </row>
    <row r="85" spans="1:35" ht="14.4" x14ac:dyDescent="0.3">
      <c r="A85" s="560" t="s">
        <v>568</v>
      </c>
      <c r="B85" s="557" t="str">
        <f t="shared" si="24"/>
        <v>1990s</v>
      </c>
      <c r="C85" s="561">
        <v>1996</v>
      </c>
      <c r="D85" s="562">
        <f t="shared" si="31"/>
        <v>1993</v>
      </c>
      <c r="E85" s="563">
        <f t="shared" si="32"/>
        <v>1995</v>
      </c>
      <c r="F85" s="586">
        <f t="shared" si="33"/>
        <v>30942</v>
      </c>
      <c r="G85" s="587">
        <f t="shared" si="34"/>
        <v>31300</v>
      </c>
      <c r="H85" s="587">
        <f t="shared" si="35"/>
        <v>31275</v>
      </c>
      <c r="I85" s="2122">
        <f t="shared" si="36"/>
        <v>20037.531999999999</v>
      </c>
      <c r="J85" s="2126">
        <f t="shared" si="37"/>
        <v>0.67923837288135591</v>
      </c>
      <c r="K85" s="590">
        <f t="shared" si="38"/>
        <v>23160</v>
      </c>
      <c r="L85" s="591">
        <f t="shared" si="46"/>
        <v>21260.161071186441</v>
      </c>
      <c r="M85" s="606"/>
      <c r="N85" s="591"/>
      <c r="O85" s="569">
        <f t="shared" si="39"/>
        <v>9.5846645367412143E-5</v>
      </c>
      <c r="P85" s="592">
        <f t="shared" si="40"/>
        <v>0.67923837288135591</v>
      </c>
      <c r="Q85" s="571">
        <f t="shared" si="41"/>
        <v>0.66364468864468862</v>
      </c>
      <c r="R85" s="572">
        <f t="shared" si="42"/>
        <v>0</v>
      </c>
      <c r="S85" s="573">
        <f t="shared" si="43"/>
        <v>1.1446842525979217E-2</v>
      </c>
      <c r="T85" s="574">
        <v>1.1000000000000001</v>
      </c>
      <c r="U85" s="557">
        <f t="shared" si="44"/>
        <v>3.0000000000000009</v>
      </c>
      <c r="V85" s="575">
        <f t="shared" si="45"/>
        <v>1</v>
      </c>
      <c r="W85" s="594">
        <v>7.5999999999999998E-2</v>
      </c>
      <c r="X85" s="595">
        <f t="shared" si="18"/>
        <v>2378.7999999999997</v>
      </c>
      <c r="Y85" s="576">
        <v>5.1999999999999998E-2</v>
      </c>
      <c r="Z85" s="596">
        <f t="shared" si="19"/>
        <v>1760.1599999999999</v>
      </c>
      <c r="AA85" s="2329" t="s">
        <v>1330</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582</v>
      </c>
    </row>
    <row r="86" spans="1:35" ht="14.4" x14ac:dyDescent="0.3">
      <c r="A86" s="560" t="s">
        <v>568</v>
      </c>
      <c r="B86" s="557" t="str">
        <f t="shared" si="24"/>
        <v>1990s</v>
      </c>
      <c r="C86" s="561">
        <v>1996</v>
      </c>
      <c r="D86" s="562">
        <f t="shared" si="31"/>
        <v>1992</v>
      </c>
      <c r="E86" s="563">
        <f t="shared" si="32"/>
        <v>1994</v>
      </c>
      <c r="F86" s="586">
        <f t="shared" si="33"/>
        <v>30942</v>
      </c>
      <c r="G86" s="587">
        <f t="shared" si="34"/>
        <v>31300</v>
      </c>
      <c r="H86" s="587">
        <f t="shared" si="35"/>
        <v>31275</v>
      </c>
      <c r="I86" s="2122">
        <f t="shared" si="36"/>
        <v>20037.531999999999</v>
      </c>
      <c r="J86" s="2126">
        <f t="shared" si="37"/>
        <v>0.67923837288135591</v>
      </c>
      <c r="K86" s="590">
        <f t="shared" si="38"/>
        <v>23160</v>
      </c>
      <c r="L86" s="591">
        <f t="shared" si="46"/>
        <v>21260.161071186441</v>
      </c>
      <c r="M86" s="607"/>
      <c r="N86" s="591"/>
      <c r="O86" s="569">
        <f t="shared" si="39"/>
        <v>9.5846645367412143E-5</v>
      </c>
      <c r="P86" s="592">
        <f t="shared" si="40"/>
        <v>0.67923837288135591</v>
      </c>
      <c r="Q86" s="571">
        <f t="shared" si="41"/>
        <v>0.66364468864468862</v>
      </c>
      <c r="R86" s="572">
        <f t="shared" si="42"/>
        <v>0</v>
      </c>
      <c r="S86" s="573">
        <f t="shared" si="43"/>
        <v>1.1446842525979217E-2</v>
      </c>
      <c r="T86" s="574">
        <v>1.2</v>
      </c>
      <c r="U86" s="557">
        <f t="shared" si="44"/>
        <v>3.9999999999999996</v>
      </c>
      <c r="V86" s="575">
        <f t="shared" si="45"/>
        <v>1</v>
      </c>
      <c r="W86" s="594">
        <v>0.85899999999999999</v>
      </c>
      <c r="X86" s="595">
        <f t="shared" si="18"/>
        <v>26886.7</v>
      </c>
      <c r="Y86" s="576">
        <v>0.82499999999999996</v>
      </c>
      <c r="Z86" s="596">
        <f t="shared" si="19"/>
        <v>19894.439999999999</v>
      </c>
      <c r="AA86" s="2329" t="s">
        <v>1330</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582</v>
      </c>
    </row>
    <row r="87" spans="1:35" ht="14.4" x14ac:dyDescent="0.3">
      <c r="A87" s="560" t="s">
        <v>568</v>
      </c>
      <c r="B87" s="557" t="str">
        <f t="shared" si="24"/>
        <v>1990s</v>
      </c>
      <c r="C87" s="561">
        <v>1996</v>
      </c>
      <c r="D87" s="562">
        <f t="shared" si="31"/>
        <v>1991</v>
      </c>
      <c r="E87" s="563">
        <f t="shared" si="32"/>
        <v>1993</v>
      </c>
      <c r="F87" s="586">
        <f t="shared" si="33"/>
        <v>30942</v>
      </c>
      <c r="G87" s="587">
        <f t="shared" si="34"/>
        <v>31300</v>
      </c>
      <c r="H87" s="587">
        <f t="shared" si="35"/>
        <v>31275</v>
      </c>
      <c r="I87" s="2122">
        <f t="shared" si="36"/>
        <v>20037.531999999999</v>
      </c>
      <c r="J87" s="2126">
        <f t="shared" si="37"/>
        <v>0.67923837288135591</v>
      </c>
      <c r="K87" s="590">
        <f t="shared" si="38"/>
        <v>23160</v>
      </c>
      <c r="L87" s="591">
        <f t="shared" si="46"/>
        <v>21260.161071186441</v>
      </c>
      <c r="M87" s="607"/>
      <c r="N87" s="591"/>
      <c r="O87" s="569">
        <f t="shared" si="39"/>
        <v>9.5846645367412143E-5</v>
      </c>
      <c r="P87" s="592">
        <f t="shared" si="40"/>
        <v>0.67923837288135591</v>
      </c>
      <c r="Q87" s="571">
        <f t="shared" si="41"/>
        <v>0.66364468864468862</v>
      </c>
      <c r="R87" s="572">
        <f t="shared" si="42"/>
        <v>0</v>
      </c>
      <c r="S87" s="573">
        <f t="shared" si="43"/>
        <v>1.1446842525979217E-2</v>
      </c>
      <c r="T87" s="574">
        <v>1.3</v>
      </c>
      <c r="U87" s="557">
        <f t="shared" si="44"/>
        <v>5</v>
      </c>
      <c r="V87" s="575">
        <f t="shared" si="45"/>
        <v>1</v>
      </c>
      <c r="W87" s="594">
        <v>3.7999999999999999E-2</v>
      </c>
      <c r="X87" s="595">
        <f t="shared" si="18"/>
        <v>1189.3999999999999</v>
      </c>
      <c r="Y87" s="576">
        <v>8.3000000000000004E-2</v>
      </c>
      <c r="Z87" s="596">
        <f t="shared" si="19"/>
        <v>880.07999999999993</v>
      </c>
      <c r="AA87" s="2329" t="s">
        <v>1330</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582</v>
      </c>
    </row>
    <row r="88" spans="1:35" ht="14.4" x14ac:dyDescent="0.3">
      <c r="A88" s="560" t="s">
        <v>568</v>
      </c>
      <c r="B88" s="557" t="str">
        <f t="shared" si="24"/>
        <v>1990s</v>
      </c>
      <c r="C88" s="561">
        <v>1996</v>
      </c>
      <c r="D88" s="562">
        <f t="shared" si="31"/>
        <v>1992</v>
      </c>
      <c r="E88" s="563">
        <f t="shared" si="32"/>
        <v>1995</v>
      </c>
      <c r="F88" s="586">
        <f t="shared" si="33"/>
        <v>30942</v>
      </c>
      <c r="G88" s="587">
        <f t="shared" si="34"/>
        <v>31300</v>
      </c>
      <c r="H88" s="587">
        <f t="shared" si="35"/>
        <v>31275</v>
      </c>
      <c r="I88" s="2122">
        <f t="shared" si="36"/>
        <v>20037.531999999999</v>
      </c>
      <c r="J88" s="2126">
        <f t="shared" si="37"/>
        <v>0.67923837288135591</v>
      </c>
      <c r="K88" s="590">
        <f t="shared" si="38"/>
        <v>23160</v>
      </c>
      <c r="L88" s="591">
        <f t="shared" si="46"/>
        <v>21260.161071186441</v>
      </c>
      <c r="M88" s="607"/>
      <c r="N88" s="591"/>
      <c r="O88" s="569">
        <f t="shared" si="39"/>
        <v>9.5846645367412143E-5</v>
      </c>
      <c r="P88" s="592">
        <f t="shared" si="40"/>
        <v>0.67923837288135591</v>
      </c>
      <c r="Q88" s="571">
        <f t="shared" si="41"/>
        <v>0.66364468864468862</v>
      </c>
      <c r="R88" s="572">
        <f t="shared" si="42"/>
        <v>0</v>
      </c>
      <c r="S88" s="573">
        <f t="shared" si="43"/>
        <v>1.1446842525979217E-2</v>
      </c>
      <c r="T88" s="574">
        <v>2.1</v>
      </c>
      <c r="U88" s="557">
        <f t="shared" si="44"/>
        <v>4.0000000000000009</v>
      </c>
      <c r="V88" s="575">
        <f t="shared" si="45"/>
        <v>2</v>
      </c>
      <c r="W88" s="594">
        <v>0</v>
      </c>
      <c r="X88" s="595">
        <f t="shared" si="18"/>
        <v>0</v>
      </c>
      <c r="Y88" s="576">
        <v>2.3E-2</v>
      </c>
      <c r="Z88" s="596">
        <f t="shared" si="19"/>
        <v>0</v>
      </c>
      <c r="AA88" s="2329" t="s">
        <v>1330</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582</v>
      </c>
    </row>
    <row r="89" spans="1:35" ht="14.4" x14ac:dyDescent="0.3">
      <c r="A89" s="560" t="s">
        <v>568</v>
      </c>
      <c r="B89" s="557" t="str">
        <f t="shared" si="24"/>
        <v>1990s</v>
      </c>
      <c r="C89" s="561">
        <v>1996</v>
      </c>
      <c r="D89" s="562">
        <f t="shared" si="31"/>
        <v>1991</v>
      </c>
      <c r="E89" s="563">
        <f t="shared" si="32"/>
        <v>1994</v>
      </c>
      <c r="F89" s="586">
        <f t="shared" si="33"/>
        <v>30942</v>
      </c>
      <c r="G89" s="587">
        <f t="shared" si="34"/>
        <v>31300</v>
      </c>
      <c r="H89" s="587">
        <f t="shared" si="35"/>
        <v>31275</v>
      </c>
      <c r="I89" s="2122">
        <f t="shared" si="36"/>
        <v>20037.531999999999</v>
      </c>
      <c r="J89" s="2126">
        <f t="shared" si="37"/>
        <v>0.67923837288135591</v>
      </c>
      <c r="K89" s="590">
        <f t="shared" si="38"/>
        <v>23160</v>
      </c>
      <c r="L89" s="591">
        <f t="shared" si="46"/>
        <v>21260.161071186441</v>
      </c>
      <c r="M89" s="607"/>
      <c r="N89" s="591"/>
      <c r="O89" s="569">
        <f t="shared" si="39"/>
        <v>9.5846645367412143E-5</v>
      </c>
      <c r="P89" s="592">
        <f t="shared" si="40"/>
        <v>0.67923837288135591</v>
      </c>
      <c r="Q89" s="571">
        <f t="shared" si="41"/>
        <v>0.66364468864468862</v>
      </c>
      <c r="R89" s="572">
        <f t="shared" si="42"/>
        <v>0</v>
      </c>
      <c r="S89" s="573">
        <f t="shared" si="43"/>
        <v>1.1446842525979217E-2</v>
      </c>
      <c r="T89" s="574">
        <v>2.2000000000000002</v>
      </c>
      <c r="U89" s="557">
        <f t="shared" si="44"/>
        <v>5.0000000000000018</v>
      </c>
      <c r="V89" s="575">
        <f t="shared" si="45"/>
        <v>2</v>
      </c>
      <c r="W89" s="594">
        <v>2.7E-2</v>
      </c>
      <c r="X89" s="595">
        <f t="shared" si="18"/>
        <v>845.1</v>
      </c>
      <c r="Y89" s="576">
        <v>1.6E-2</v>
      </c>
      <c r="Z89" s="596">
        <f t="shared" si="19"/>
        <v>625.31999999999994</v>
      </c>
      <c r="AA89" s="2329" t="s">
        <v>1330</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582</v>
      </c>
    </row>
    <row r="90" spans="1:35" ht="14.4" x14ac:dyDescent="0.3">
      <c r="A90" s="560" t="s">
        <v>568</v>
      </c>
      <c r="B90" s="557" t="str">
        <f t="shared" si="24"/>
        <v>1990s</v>
      </c>
      <c r="C90" s="561">
        <v>1997</v>
      </c>
      <c r="D90" s="562">
        <f t="shared" si="31"/>
        <v>1994</v>
      </c>
      <c r="E90" s="563">
        <f t="shared" si="32"/>
        <v>1996</v>
      </c>
      <c r="F90" s="586">
        <f t="shared" si="33"/>
        <v>49979</v>
      </c>
      <c r="G90" s="587">
        <f t="shared" si="34"/>
        <v>48793</v>
      </c>
      <c r="H90" s="587">
        <f t="shared" si="35"/>
        <v>48781</v>
      </c>
      <c r="I90" s="2122">
        <f t="shared" si="36"/>
        <v>27870.971999999998</v>
      </c>
      <c r="J90" s="2126">
        <f t="shared" si="37"/>
        <v>0.6715249614494988</v>
      </c>
      <c r="K90" s="590">
        <f t="shared" si="38"/>
        <v>36095</v>
      </c>
      <c r="L90" s="591">
        <f t="shared" si="46"/>
        <v>32765.717444005397</v>
      </c>
      <c r="M90" s="606"/>
      <c r="N90" s="591"/>
      <c r="O90" s="569">
        <f t="shared" si="39"/>
        <v>3.2791588957432416E-4</v>
      </c>
      <c r="P90" s="592">
        <f t="shared" si="40"/>
        <v>0.6715249614494988</v>
      </c>
      <c r="Q90" s="571">
        <f t="shared" si="41"/>
        <v>0.79711850224871872</v>
      </c>
      <c r="R90" s="572">
        <f t="shared" si="42"/>
        <v>0</v>
      </c>
      <c r="S90" s="573">
        <f t="shared" si="43"/>
        <v>0.10690637748303643</v>
      </c>
      <c r="T90" s="602">
        <v>1.1000000000000001</v>
      </c>
      <c r="U90" s="557">
        <f t="shared" si="44"/>
        <v>3.0000000000000009</v>
      </c>
      <c r="V90" s="575">
        <f t="shared" si="45"/>
        <v>1</v>
      </c>
      <c r="W90" s="594">
        <v>0</v>
      </c>
      <c r="X90" s="595">
        <f t="shared" si="18"/>
        <v>0</v>
      </c>
      <c r="Y90" s="576">
        <v>5.1999999999999998E-2</v>
      </c>
      <c r="Z90" s="596">
        <f t="shared" si="19"/>
        <v>0</v>
      </c>
      <c r="AA90" s="2329" t="s">
        <v>1330</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568</v>
      </c>
      <c r="B91" s="557" t="str">
        <f t="shared" si="24"/>
        <v>1990s</v>
      </c>
      <c r="C91" s="561">
        <v>1997</v>
      </c>
      <c r="D91" s="562">
        <f t="shared" si="31"/>
        <v>1993</v>
      </c>
      <c r="E91" s="563">
        <f t="shared" si="32"/>
        <v>1995</v>
      </c>
      <c r="F91" s="586">
        <f t="shared" si="33"/>
        <v>49979</v>
      </c>
      <c r="G91" s="587">
        <f t="shared" si="34"/>
        <v>48793</v>
      </c>
      <c r="H91" s="587">
        <f t="shared" si="35"/>
        <v>48781</v>
      </c>
      <c r="I91" s="2122">
        <f t="shared" si="36"/>
        <v>27870.971999999998</v>
      </c>
      <c r="J91" s="2126">
        <f t="shared" si="37"/>
        <v>0.6715249614494988</v>
      </c>
      <c r="K91" s="590">
        <f t="shared" si="38"/>
        <v>36095</v>
      </c>
      <c r="L91" s="591">
        <f t="shared" si="46"/>
        <v>32765.717444005397</v>
      </c>
      <c r="M91" s="607"/>
      <c r="N91" s="591"/>
      <c r="O91" s="569">
        <f t="shared" si="39"/>
        <v>3.2791588957432416E-4</v>
      </c>
      <c r="P91" s="592">
        <f t="shared" si="40"/>
        <v>0.6715249614494988</v>
      </c>
      <c r="Q91" s="571">
        <f t="shared" si="41"/>
        <v>0.79711850224871872</v>
      </c>
      <c r="R91" s="572">
        <f t="shared" si="42"/>
        <v>0</v>
      </c>
      <c r="S91" s="573">
        <f t="shared" si="43"/>
        <v>0.10690637748303643</v>
      </c>
      <c r="T91" s="574">
        <v>1.2</v>
      </c>
      <c r="U91" s="557">
        <f t="shared" si="44"/>
        <v>3.9999999999999996</v>
      </c>
      <c r="V91" s="575">
        <f t="shared" si="45"/>
        <v>1</v>
      </c>
      <c r="W91" s="594">
        <v>0.95699999999999996</v>
      </c>
      <c r="X91" s="595">
        <f t="shared" ref="X91:X154" si="47">W91*G91</f>
        <v>46694.900999999998</v>
      </c>
      <c r="Y91" s="576">
        <v>0.82499999999999996</v>
      </c>
      <c r="Z91" s="596">
        <f t="shared" ref="Z91:Z109" si="48">K91*W91</f>
        <v>34542.915000000001</v>
      </c>
      <c r="AA91" s="2329" t="s">
        <v>1330</v>
      </c>
      <c r="AB91" s="597">
        <f t="shared" si="25"/>
        <v>31356.791593913164</v>
      </c>
      <c r="AC91" s="597" t="str">
        <f t="shared" si="26"/>
        <v/>
      </c>
      <c r="AD91" s="597">
        <f t="shared" si="27"/>
        <v>27031.716891304452</v>
      </c>
      <c r="AE91" s="598">
        <f t="shared" ref="AE91:AE108" si="49">L91*W91</f>
        <v>31356.791593913164</v>
      </c>
      <c r="AF91" s="572">
        <f t="shared" ref="AF91:AF119" si="50">Y91*I91</f>
        <v>22993.551899999999</v>
      </c>
      <c r="AG91" s="572">
        <f t="shared" ref="AG91:AG119" si="51">Y91*R91</f>
        <v>0</v>
      </c>
      <c r="AH91" s="600">
        <f t="shared" ref="AH91:AH119" si="52">IF(X91=0,0,AG91/X91)</f>
        <v>0</v>
      </c>
    </row>
    <row r="92" spans="1:35" ht="14.4" x14ac:dyDescent="0.3">
      <c r="A92" s="560" t="s">
        <v>568</v>
      </c>
      <c r="B92" s="557" t="str">
        <f t="shared" ref="B92:B155" si="53">LEFT(E92,3)*10 &amp; "s"</f>
        <v>1990s</v>
      </c>
      <c r="C92" s="561">
        <v>1997</v>
      </c>
      <c r="D92" s="562">
        <f t="shared" si="31"/>
        <v>1992</v>
      </c>
      <c r="E92" s="563">
        <f t="shared" si="32"/>
        <v>1994</v>
      </c>
      <c r="F92" s="586">
        <f t="shared" si="33"/>
        <v>49979</v>
      </c>
      <c r="G92" s="587">
        <f t="shared" si="34"/>
        <v>48793</v>
      </c>
      <c r="H92" s="587">
        <f t="shared" si="35"/>
        <v>48781</v>
      </c>
      <c r="I92" s="2122">
        <f t="shared" si="36"/>
        <v>27870.971999999998</v>
      </c>
      <c r="J92" s="2126">
        <f t="shared" si="37"/>
        <v>0.6715249614494988</v>
      </c>
      <c r="K92" s="590">
        <f t="shared" si="38"/>
        <v>36095</v>
      </c>
      <c r="L92" s="591">
        <f t="shared" si="46"/>
        <v>32765.717444005397</v>
      </c>
      <c r="M92" s="607"/>
      <c r="N92" s="591"/>
      <c r="O92" s="569">
        <f t="shared" si="39"/>
        <v>3.2791588957432416E-4</v>
      </c>
      <c r="P92" s="592">
        <f t="shared" si="40"/>
        <v>0.6715249614494988</v>
      </c>
      <c r="Q92" s="571">
        <f t="shared" si="41"/>
        <v>0.79711850224871872</v>
      </c>
      <c r="R92" s="572">
        <f t="shared" si="42"/>
        <v>0</v>
      </c>
      <c r="S92" s="573">
        <f t="shared" si="43"/>
        <v>0.10690637748303643</v>
      </c>
      <c r="T92" s="574">
        <v>1.3</v>
      </c>
      <c r="U92" s="557">
        <f t="shared" si="44"/>
        <v>5</v>
      </c>
      <c r="V92" s="575">
        <f t="shared" si="45"/>
        <v>1</v>
      </c>
      <c r="W92" s="594">
        <v>3.4000000000000002E-2</v>
      </c>
      <c r="X92" s="595">
        <f t="shared" si="47"/>
        <v>1658.9620000000002</v>
      </c>
      <c r="Y92" s="576">
        <v>8.3000000000000004E-2</v>
      </c>
      <c r="Z92" s="596">
        <f t="shared" si="48"/>
        <v>1227.23</v>
      </c>
      <c r="AA92" s="2329" t="s">
        <v>1330</v>
      </c>
      <c r="AB92" s="597">
        <f t="shared" ref="AB92:AB155" si="54">L92*W92</f>
        <v>1114.0343930961835</v>
      </c>
      <c r="AC92" s="597" t="str">
        <f t="shared" ref="AC92:AC155" si="55">IF(N92,N92*W92,"")</f>
        <v/>
      </c>
      <c r="AD92" s="597">
        <f t="shared" ref="AD92:AD154" si="56">IF(Y92,L92*Y92,"")</f>
        <v>2719.5545478524482</v>
      </c>
      <c r="AE92" s="598">
        <f t="shared" si="49"/>
        <v>1114.0343930961835</v>
      </c>
      <c r="AF92" s="572">
        <f t="shared" si="50"/>
        <v>2313.2906760000001</v>
      </c>
      <c r="AG92" s="572">
        <f t="shared" si="51"/>
        <v>0</v>
      </c>
      <c r="AH92" s="600">
        <f t="shared" si="52"/>
        <v>0</v>
      </c>
    </row>
    <row r="93" spans="1:35" ht="14.4" x14ac:dyDescent="0.3">
      <c r="A93" s="560" t="s">
        <v>568</v>
      </c>
      <c r="B93" s="557" t="str">
        <f t="shared" si="53"/>
        <v>1990s</v>
      </c>
      <c r="C93" s="561">
        <v>1997</v>
      </c>
      <c r="D93" s="562">
        <f t="shared" si="31"/>
        <v>1993</v>
      </c>
      <c r="E93" s="563">
        <f t="shared" si="32"/>
        <v>1996</v>
      </c>
      <c r="F93" s="586">
        <f t="shared" si="33"/>
        <v>49979</v>
      </c>
      <c r="G93" s="587">
        <f t="shared" si="34"/>
        <v>48793</v>
      </c>
      <c r="H93" s="587">
        <f t="shared" si="35"/>
        <v>48781</v>
      </c>
      <c r="I93" s="2122">
        <f t="shared" si="36"/>
        <v>27870.971999999998</v>
      </c>
      <c r="J93" s="2126">
        <f t="shared" si="37"/>
        <v>0.6715249614494988</v>
      </c>
      <c r="K93" s="590">
        <f t="shared" si="38"/>
        <v>36095</v>
      </c>
      <c r="L93" s="591">
        <f t="shared" si="46"/>
        <v>32765.717444005397</v>
      </c>
      <c r="M93" s="607"/>
      <c r="N93" s="591"/>
      <c r="O93" s="569">
        <f t="shared" si="39"/>
        <v>3.2791588957432416E-4</v>
      </c>
      <c r="P93" s="592">
        <f t="shared" si="40"/>
        <v>0.6715249614494988</v>
      </c>
      <c r="Q93" s="571">
        <f t="shared" si="41"/>
        <v>0.79711850224871872</v>
      </c>
      <c r="R93" s="572">
        <f t="shared" si="42"/>
        <v>0</v>
      </c>
      <c r="S93" s="573">
        <f t="shared" si="43"/>
        <v>0.10690637748303643</v>
      </c>
      <c r="T93" s="574">
        <v>2.1</v>
      </c>
      <c r="U93" s="557">
        <f t="shared" si="44"/>
        <v>4.0000000000000009</v>
      </c>
      <c r="V93" s="575">
        <f t="shared" si="45"/>
        <v>2</v>
      </c>
      <c r="W93" s="594">
        <v>8.9999999999999993E-3</v>
      </c>
      <c r="X93" s="595">
        <f t="shared" si="47"/>
        <v>439.13699999999994</v>
      </c>
      <c r="Y93" s="576">
        <v>2.3E-2</v>
      </c>
      <c r="Z93" s="596">
        <f t="shared" si="48"/>
        <v>324.85499999999996</v>
      </c>
      <c r="AA93" s="2329" t="s">
        <v>1330</v>
      </c>
      <c r="AB93" s="597">
        <f t="shared" si="54"/>
        <v>294.89145699604853</v>
      </c>
      <c r="AC93" s="597" t="str">
        <f t="shared" si="55"/>
        <v/>
      </c>
      <c r="AD93" s="597">
        <f t="shared" si="56"/>
        <v>753.61150121212415</v>
      </c>
      <c r="AE93" s="598">
        <f t="shared" si="49"/>
        <v>294.89145699604853</v>
      </c>
      <c r="AF93" s="572">
        <f t="shared" si="50"/>
        <v>641.03235599999994</v>
      </c>
      <c r="AG93" s="572">
        <f t="shared" si="51"/>
        <v>0</v>
      </c>
      <c r="AH93" s="600">
        <f t="shared" si="52"/>
        <v>0</v>
      </c>
    </row>
    <row r="94" spans="1:35" ht="14.4" x14ac:dyDescent="0.3">
      <c r="A94" s="560" t="s">
        <v>568</v>
      </c>
      <c r="B94" s="557" t="str">
        <f t="shared" si="53"/>
        <v>1990s</v>
      </c>
      <c r="C94" s="561">
        <v>1997</v>
      </c>
      <c r="D94" s="562">
        <f t="shared" si="31"/>
        <v>1992</v>
      </c>
      <c r="E94" s="563">
        <f t="shared" si="32"/>
        <v>1995</v>
      </c>
      <c r="F94" s="586">
        <f t="shared" si="33"/>
        <v>49979</v>
      </c>
      <c r="G94" s="587">
        <f t="shared" si="34"/>
        <v>48793</v>
      </c>
      <c r="H94" s="587">
        <f t="shared" si="35"/>
        <v>48781</v>
      </c>
      <c r="I94" s="2122">
        <f t="shared" si="36"/>
        <v>27870.971999999998</v>
      </c>
      <c r="J94" s="2126">
        <f t="shared" si="37"/>
        <v>0.6715249614494988</v>
      </c>
      <c r="K94" s="590">
        <f t="shared" si="38"/>
        <v>36095</v>
      </c>
      <c r="L94" s="591">
        <f t="shared" si="46"/>
        <v>32765.717444005397</v>
      </c>
      <c r="M94" s="607"/>
      <c r="N94" s="591"/>
      <c r="O94" s="569">
        <f t="shared" si="39"/>
        <v>3.2791588957432416E-4</v>
      </c>
      <c r="P94" s="592">
        <f t="shared" si="40"/>
        <v>0.6715249614494988</v>
      </c>
      <c r="Q94" s="571">
        <f t="shared" si="41"/>
        <v>0.79711850224871872</v>
      </c>
      <c r="R94" s="572">
        <f t="shared" si="42"/>
        <v>0</v>
      </c>
      <c r="S94" s="573">
        <f t="shared" si="43"/>
        <v>0.10690637748303643</v>
      </c>
      <c r="T94" s="574">
        <v>2.2000000000000002</v>
      </c>
      <c r="U94" s="557">
        <f t="shared" si="44"/>
        <v>5.0000000000000018</v>
      </c>
      <c r="V94" s="575">
        <f t="shared" si="45"/>
        <v>2</v>
      </c>
      <c r="W94" s="594">
        <v>0</v>
      </c>
      <c r="X94" s="595">
        <f t="shared" si="47"/>
        <v>0</v>
      </c>
      <c r="Y94" s="576">
        <v>1.6E-2</v>
      </c>
      <c r="Z94" s="596">
        <f t="shared" si="48"/>
        <v>0</v>
      </c>
      <c r="AA94" s="2329" t="s">
        <v>1330</v>
      </c>
      <c r="AB94" s="597">
        <f t="shared" si="54"/>
        <v>0</v>
      </c>
      <c r="AC94" s="597" t="str">
        <f t="shared" si="55"/>
        <v/>
      </c>
      <c r="AD94" s="597">
        <f t="shared" si="56"/>
        <v>524.25147910408634</v>
      </c>
      <c r="AE94" s="598">
        <f t="shared" si="49"/>
        <v>0</v>
      </c>
      <c r="AF94" s="572">
        <f t="shared" si="50"/>
        <v>445.93555199999997</v>
      </c>
      <c r="AG94" s="572">
        <f t="shared" si="51"/>
        <v>0</v>
      </c>
      <c r="AH94" s="600">
        <f t="shared" si="52"/>
        <v>0</v>
      </c>
    </row>
    <row r="95" spans="1:35" ht="14.4" x14ac:dyDescent="0.3">
      <c r="A95" s="560" t="s">
        <v>568</v>
      </c>
      <c r="B95" s="557" t="str">
        <f t="shared" si="53"/>
        <v>1990s</v>
      </c>
      <c r="C95" s="561">
        <v>1998</v>
      </c>
      <c r="D95" s="562">
        <f t="shared" si="31"/>
        <v>1995</v>
      </c>
      <c r="E95" s="563">
        <f t="shared" si="32"/>
        <v>1997</v>
      </c>
      <c r="F95" s="586">
        <f t="shared" si="33"/>
        <v>13220</v>
      </c>
      <c r="G95" s="587">
        <f t="shared" si="34"/>
        <v>13522</v>
      </c>
      <c r="H95" s="587">
        <f t="shared" si="35"/>
        <v>13520</v>
      </c>
      <c r="I95" s="2122">
        <f t="shared" si="36"/>
        <v>4666</v>
      </c>
      <c r="J95" s="2126">
        <f t="shared" si="37"/>
        <v>0.49989286479537176</v>
      </c>
      <c r="K95" s="590">
        <f t="shared" si="38"/>
        <v>7705</v>
      </c>
      <c r="L95" s="591">
        <f t="shared" si="46"/>
        <v>6759.5513177630173</v>
      </c>
      <c r="M95" s="606"/>
      <c r="N95" s="591"/>
      <c r="O95" s="569">
        <f t="shared" si="39"/>
        <v>2.9581422866439876E-4</v>
      </c>
      <c r="P95" s="592">
        <f t="shared" si="40"/>
        <v>0.49989286479537176</v>
      </c>
      <c r="Q95" s="571">
        <f t="shared" si="41"/>
        <v>0.5312979227659278</v>
      </c>
      <c r="R95" s="572">
        <f t="shared" si="42"/>
        <v>0</v>
      </c>
      <c r="S95" s="573">
        <f t="shared" si="43"/>
        <v>0.2778846153846154</v>
      </c>
      <c r="T95" s="574">
        <v>1.1000000000000001</v>
      </c>
      <c r="U95" s="557">
        <f t="shared" si="44"/>
        <v>3.0000000000000009</v>
      </c>
      <c r="V95" s="575">
        <f t="shared" si="45"/>
        <v>1</v>
      </c>
      <c r="W95" s="594">
        <v>5.2999999999999999E-2</v>
      </c>
      <c r="X95" s="595">
        <f t="shared" si="47"/>
        <v>716.66599999999994</v>
      </c>
      <c r="Y95" s="576">
        <v>5.1999999999999998E-2</v>
      </c>
      <c r="Z95" s="596">
        <f t="shared" si="48"/>
        <v>408.36500000000001</v>
      </c>
      <c r="AA95" s="2329" t="s">
        <v>1330</v>
      </c>
      <c r="AB95" s="597">
        <f t="shared" si="54"/>
        <v>358.25621984143993</v>
      </c>
      <c r="AC95" s="597" t="str">
        <f t="shared" si="55"/>
        <v/>
      </c>
      <c r="AD95" s="597">
        <f t="shared" si="56"/>
        <v>351.49666852367687</v>
      </c>
      <c r="AE95" s="598">
        <f t="shared" si="49"/>
        <v>358.25621984143993</v>
      </c>
      <c r="AF95" s="572">
        <f t="shared" si="50"/>
        <v>242.63199999999998</v>
      </c>
      <c r="AG95" s="599">
        <f t="shared" si="51"/>
        <v>0</v>
      </c>
      <c r="AH95" s="600">
        <f t="shared" si="52"/>
        <v>0</v>
      </c>
    </row>
    <row r="96" spans="1:35" ht="14.4" x14ac:dyDescent="0.3">
      <c r="A96" s="560" t="s">
        <v>568</v>
      </c>
      <c r="B96" s="557" t="str">
        <f t="shared" si="53"/>
        <v>1990s</v>
      </c>
      <c r="C96" s="561">
        <v>1998</v>
      </c>
      <c r="D96" s="562">
        <f t="shared" si="31"/>
        <v>1994</v>
      </c>
      <c r="E96" s="563">
        <f t="shared" si="32"/>
        <v>1996</v>
      </c>
      <c r="F96" s="586">
        <f t="shared" si="33"/>
        <v>13220</v>
      </c>
      <c r="G96" s="587">
        <f t="shared" si="34"/>
        <v>13522</v>
      </c>
      <c r="H96" s="587">
        <f t="shared" si="35"/>
        <v>13520</v>
      </c>
      <c r="I96" s="2122">
        <f t="shared" si="36"/>
        <v>4666</v>
      </c>
      <c r="J96" s="2126">
        <f t="shared" si="37"/>
        <v>0.49989286479537176</v>
      </c>
      <c r="K96" s="590">
        <f t="shared" si="38"/>
        <v>7705</v>
      </c>
      <c r="L96" s="591">
        <f t="shared" si="46"/>
        <v>6759.5513177630173</v>
      </c>
      <c r="M96" s="607"/>
      <c r="N96" s="591"/>
      <c r="O96" s="569">
        <f t="shared" si="39"/>
        <v>2.9581422866439876E-4</v>
      </c>
      <c r="P96" s="592">
        <f t="shared" si="40"/>
        <v>0.49989286479537176</v>
      </c>
      <c r="Q96" s="571">
        <f t="shared" si="41"/>
        <v>0.5312979227659278</v>
      </c>
      <c r="R96" s="572">
        <f t="shared" si="42"/>
        <v>0</v>
      </c>
      <c r="S96" s="573">
        <f t="shared" si="43"/>
        <v>0.2778846153846154</v>
      </c>
      <c r="T96" s="574">
        <v>1.2</v>
      </c>
      <c r="U96" s="557">
        <f t="shared" si="44"/>
        <v>3.9999999999999996</v>
      </c>
      <c r="V96" s="575">
        <f t="shared" si="45"/>
        <v>1</v>
      </c>
      <c r="W96" s="594">
        <v>0.78900000000000003</v>
      </c>
      <c r="X96" s="595">
        <f t="shared" si="47"/>
        <v>10668.858</v>
      </c>
      <c r="Y96" s="576">
        <v>0.82499999999999996</v>
      </c>
      <c r="Z96" s="596">
        <f t="shared" si="48"/>
        <v>6079.2449999999999</v>
      </c>
      <c r="AA96" s="2329" t="s">
        <v>1330</v>
      </c>
      <c r="AB96" s="597">
        <f t="shared" si="54"/>
        <v>5333.2859897150211</v>
      </c>
      <c r="AC96" s="597" t="str">
        <f t="shared" si="55"/>
        <v/>
      </c>
      <c r="AD96" s="597">
        <f t="shared" si="56"/>
        <v>5576.629837154489</v>
      </c>
      <c r="AE96" s="598">
        <f t="shared" si="49"/>
        <v>5333.2859897150211</v>
      </c>
      <c r="AF96" s="572">
        <f t="shared" si="50"/>
        <v>3849.45</v>
      </c>
      <c r="AG96" s="572">
        <f t="shared" si="51"/>
        <v>0</v>
      </c>
      <c r="AH96" s="600">
        <f t="shared" si="52"/>
        <v>0</v>
      </c>
    </row>
    <row r="97" spans="1:35" ht="14.4" x14ac:dyDescent="0.3">
      <c r="A97" s="560" t="s">
        <v>568</v>
      </c>
      <c r="B97" s="557" t="str">
        <f t="shared" si="53"/>
        <v>1990s</v>
      </c>
      <c r="C97" s="561">
        <v>1998</v>
      </c>
      <c r="D97" s="562">
        <f t="shared" si="31"/>
        <v>1993</v>
      </c>
      <c r="E97" s="563">
        <f t="shared" si="32"/>
        <v>1995</v>
      </c>
      <c r="F97" s="586">
        <f t="shared" si="33"/>
        <v>13220</v>
      </c>
      <c r="G97" s="587">
        <f t="shared" si="34"/>
        <v>13522</v>
      </c>
      <c r="H97" s="587">
        <f t="shared" si="35"/>
        <v>13520</v>
      </c>
      <c r="I97" s="2122">
        <f t="shared" si="36"/>
        <v>4666</v>
      </c>
      <c r="J97" s="2126">
        <f t="shared" si="37"/>
        <v>0.49989286479537176</v>
      </c>
      <c r="K97" s="590">
        <f t="shared" si="38"/>
        <v>7705</v>
      </c>
      <c r="L97" s="591">
        <f t="shared" si="46"/>
        <v>6759.5513177630173</v>
      </c>
      <c r="M97" s="607"/>
      <c r="N97" s="591"/>
      <c r="O97" s="569">
        <f t="shared" si="39"/>
        <v>2.9581422866439876E-4</v>
      </c>
      <c r="P97" s="592">
        <f t="shared" si="40"/>
        <v>0.49989286479537176</v>
      </c>
      <c r="Q97" s="571">
        <f t="shared" si="41"/>
        <v>0.5312979227659278</v>
      </c>
      <c r="R97" s="572">
        <f t="shared" si="42"/>
        <v>0</v>
      </c>
      <c r="S97" s="573">
        <f t="shared" si="43"/>
        <v>0.2778846153846154</v>
      </c>
      <c r="T97" s="574">
        <v>1.3</v>
      </c>
      <c r="U97" s="557">
        <f t="shared" si="44"/>
        <v>5</v>
      </c>
      <c r="V97" s="575">
        <f t="shared" si="45"/>
        <v>1</v>
      </c>
      <c r="W97" s="594">
        <v>0.158</v>
      </c>
      <c r="X97" s="595">
        <f t="shared" si="47"/>
        <v>2136.4760000000001</v>
      </c>
      <c r="Y97" s="576">
        <v>8.3000000000000004E-2</v>
      </c>
      <c r="Z97" s="596">
        <f t="shared" si="48"/>
        <v>1217.3900000000001</v>
      </c>
      <c r="AA97" s="2329" t="s">
        <v>1330</v>
      </c>
      <c r="AB97" s="597">
        <f t="shared" si="54"/>
        <v>1068.0091082065567</v>
      </c>
      <c r="AC97" s="597" t="str">
        <f t="shared" si="55"/>
        <v/>
      </c>
      <c r="AD97" s="597">
        <f t="shared" si="56"/>
        <v>561.04275937433044</v>
      </c>
      <c r="AE97" s="598">
        <f t="shared" si="49"/>
        <v>1068.0091082065567</v>
      </c>
      <c r="AF97" s="572">
        <f t="shared" si="50"/>
        <v>387.27800000000002</v>
      </c>
      <c r="AG97" s="572">
        <f t="shared" si="51"/>
        <v>0</v>
      </c>
      <c r="AH97" s="600">
        <f t="shared" si="52"/>
        <v>0</v>
      </c>
    </row>
    <row r="98" spans="1:35" ht="14.4" x14ac:dyDescent="0.3">
      <c r="A98" s="560" t="s">
        <v>568</v>
      </c>
      <c r="B98" s="557" t="str">
        <f t="shared" si="53"/>
        <v>1990s</v>
      </c>
      <c r="C98" s="561">
        <v>1998</v>
      </c>
      <c r="D98" s="562">
        <f t="shared" si="31"/>
        <v>1994</v>
      </c>
      <c r="E98" s="563">
        <f t="shared" si="32"/>
        <v>1997</v>
      </c>
      <c r="F98" s="586">
        <f t="shared" si="33"/>
        <v>13220</v>
      </c>
      <c r="G98" s="587">
        <f t="shared" si="34"/>
        <v>13522</v>
      </c>
      <c r="H98" s="587">
        <f t="shared" si="35"/>
        <v>13520</v>
      </c>
      <c r="I98" s="2122">
        <f t="shared" si="36"/>
        <v>4666</v>
      </c>
      <c r="J98" s="2126">
        <f t="shared" si="37"/>
        <v>0.49989286479537176</v>
      </c>
      <c r="K98" s="590">
        <f t="shared" si="38"/>
        <v>7705</v>
      </c>
      <c r="L98" s="591">
        <f t="shared" si="46"/>
        <v>6759.5513177630173</v>
      </c>
      <c r="M98" s="607"/>
      <c r="N98" s="591"/>
      <c r="O98" s="569">
        <f t="shared" si="39"/>
        <v>2.9581422866439876E-4</v>
      </c>
      <c r="P98" s="592">
        <f t="shared" si="40"/>
        <v>0.49989286479537176</v>
      </c>
      <c r="Q98" s="571">
        <f t="shared" si="41"/>
        <v>0.5312979227659278</v>
      </c>
      <c r="R98" s="572">
        <f t="shared" si="42"/>
        <v>0</v>
      </c>
      <c r="S98" s="573">
        <f t="shared" si="43"/>
        <v>0.2778846153846154</v>
      </c>
      <c r="T98" s="574">
        <v>2.1</v>
      </c>
      <c r="U98" s="557">
        <f t="shared" si="44"/>
        <v>4.0000000000000009</v>
      </c>
      <c r="V98" s="575">
        <f t="shared" si="45"/>
        <v>2</v>
      </c>
      <c r="W98" s="594">
        <v>0</v>
      </c>
      <c r="X98" s="595">
        <f t="shared" si="47"/>
        <v>0</v>
      </c>
      <c r="Y98" s="576">
        <v>2.3E-2</v>
      </c>
      <c r="Z98" s="596">
        <f t="shared" si="48"/>
        <v>0</v>
      </c>
      <c r="AA98" s="2329" t="s">
        <v>1330</v>
      </c>
      <c r="AB98" s="597">
        <f t="shared" si="54"/>
        <v>0</v>
      </c>
      <c r="AC98" s="597" t="str">
        <f t="shared" si="55"/>
        <v/>
      </c>
      <c r="AD98" s="597">
        <f t="shared" si="56"/>
        <v>155.46968030854939</v>
      </c>
      <c r="AE98" s="598">
        <f t="shared" si="49"/>
        <v>0</v>
      </c>
      <c r="AF98" s="572">
        <f t="shared" si="50"/>
        <v>107.318</v>
      </c>
      <c r="AG98" s="572">
        <f t="shared" si="51"/>
        <v>0</v>
      </c>
      <c r="AH98" s="600">
        <f t="shared" si="52"/>
        <v>0</v>
      </c>
    </row>
    <row r="99" spans="1:35" ht="14.4" x14ac:dyDescent="0.3">
      <c r="A99" s="560" t="s">
        <v>568</v>
      </c>
      <c r="B99" s="557" t="str">
        <f t="shared" si="53"/>
        <v>1990s</v>
      </c>
      <c r="C99" s="561">
        <v>1998</v>
      </c>
      <c r="D99" s="562">
        <f t="shared" si="31"/>
        <v>1993</v>
      </c>
      <c r="E99" s="563">
        <f t="shared" si="32"/>
        <v>1996</v>
      </c>
      <c r="F99" s="586">
        <f t="shared" si="33"/>
        <v>13220</v>
      </c>
      <c r="G99" s="587">
        <f t="shared" si="34"/>
        <v>13522</v>
      </c>
      <c r="H99" s="587">
        <f t="shared" si="35"/>
        <v>13520</v>
      </c>
      <c r="I99" s="2122">
        <f t="shared" si="36"/>
        <v>4666</v>
      </c>
      <c r="J99" s="2126">
        <f t="shared" si="37"/>
        <v>0.49989286479537176</v>
      </c>
      <c r="K99" s="590">
        <f t="shared" si="38"/>
        <v>7705</v>
      </c>
      <c r="L99" s="591">
        <f t="shared" si="46"/>
        <v>6759.5513177630173</v>
      </c>
      <c r="M99" s="607"/>
      <c r="N99" s="591"/>
      <c r="O99" s="569">
        <f t="shared" si="39"/>
        <v>2.9581422866439876E-4</v>
      </c>
      <c r="P99" s="592">
        <f t="shared" si="40"/>
        <v>0.49989286479537176</v>
      </c>
      <c r="Q99" s="571">
        <f t="shared" si="41"/>
        <v>0.5312979227659278</v>
      </c>
      <c r="R99" s="572">
        <f t="shared" si="42"/>
        <v>0</v>
      </c>
      <c r="S99" s="573">
        <f t="shared" si="43"/>
        <v>0.2778846153846154</v>
      </c>
      <c r="T99" s="574">
        <v>2.2000000000000002</v>
      </c>
      <c r="U99" s="557">
        <f t="shared" si="44"/>
        <v>5.0000000000000018</v>
      </c>
      <c r="V99" s="575">
        <f t="shared" si="45"/>
        <v>2</v>
      </c>
      <c r="W99" s="594">
        <v>0</v>
      </c>
      <c r="X99" s="595">
        <f t="shared" si="47"/>
        <v>0</v>
      </c>
      <c r="Y99" s="576">
        <v>1.6E-2</v>
      </c>
      <c r="Z99" s="596">
        <f t="shared" si="48"/>
        <v>0</v>
      </c>
      <c r="AA99" s="2329" t="s">
        <v>1330</v>
      </c>
      <c r="AB99" s="597">
        <f t="shared" si="54"/>
        <v>0</v>
      </c>
      <c r="AC99" s="597" t="str">
        <f t="shared" si="55"/>
        <v/>
      </c>
      <c r="AD99" s="597">
        <f t="shared" si="56"/>
        <v>108.15282108420828</v>
      </c>
      <c r="AE99" s="598">
        <f t="shared" si="49"/>
        <v>0</v>
      </c>
      <c r="AF99" s="572">
        <f t="shared" si="50"/>
        <v>74.656000000000006</v>
      </c>
      <c r="AG99" s="572">
        <f t="shared" si="51"/>
        <v>0</v>
      </c>
      <c r="AH99" s="600">
        <f t="shared" si="52"/>
        <v>0</v>
      </c>
    </row>
    <row r="100" spans="1:35" ht="14.4" x14ac:dyDescent="0.3">
      <c r="A100" s="560" t="s">
        <v>568</v>
      </c>
      <c r="B100" s="557" t="str">
        <f t="shared" si="53"/>
        <v>1990s</v>
      </c>
      <c r="C100" s="561">
        <v>1999</v>
      </c>
      <c r="D100" s="562">
        <f t="shared" si="31"/>
        <v>1996</v>
      </c>
      <c r="E100" s="563">
        <f t="shared" si="32"/>
        <v>1998</v>
      </c>
      <c r="F100" s="586">
        <f t="shared" si="33"/>
        <v>19094</v>
      </c>
      <c r="G100" s="587">
        <f t="shared" si="34"/>
        <v>18383</v>
      </c>
      <c r="H100" s="587">
        <f t="shared" si="35"/>
        <v>18382</v>
      </c>
      <c r="I100" s="2122">
        <f t="shared" si="36"/>
        <v>12388</v>
      </c>
      <c r="J100" s="2126">
        <f t="shared" si="37"/>
        <v>0.7952295264703797</v>
      </c>
      <c r="K100" s="590">
        <f t="shared" si="38"/>
        <v>16715</v>
      </c>
      <c r="L100" s="591">
        <f t="shared" si="46"/>
        <v>14618.704385104989</v>
      </c>
      <c r="M100" s="606"/>
      <c r="N100" s="591"/>
      <c r="O100" s="569">
        <f t="shared" si="39"/>
        <v>8.1597127781102101E-4</v>
      </c>
      <c r="P100" s="592">
        <f t="shared" si="40"/>
        <v>0.7952295264703797</v>
      </c>
      <c r="Q100" s="571">
        <f t="shared" si="41"/>
        <v>0.74158529929043604</v>
      </c>
      <c r="R100" s="572">
        <f t="shared" si="42"/>
        <v>0</v>
      </c>
      <c r="S100" s="573">
        <f t="shared" si="43"/>
        <v>0.11343203110641405</v>
      </c>
      <c r="T100" s="602">
        <v>1.1000000000000001</v>
      </c>
      <c r="U100" s="557">
        <f t="shared" si="44"/>
        <v>3.0000000000000009</v>
      </c>
      <c r="V100" s="575">
        <f t="shared" si="45"/>
        <v>1</v>
      </c>
      <c r="W100" s="594">
        <v>0.114</v>
      </c>
      <c r="X100" s="595">
        <f t="shared" si="47"/>
        <v>2095.6620000000003</v>
      </c>
      <c r="Y100" s="576">
        <v>5.1999999999999998E-2</v>
      </c>
      <c r="Z100" s="596">
        <f t="shared" si="48"/>
        <v>1905.51</v>
      </c>
      <c r="AA100" s="2329" t="s">
        <v>1330</v>
      </c>
      <c r="AB100" s="597">
        <f t="shared" si="54"/>
        <v>1666.5322999019688</v>
      </c>
      <c r="AC100" s="597" t="str">
        <f t="shared" si="55"/>
        <v/>
      </c>
      <c r="AD100" s="597">
        <f t="shared" si="56"/>
        <v>760.1726280254594</v>
      </c>
      <c r="AE100" s="598">
        <f t="shared" si="49"/>
        <v>1666.5322999019688</v>
      </c>
      <c r="AF100" s="572">
        <f t="shared" si="50"/>
        <v>644.17599999999993</v>
      </c>
      <c r="AG100" s="599">
        <f t="shared" si="51"/>
        <v>0</v>
      </c>
      <c r="AH100" s="600">
        <f t="shared" si="52"/>
        <v>0</v>
      </c>
    </row>
    <row r="101" spans="1:35" ht="14.4" x14ac:dyDescent="0.3">
      <c r="A101" s="560" t="s">
        <v>568</v>
      </c>
      <c r="B101" s="557" t="str">
        <f t="shared" si="53"/>
        <v>1990s</v>
      </c>
      <c r="C101" s="561">
        <v>1999</v>
      </c>
      <c r="D101" s="562">
        <f t="shared" si="31"/>
        <v>1995</v>
      </c>
      <c r="E101" s="563">
        <f t="shared" si="32"/>
        <v>1997</v>
      </c>
      <c r="F101" s="586">
        <f t="shared" si="33"/>
        <v>19094</v>
      </c>
      <c r="G101" s="587">
        <f t="shared" si="34"/>
        <v>18383</v>
      </c>
      <c r="H101" s="587">
        <f t="shared" si="35"/>
        <v>18382</v>
      </c>
      <c r="I101" s="2122">
        <f t="shared" si="36"/>
        <v>12388</v>
      </c>
      <c r="J101" s="2126">
        <f t="shared" si="37"/>
        <v>0.7952295264703797</v>
      </c>
      <c r="K101" s="590">
        <f t="shared" si="38"/>
        <v>16715</v>
      </c>
      <c r="L101" s="591">
        <f t="shared" si="46"/>
        <v>14618.704385104989</v>
      </c>
      <c r="M101" s="607"/>
      <c r="N101" s="591"/>
      <c r="O101" s="569">
        <f t="shared" si="39"/>
        <v>8.1597127781102101E-4</v>
      </c>
      <c r="P101" s="592">
        <f t="shared" si="40"/>
        <v>0.7952295264703797</v>
      </c>
      <c r="Q101" s="571">
        <f t="shared" si="41"/>
        <v>0.74158529929043604</v>
      </c>
      <c r="R101" s="572">
        <f t="shared" si="42"/>
        <v>0</v>
      </c>
      <c r="S101" s="573">
        <f t="shared" si="43"/>
        <v>0.11343203110641405</v>
      </c>
      <c r="T101" s="574">
        <v>1.2</v>
      </c>
      <c r="U101" s="557">
        <f t="shared" si="44"/>
        <v>3.9999999999999996</v>
      </c>
      <c r="V101" s="575">
        <f t="shared" si="45"/>
        <v>1</v>
      </c>
      <c r="W101" s="594">
        <v>0.84899999999999998</v>
      </c>
      <c r="X101" s="595">
        <f t="shared" si="47"/>
        <v>15607.166999999999</v>
      </c>
      <c r="Y101" s="576">
        <v>0.82499999999999996</v>
      </c>
      <c r="Z101" s="596">
        <f t="shared" si="48"/>
        <v>14191.035</v>
      </c>
      <c r="AA101" s="2329" t="s">
        <v>1330</v>
      </c>
      <c r="AB101" s="597">
        <f t="shared" si="54"/>
        <v>12411.280022954135</v>
      </c>
      <c r="AC101" s="597" t="str">
        <f t="shared" si="55"/>
        <v/>
      </c>
      <c r="AD101" s="597">
        <f t="shared" si="56"/>
        <v>12060.431117711616</v>
      </c>
      <c r="AE101" s="598">
        <f t="shared" si="49"/>
        <v>12411.280022954135</v>
      </c>
      <c r="AF101" s="572">
        <f t="shared" si="50"/>
        <v>10220.099999999999</v>
      </c>
      <c r="AG101" s="572">
        <f t="shared" si="51"/>
        <v>0</v>
      </c>
      <c r="AH101" s="600">
        <f t="shared" si="52"/>
        <v>0</v>
      </c>
    </row>
    <row r="102" spans="1:35" ht="14.4" x14ac:dyDescent="0.3">
      <c r="A102" s="560" t="s">
        <v>568</v>
      </c>
      <c r="B102" s="557" t="str">
        <f t="shared" si="53"/>
        <v>1990s</v>
      </c>
      <c r="C102" s="561">
        <v>1999</v>
      </c>
      <c r="D102" s="562">
        <f t="shared" si="31"/>
        <v>1994</v>
      </c>
      <c r="E102" s="563">
        <f t="shared" si="32"/>
        <v>1996</v>
      </c>
      <c r="F102" s="586">
        <f t="shared" si="33"/>
        <v>19094</v>
      </c>
      <c r="G102" s="587">
        <f t="shared" si="34"/>
        <v>18383</v>
      </c>
      <c r="H102" s="587">
        <f t="shared" si="35"/>
        <v>18382</v>
      </c>
      <c r="I102" s="2122">
        <f t="shared" si="36"/>
        <v>12388</v>
      </c>
      <c r="J102" s="2126">
        <f t="shared" si="37"/>
        <v>0.7952295264703797</v>
      </c>
      <c r="K102" s="590">
        <f t="shared" si="38"/>
        <v>16715</v>
      </c>
      <c r="L102" s="591">
        <f t="shared" si="46"/>
        <v>14618.704385104989</v>
      </c>
      <c r="M102" s="591"/>
      <c r="N102" s="591"/>
      <c r="O102" s="569">
        <f t="shared" si="39"/>
        <v>8.1597127781102101E-4</v>
      </c>
      <c r="P102" s="592">
        <f t="shared" si="40"/>
        <v>0.7952295264703797</v>
      </c>
      <c r="Q102" s="571">
        <f t="shared" si="41"/>
        <v>0.74158529929043604</v>
      </c>
      <c r="R102" s="572">
        <f t="shared" si="42"/>
        <v>0</v>
      </c>
      <c r="S102" s="573">
        <f t="shared" si="43"/>
        <v>0.11343203110641405</v>
      </c>
      <c r="T102" s="574">
        <v>1.3</v>
      </c>
      <c r="U102" s="557">
        <f t="shared" si="44"/>
        <v>5</v>
      </c>
      <c r="V102" s="575">
        <f t="shared" si="45"/>
        <v>1</v>
      </c>
      <c r="W102" s="594">
        <v>0</v>
      </c>
      <c r="X102" s="595">
        <f t="shared" si="47"/>
        <v>0</v>
      </c>
      <c r="Y102" s="576">
        <v>8.3000000000000004E-2</v>
      </c>
      <c r="Z102" s="596">
        <f t="shared" si="48"/>
        <v>0</v>
      </c>
      <c r="AA102" s="2329" t="s">
        <v>1330</v>
      </c>
      <c r="AB102" s="597">
        <f t="shared" si="54"/>
        <v>0</v>
      </c>
      <c r="AC102" s="597" t="str">
        <f t="shared" si="55"/>
        <v/>
      </c>
      <c r="AD102" s="597">
        <f t="shared" si="56"/>
        <v>1213.3524639637142</v>
      </c>
      <c r="AE102" s="598">
        <f t="shared" si="49"/>
        <v>0</v>
      </c>
      <c r="AF102" s="572">
        <f t="shared" si="50"/>
        <v>1028.204</v>
      </c>
      <c r="AG102" s="572">
        <f t="shared" si="51"/>
        <v>0</v>
      </c>
      <c r="AH102" s="600">
        <f t="shared" si="52"/>
        <v>0</v>
      </c>
    </row>
    <row r="103" spans="1:35" ht="14.4" x14ac:dyDescent="0.3">
      <c r="A103" s="560" t="s">
        <v>568</v>
      </c>
      <c r="B103" s="557" t="str">
        <f t="shared" si="53"/>
        <v>1990s</v>
      </c>
      <c r="C103" s="561">
        <v>1999</v>
      </c>
      <c r="D103" s="562">
        <f t="shared" si="31"/>
        <v>1995</v>
      </c>
      <c r="E103" s="563">
        <f t="shared" si="32"/>
        <v>1998</v>
      </c>
      <c r="F103" s="586">
        <f t="shared" si="33"/>
        <v>19094</v>
      </c>
      <c r="G103" s="587">
        <f t="shared" si="34"/>
        <v>18383</v>
      </c>
      <c r="H103" s="587">
        <f t="shared" si="35"/>
        <v>18382</v>
      </c>
      <c r="I103" s="2122">
        <f t="shared" si="36"/>
        <v>12388</v>
      </c>
      <c r="J103" s="2126">
        <f t="shared" si="37"/>
        <v>0.7952295264703797</v>
      </c>
      <c r="K103" s="590">
        <f t="shared" si="38"/>
        <v>16715</v>
      </c>
      <c r="L103" s="591">
        <f t="shared" si="46"/>
        <v>14618.704385104989</v>
      </c>
      <c r="M103" s="591"/>
      <c r="N103" s="591"/>
      <c r="O103" s="569">
        <f t="shared" si="39"/>
        <v>8.1597127781102101E-4</v>
      </c>
      <c r="P103" s="592">
        <f t="shared" si="40"/>
        <v>0.7952295264703797</v>
      </c>
      <c r="Q103" s="571">
        <f t="shared" si="41"/>
        <v>0.74158529929043604</v>
      </c>
      <c r="R103" s="572">
        <f t="shared" si="42"/>
        <v>0</v>
      </c>
      <c r="S103" s="573">
        <f t="shared" si="43"/>
        <v>0.11343203110641405</v>
      </c>
      <c r="T103" s="574">
        <v>2.1</v>
      </c>
      <c r="U103" s="557">
        <f t="shared" si="44"/>
        <v>4.0000000000000009</v>
      </c>
      <c r="V103" s="575">
        <f t="shared" si="45"/>
        <v>2</v>
      </c>
      <c r="W103" s="594">
        <v>3.7999999999999999E-2</v>
      </c>
      <c r="X103" s="595">
        <f t="shared" si="47"/>
        <v>698.55399999999997</v>
      </c>
      <c r="Y103" s="576">
        <v>2.3E-2</v>
      </c>
      <c r="Z103" s="596">
        <f t="shared" si="48"/>
        <v>635.16999999999996</v>
      </c>
      <c r="AA103" s="2329" t="s">
        <v>1330</v>
      </c>
      <c r="AB103" s="597">
        <f t="shared" si="54"/>
        <v>555.51076663398953</v>
      </c>
      <c r="AC103" s="597" t="str">
        <f t="shared" si="55"/>
        <v/>
      </c>
      <c r="AD103" s="597">
        <f t="shared" si="56"/>
        <v>336.23020085741473</v>
      </c>
      <c r="AE103" s="598">
        <f t="shared" si="49"/>
        <v>555.51076663398953</v>
      </c>
      <c r="AF103" s="572">
        <f t="shared" si="50"/>
        <v>284.92399999999998</v>
      </c>
      <c r="AG103" s="572">
        <f t="shared" si="51"/>
        <v>0</v>
      </c>
      <c r="AH103" s="600">
        <f t="shared" si="52"/>
        <v>0</v>
      </c>
    </row>
    <row r="104" spans="1:35" ht="14.4" x14ac:dyDescent="0.3">
      <c r="A104" s="560" t="s">
        <v>568</v>
      </c>
      <c r="B104" s="557" t="str">
        <f t="shared" si="53"/>
        <v>1990s</v>
      </c>
      <c r="C104" s="561">
        <v>1999</v>
      </c>
      <c r="D104" s="562">
        <f t="shared" si="31"/>
        <v>1994</v>
      </c>
      <c r="E104" s="563">
        <f t="shared" si="32"/>
        <v>1997</v>
      </c>
      <c r="F104" s="586">
        <f t="shared" si="33"/>
        <v>19094</v>
      </c>
      <c r="G104" s="587">
        <f t="shared" si="34"/>
        <v>18383</v>
      </c>
      <c r="H104" s="587">
        <f t="shared" si="35"/>
        <v>18382</v>
      </c>
      <c r="I104" s="2122">
        <f t="shared" si="36"/>
        <v>12388</v>
      </c>
      <c r="J104" s="2126">
        <f t="shared" si="37"/>
        <v>0.7952295264703797</v>
      </c>
      <c r="K104" s="590">
        <f t="shared" si="38"/>
        <v>16715</v>
      </c>
      <c r="L104" s="591">
        <f t="shared" si="46"/>
        <v>14618.704385104989</v>
      </c>
      <c r="M104" s="591"/>
      <c r="N104" s="591"/>
      <c r="O104" s="569">
        <f t="shared" si="39"/>
        <v>8.1597127781102101E-4</v>
      </c>
      <c r="P104" s="592">
        <f t="shared" si="40"/>
        <v>0.7952295264703797</v>
      </c>
      <c r="Q104" s="571">
        <f t="shared" si="41"/>
        <v>0.74158529929043604</v>
      </c>
      <c r="R104" s="572">
        <f t="shared" si="42"/>
        <v>0</v>
      </c>
      <c r="S104" s="573">
        <f t="shared" si="43"/>
        <v>0.11343203110641405</v>
      </c>
      <c r="T104" s="574">
        <v>2.2000000000000002</v>
      </c>
      <c r="U104" s="557">
        <f t="shared" si="44"/>
        <v>5.0000000000000018</v>
      </c>
      <c r="V104" s="575">
        <f t="shared" si="45"/>
        <v>2</v>
      </c>
      <c r="W104" s="594">
        <v>0</v>
      </c>
      <c r="X104" s="595">
        <f t="shared" si="47"/>
        <v>0</v>
      </c>
      <c r="Y104" s="576">
        <v>1.6E-2</v>
      </c>
      <c r="Z104" s="596">
        <f t="shared" si="48"/>
        <v>0</v>
      </c>
      <c r="AA104" s="2329" t="s">
        <v>1330</v>
      </c>
      <c r="AB104" s="597">
        <f t="shared" si="54"/>
        <v>0</v>
      </c>
      <c r="AC104" s="597" t="str">
        <f t="shared" si="55"/>
        <v/>
      </c>
      <c r="AD104" s="597">
        <f t="shared" si="56"/>
        <v>233.89927016167982</v>
      </c>
      <c r="AE104" s="598">
        <f t="shared" si="49"/>
        <v>0</v>
      </c>
      <c r="AF104" s="572">
        <f t="shared" si="50"/>
        <v>198.208</v>
      </c>
      <c r="AG104" s="572">
        <f t="shared" si="51"/>
        <v>0</v>
      </c>
      <c r="AH104" s="600">
        <f t="shared" si="52"/>
        <v>0</v>
      </c>
    </row>
    <row r="105" spans="1:35" ht="14.4" x14ac:dyDescent="0.3">
      <c r="A105" s="560" t="s">
        <v>568</v>
      </c>
      <c r="B105" s="557" t="str">
        <f t="shared" si="53"/>
        <v>1990s</v>
      </c>
      <c r="C105" s="561">
        <v>2000</v>
      </c>
      <c r="D105" s="562">
        <f t="shared" si="31"/>
        <v>1997</v>
      </c>
      <c r="E105" s="563">
        <f t="shared" si="32"/>
        <v>1999</v>
      </c>
      <c r="F105" s="586">
        <f t="shared" si="33"/>
        <v>93764</v>
      </c>
      <c r="G105" s="587">
        <f t="shared" si="34"/>
        <v>97557</v>
      </c>
      <c r="H105" s="587">
        <f t="shared" si="35"/>
        <v>97191</v>
      </c>
      <c r="I105" s="2122">
        <f t="shared" si="36"/>
        <v>59944</v>
      </c>
      <c r="J105" s="2126">
        <f t="shared" si="37"/>
        <v>0.78345880384776245</v>
      </c>
      <c r="K105" s="590">
        <f t="shared" si="38"/>
        <v>73866</v>
      </c>
      <c r="L105" s="591">
        <f t="shared" si="46"/>
        <v>76431.89052697616</v>
      </c>
      <c r="M105" s="589">
        <f t="shared" ref="M105:M136" si="57">VLOOKUP($C105,SockeyeReturnsData,12)</f>
        <v>59944</v>
      </c>
      <c r="N105" s="591">
        <f t="shared" ref="N105:N168" si="58">IF(M105,M105*G105,J105*G105)</f>
        <v>5847956808</v>
      </c>
      <c r="O105" s="569">
        <f t="shared" si="39"/>
        <v>3.7414024621503328E-3</v>
      </c>
      <c r="P105" s="592">
        <f t="shared" si="40"/>
        <v>0.78345880384776245</v>
      </c>
      <c r="Q105" s="571">
        <f t="shared" si="41"/>
        <v>0.75851596902363716</v>
      </c>
      <c r="R105" s="572">
        <f t="shared" si="42"/>
        <v>0.55000000000000004</v>
      </c>
      <c r="S105" s="573">
        <f t="shared" si="43"/>
        <v>0.17907007850521139</v>
      </c>
      <c r="T105" s="602">
        <v>1.1000000000000001</v>
      </c>
      <c r="U105" s="557">
        <f t="shared" si="44"/>
        <v>3.0000000000000009</v>
      </c>
      <c r="V105" s="575">
        <f t="shared" si="45"/>
        <v>1</v>
      </c>
      <c r="W105" s="608">
        <v>0.13</v>
      </c>
      <c r="X105" s="595">
        <f t="shared" si="47"/>
        <v>12682.41</v>
      </c>
      <c r="Y105" s="605">
        <v>0</v>
      </c>
      <c r="Z105" s="596">
        <f t="shared" si="48"/>
        <v>9602.58</v>
      </c>
      <c r="AA105" s="2329" t="s">
        <v>1330</v>
      </c>
      <c r="AB105" s="597">
        <f t="shared" si="54"/>
        <v>9936.1457685069017</v>
      </c>
      <c r="AC105" s="597">
        <f t="shared" si="55"/>
        <v>760234385.04000008</v>
      </c>
      <c r="AD105" s="597" t="str">
        <f t="shared" si="56"/>
        <v/>
      </c>
      <c r="AE105" s="598">
        <f t="shared" si="49"/>
        <v>9936.1457685069017</v>
      </c>
      <c r="AF105" s="572">
        <f t="shared" si="50"/>
        <v>0</v>
      </c>
      <c r="AG105" s="599">
        <f t="shared" si="51"/>
        <v>0</v>
      </c>
      <c r="AH105" s="600">
        <f t="shared" si="52"/>
        <v>0</v>
      </c>
      <c r="AI105" s="559" t="s">
        <v>1332</v>
      </c>
    </row>
    <row r="106" spans="1:35" ht="14.4" x14ac:dyDescent="0.3">
      <c r="A106" s="560" t="s">
        <v>568</v>
      </c>
      <c r="B106" s="557" t="str">
        <f t="shared" si="53"/>
        <v>1990s</v>
      </c>
      <c r="C106" s="561">
        <v>2000</v>
      </c>
      <c r="D106" s="562">
        <f t="shared" si="31"/>
        <v>1996</v>
      </c>
      <c r="E106" s="563">
        <f t="shared" si="32"/>
        <v>1998</v>
      </c>
      <c r="F106" s="586">
        <f t="shared" si="33"/>
        <v>93764</v>
      </c>
      <c r="G106" s="587">
        <f t="shared" si="34"/>
        <v>97557</v>
      </c>
      <c r="H106" s="587">
        <f t="shared" si="35"/>
        <v>97191</v>
      </c>
      <c r="I106" s="2122">
        <f t="shared" si="36"/>
        <v>59944</v>
      </c>
      <c r="J106" s="2126">
        <f t="shared" si="37"/>
        <v>0.78345880384776245</v>
      </c>
      <c r="K106" s="590">
        <f t="shared" si="38"/>
        <v>73866</v>
      </c>
      <c r="L106" s="591">
        <f t="shared" si="46"/>
        <v>76431.89052697616</v>
      </c>
      <c r="M106" s="589">
        <f t="shared" si="57"/>
        <v>59944</v>
      </c>
      <c r="N106" s="591">
        <f t="shared" si="58"/>
        <v>5847956808</v>
      </c>
      <c r="O106" s="569">
        <f t="shared" si="39"/>
        <v>3.7414024621503328E-3</v>
      </c>
      <c r="P106" s="592">
        <f t="shared" si="40"/>
        <v>0.78345880384776245</v>
      </c>
      <c r="Q106" s="571">
        <f t="shared" si="41"/>
        <v>0.75851596902363716</v>
      </c>
      <c r="R106" s="572">
        <f t="shared" si="42"/>
        <v>0.55000000000000004</v>
      </c>
      <c r="S106" s="573">
        <f t="shared" si="43"/>
        <v>0.17907007850521139</v>
      </c>
      <c r="T106" s="574">
        <v>1.2</v>
      </c>
      <c r="U106" s="557">
        <f t="shared" si="44"/>
        <v>3.9999999999999996</v>
      </c>
      <c r="V106" s="575">
        <f t="shared" si="45"/>
        <v>1</v>
      </c>
      <c r="W106" s="594">
        <v>0.84</v>
      </c>
      <c r="X106" s="595">
        <f t="shared" si="47"/>
        <v>81947.87999999999</v>
      </c>
      <c r="Y106" s="594">
        <v>0.97899999999999998</v>
      </c>
      <c r="Z106" s="596">
        <f t="shared" si="48"/>
        <v>62047.439999999995</v>
      </c>
      <c r="AA106" s="2329" t="s">
        <v>1330</v>
      </c>
      <c r="AB106" s="597">
        <f t="shared" si="54"/>
        <v>64202.788042659973</v>
      </c>
      <c r="AC106" s="597">
        <f t="shared" si="55"/>
        <v>4912283718.7200003</v>
      </c>
      <c r="AD106" s="597">
        <f t="shared" si="56"/>
        <v>74826.820825909657</v>
      </c>
      <c r="AE106" s="598">
        <f t="shared" si="49"/>
        <v>64202.788042659973</v>
      </c>
      <c r="AF106" s="572">
        <f t="shared" si="50"/>
        <v>58685.175999999999</v>
      </c>
      <c r="AG106" s="572">
        <f t="shared" si="51"/>
        <v>0.53844999999999998</v>
      </c>
      <c r="AH106" s="600">
        <f t="shared" si="52"/>
        <v>6.5706397773804525E-6</v>
      </c>
      <c r="AI106" s="559" t="s">
        <v>1333</v>
      </c>
    </row>
    <row r="107" spans="1:35" ht="14.4" x14ac:dyDescent="0.3">
      <c r="A107" s="560" t="s">
        <v>568</v>
      </c>
      <c r="B107" s="557" t="str">
        <f t="shared" si="53"/>
        <v>1990s</v>
      </c>
      <c r="C107" s="561">
        <v>2000</v>
      </c>
      <c r="D107" s="562">
        <f t="shared" si="31"/>
        <v>1995</v>
      </c>
      <c r="E107" s="563">
        <f t="shared" si="32"/>
        <v>1997</v>
      </c>
      <c r="F107" s="586">
        <f t="shared" si="33"/>
        <v>93764</v>
      </c>
      <c r="G107" s="587">
        <f t="shared" si="34"/>
        <v>97557</v>
      </c>
      <c r="H107" s="587">
        <f t="shared" si="35"/>
        <v>97191</v>
      </c>
      <c r="I107" s="2122">
        <f t="shared" si="36"/>
        <v>59944</v>
      </c>
      <c r="J107" s="2126">
        <f t="shared" si="37"/>
        <v>0.78345880384776245</v>
      </c>
      <c r="K107" s="590">
        <f t="shared" si="38"/>
        <v>73866</v>
      </c>
      <c r="L107" s="591">
        <f t="shared" si="46"/>
        <v>76431.89052697616</v>
      </c>
      <c r="M107" s="589">
        <f t="shared" si="57"/>
        <v>59944</v>
      </c>
      <c r="N107" s="591">
        <f t="shared" si="58"/>
        <v>5847956808</v>
      </c>
      <c r="O107" s="569">
        <f t="shared" si="39"/>
        <v>3.7414024621503328E-3</v>
      </c>
      <c r="P107" s="592">
        <f t="shared" si="40"/>
        <v>0.78345880384776245</v>
      </c>
      <c r="Q107" s="571">
        <f t="shared" si="41"/>
        <v>0.75851596902363716</v>
      </c>
      <c r="R107" s="572">
        <f t="shared" si="42"/>
        <v>0.55000000000000004</v>
      </c>
      <c r="S107" s="573">
        <f t="shared" si="43"/>
        <v>0.17907007850521139</v>
      </c>
      <c r="T107" s="574">
        <v>1.3</v>
      </c>
      <c r="U107" s="557">
        <f t="shared" si="44"/>
        <v>5</v>
      </c>
      <c r="V107" s="575">
        <f t="shared" si="45"/>
        <v>1</v>
      </c>
      <c r="W107" s="594">
        <v>0.01</v>
      </c>
      <c r="X107" s="595">
        <f t="shared" si="47"/>
        <v>975.57</v>
      </c>
      <c r="Y107" s="594">
        <v>0</v>
      </c>
      <c r="Z107" s="596">
        <f t="shared" si="48"/>
        <v>738.66</v>
      </c>
      <c r="AA107" s="2329" t="s">
        <v>1330</v>
      </c>
      <c r="AB107" s="597">
        <f t="shared" si="54"/>
        <v>764.31890526976167</v>
      </c>
      <c r="AC107" s="597">
        <f t="shared" si="55"/>
        <v>58479568.079999998</v>
      </c>
      <c r="AD107" s="597" t="str">
        <f t="shared" si="56"/>
        <v/>
      </c>
      <c r="AE107" s="598">
        <f t="shared" si="49"/>
        <v>764.31890526976167</v>
      </c>
      <c r="AF107" s="572">
        <f t="shared" si="50"/>
        <v>0</v>
      </c>
      <c r="AG107" s="572">
        <f t="shared" si="51"/>
        <v>0</v>
      </c>
      <c r="AH107" s="600">
        <f t="shared" si="52"/>
        <v>0</v>
      </c>
    </row>
    <row r="108" spans="1:35" ht="14.4" x14ac:dyDescent="0.3">
      <c r="A108" s="560" t="s">
        <v>568</v>
      </c>
      <c r="B108" s="557" t="str">
        <f t="shared" si="53"/>
        <v>1990s</v>
      </c>
      <c r="C108" s="561">
        <v>2000</v>
      </c>
      <c r="D108" s="562">
        <f t="shared" si="31"/>
        <v>1996</v>
      </c>
      <c r="E108" s="563">
        <f t="shared" si="32"/>
        <v>1999</v>
      </c>
      <c r="F108" s="586">
        <f t="shared" si="33"/>
        <v>93764</v>
      </c>
      <c r="G108" s="587">
        <f t="shared" si="34"/>
        <v>97557</v>
      </c>
      <c r="H108" s="587">
        <f t="shared" si="35"/>
        <v>97191</v>
      </c>
      <c r="I108" s="2122">
        <f t="shared" si="36"/>
        <v>59944</v>
      </c>
      <c r="J108" s="2126">
        <f t="shared" si="37"/>
        <v>0.78345880384776245</v>
      </c>
      <c r="K108" s="590">
        <f t="shared" si="38"/>
        <v>73866</v>
      </c>
      <c r="L108" s="591">
        <f t="shared" si="46"/>
        <v>76431.89052697616</v>
      </c>
      <c r="M108" s="589">
        <f t="shared" si="57"/>
        <v>59944</v>
      </c>
      <c r="N108" s="591">
        <f t="shared" si="58"/>
        <v>5847956808</v>
      </c>
      <c r="O108" s="569">
        <f t="shared" si="39"/>
        <v>3.7414024621503328E-3</v>
      </c>
      <c r="P108" s="592">
        <f t="shared" si="40"/>
        <v>0.78345880384776245</v>
      </c>
      <c r="Q108" s="571">
        <f t="shared" si="41"/>
        <v>0.75851596902363716</v>
      </c>
      <c r="R108" s="572">
        <f t="shared" si="42"/>
        <v>0.55000000000000004</v>
      </c>
      <c r="S108" s="573">
        <f t="shared" si="43"/>
        <v>0.17907007850521139</v>
      </c>
      <c r="T108" s="574">
        <v>2.1</v>
      </c>
      <c r="U108" s="557">
        <f t="shared" si="44"/>
        <v>4.0000000000000009</v>
      </c>
      <c r="V108" s="575">
        <f t="shared" si="45"/>
        <v>2</v>
      </c>
      <c r="W108" s="594">
        <v>0.01</v>
      </c>
      <c r="X108" s="595">
        <f t="shared" si="47"/>
        <v>975.57</v>
      </c>
      <c r="Y108" s="594">
        <v>0</v>
      </c>
      <c r="Z108" s="596">
        <f t="shared" si="48"/>
        <v>738.66</v>
      </c>
      <c r="AA108" s="2329" t="s">
        <v>1330</v>
      </c>
      <c r="AB108" s="597">
        <f t="shared" si="54"/>
        <v>764.31890526976167</v>
      </c>
      <c r="AC108" s="597">
        <f t="shared" si="55"/>
        <v>58479568.079999998</v>
      </c>
      <c r="AD108" s="597" t="str">
        <f t="shared" si="56"/>
        <v/>
      </c>
      <c r="AE108" s="598">
        <f t="shared" si="49"/>
        <v>764.31890526976167</v>
      </c>
      <c r="AF108" s="572">
        <f t="shared" si="50"/>
        <v>0</v>
      </c>
      <c r="AG108" s="572">
        <f t="shared" si="51"/>
        <v>0</v>
      </c>
      <c r="AH108" s="600">
        <f t="shared" si="52"/>
        <v>0</v>
      </c>
    </row>
    <row r="109" spans="1:35" ht="14.4" x14ac:dyDescent="0.3">
      <c r="A109" s="560" t="s">
        <v>568</v>
      </c>
      <c r="B109" s="557" t="str">
        <f t="shared" si="53"/>
        <v>1990s</v>
      </c>
      <c r="C109" s="561">
        <v>2000</v>
      </c>
      <c r="D109" s="562">
        <f t="shared" si="31"/>
        <v>1995</v>
      </c>
      <c r="E109" s="563">
        <f t="shared" si="32"/>
        <v>1998</v>
      </c>
      <c r="F109" s="586">
        <f t="shared" si="33"/>
        <v>93764</v>
      </c>
      <c r="G109" s="587">
        <f t="shared" si="34"/>
        <v>97557</v>
      </c>
      <c r="H109" s="587">
        <f t="shared" si="35"/>
        <v>97191</v>
      </c>
      <c r="I109" s="2122">
        <f t="shared" si="36"/>
        <v>59944</v>
      </c>
      <c r="J109" s="2126">
        <f t="shared" si="37"/>
        <v>0.78345880384776245</v>
      </c>
      <c r="K109" s="590">
        <f t="shared" si="38"/>
        <v>73866</v>
      </c>
      <c r="L109" s="591">
        <f t="shared" si="46"/>
        <v>76431.89052697616</v>
      </c>
      <c r="M109" s="589">
        <f t="shared" si="57"/>
        <v>59944</v>
      </c>
      <c r="N109" s="591">
        <f t="shared" si="58"/>
        <v>5847956808</v>
      </c>
      <c r="O109" s="569">
        <f t="shared" si="39"/>
        <v>3.7414024621503328E-3</v>
      </c>
      <c r="P109" s="592">
        <f t="shared" si="40"/>
        <v>0.78345880384776245</v>
      </c>
      <c r="Q109" s="571">
        <f t="shared" si="41"/>
        <v>0.75851596902363716</v>
      </c>
      <c r="R109" s="572">
        <f t="shared" si="42"/>
        <v>0.55000000000000004</v>
      </c>
      <c r="S109" s="573">
        <f t="shared" si="43"/>
        <v>0.17907007850521139</v>
      </c>
      <c r="T109" s="574">
        <v>2.2000000000000002</v>
      </c>
      <c r="U109" s="557">
        <f t="shared" si="44"/>
        <v>5.0000000000000018</v>
      </c>
      <c r="V109" s="575">
        <f t="shared" si="45"/>
        <v>2</v>
      </c>
      <c r="W109" s="594">
        <v>0.01</v>
      </c>
      <c r="X109" s="595">
        <f t="shared" si="47"/>
        <v>975.57</v>
      </c>
      <c r="Y109" s="594">
        <v>2.0799999999999999E-2</v>
      </c>
      <c r="Z109" s="596">
        <f t="shared" si="48"/>
        <v>738.66</v>
      </c>
      <c r="AA109" s="2329" t="s">
        <v>1330</v>
      </c>
      <c r="AB109" s="597">
        <f t="shared" si="54"/>
        <v>764.31890526976167</v>
      </c>
      <c r="AC109" s="597">
        <f t="shared" si="55"/>
        <v>58479568.079999998</v>
      </c>
      <c r="AD109" s="597">
        <f t="shared" si="56"/>
        <v>1589.783322961104</v>
      </c>
      <c r="AE109" s="598">
        <f>L109*W109</f>
        <v>764.31890526976167</v>
      </c>
      <c r="AF109" s="572">
        <f t="shared" si="50"/>
        <v>1246.8352</v>
      </c>
      <c r="AG109" s="572">
        <f t="shared" si="51"/>
        <v>1.1440000000000001E-2</v>
      </c>
      <c r="AH109" s="600">
        <f t="shared" si="52"/>
        <v>1.172647785397255E-5</v>
      </c>
    </row>
    <row r="110" spans="1:35" ht="14.4" hidden="1" x14ac:dyDescent="0.3">
      <c r="A110" s="560" t="s">
        <v>568</v>
      </c>
      <c r="B110" s="557" t="str">
        <f t="shared" si="53"/>
        <v>2000s</v>
      </c>
      <c r="C110" s="561">
        <v>2001</v>
      </c>
      <c r="D110" s="562">
        <f t="shared" si="31"/>
        <v>1998</v>
      </c>
      <c r="E110" s="563">
        <f t="shared" si="32"/>
        <v>2000</v>
      </c>
      <c r="F110" s="586">
        <f t="shared" si="33"/>
        <v>117879</v>
      </c>
      <c r="G110" s="587">
        <f t="shared" si="34"/>
        <v>121355</v>
      </c>
      <c r="H110" s="587">
        <f t="shared" si="35"/>
        <v>119664</v>
      </c>
      <c r="I110" s="2122">
        <f t="shared" si="36"/>
        <v>74486</v>
      </c>
      <c r="J110" s="2126">
        <f t="shared" si="37"/>
        <v>0.7104731018695154</v>
      </c>
      <c r="K110" s="590">
        <f t="shared" si="38"/>
        <v>83707</v>
      </c>
      <c r="L110" s="591">
        <f t="shared" si="46"/>
        <v>86219.463277375035</v>
      </c>
      <c r="M110" s="589">
        <f t="shared" si="57"/>
        <v>74486</v>
      </c>
      <c r="N110" s="591">
        <f t="shared" si="58"/>
        <v>9039248530</v>
      </c>
      <c r="O110" s="569">
        <f t="shared" si="39"/>
        <v>3.3785175724115201E-4</v>
      </c>
      <c r="P110" s="592">
        <f t="shared" si="40"/>
        <v>0.7104731018695154</v>
      </c>
      <c r="Q110" s="571">
        <f t="shared" si="41"/>
        <v>0.63162914917970236</v>
      </c>
      <c r="R110" s="572">
        <f t="shared" si="42"/>
        <v>0.56000000000000005</v>
      </c>
      <c r="S110" s="573">
        <f t="shared" si="43"/>
        <v>6.2533426928733787E-2</v>
      </c>
      <c r="T110" s="574">
        <v>1.1000000000000001</v>
      </c>
      <c r="U110" s="557">
        <f t="shared" si="44"/>
        <v>3.0000000000000009</v>
      </c>
      <c r="V110" s="575">
        <f t="shared" si="45"/>
        <v>1</v>
      </c>
      <c r="W110" s="594">
        <v>2.5999999999999999E-2</v>
      </c>
      <c r="X110" s="595">
        <f t="shared" si="47"/>
        <v>3155.23</v>
      </c>
      <c r="Y110" s="594">
        <v>3.3000000000000002E-2</v>
      </c>
      <c r="Z110" s="577">
        <f>K110*Y110</f>
        <v>2762.3310000000001</v>
      </c>
      <c r="AA110" s="2328" t="s">
        <v>1331</v>
      </c>
      <c r="AB110" s="597">
        <f t="shared" si="54"/>
        <v>2241.7060452117507</v>
      </c>
      <c r="AC110" s="597">
        <f t="shared" si="55"/>
        <v>235020461.78</v>
      </c>
      <c r="AD110" s="597">
        <f t="shared" si="56"/>
        <v>2845.2422881533762</v>
      </c>
      <c r="AE110" s="609">
        <f>L110*Y110</f>
        <v>2845.2422881533762</v>
      </c>
      <c r="AF110" s="572">
        <f t="shared" si="50"/>
        <v>2458.038</v>
      </c>
      <c r="AG110" s="599">
        <f t="shared" si="51"/>
        <v>1.8480000000000003E-2</v>
      </c>
      <c r="AH110" s="600">
        <f t="shared" si="52"/>
        <v>5.8569422831299153E-6</v>
      </c>
      <c r="AI110" s="559" t="s">
        <v>583</v>
      </c>
    </row>
    <row r="111" spans="1:35" ht="14.4" hidden="1" x14ac:dyDescent="0.3">
      <c r="A111" s="560" t="s">
        <v>568</v>
      </c>
      <c r="B111" s="557" t="str">
        <f t="shared" si="53"/>
        <v>1990s</v>
      </c>
      <c r="C111" s="561">
        <v>2001</v>
      </c>
      <c r="D111" s="562">
        <f t="shared" si="31"/>
        <v>1997</v>
      </c>
      <c r="E111" s="563">
        <f t="shared" si="32"/>
        <v>1999</v>
      </c>
      <c r="F111" s="586">
        <f t="shared" si="33"/>
        <v>117879</v>
      </c>
      <c r="G111" s="587">
        <f t="shared" si="34"/>
        <v>121355</v>
      </c>
      <c r="H111" s="587">
        <f t="shared" si="35"/>
        <v>119664</v>
      </c>
      <c r="I111" s="2122">
        <f t="shared" si="36"/>
        <v>74486</v>
      </c>
      <c r="J111" s="2126">
        <f t="shared" si="37"/>
        <v>0.7104731018695154</v>
      </c>
      <c r="K111" s="590">
        <f t="shared" si="38"/>
        <v>83707</v>
      </c>
      <c r="L111" s="591">
        <f t="shared" si="46"/>
        <v>86219.463277375035</v>
      </c>
      <c r="M111" s="589">
        <f t="shared" si="57"/>
        <v>74486</v>
      </c>
      <c r="N111" s="591">
        <f t="shared" si="58"/>
        <v>9039248530</v>
      </c>
      <c r="O111" s="569">
        <f t="shared" si="39"/>
        <v>3.3785175724115201E-4</v>
      </c>
      <c r="P111" s="592">
        <f t="shared" si="40"/>
        <v>0.7104731018695154</v>
      </c>
      <c r="Q111" s="571">
        <f t="shared" si="41"/>
        <v>0.63162914917970236</v>
      </c>
      <c r="R111" s="572">
        <f t="shared" si="42"/>
        <v>0.56000000000000005</v>
      </c>
      <c r="S111" s="573">
        <f t="shared" si="43"/>
        <v>6.2533426928733787E-2</v>
      </c>
      <c r="T111" s="574">
        <v>1.2</v>
      </c>
      <c r="U111" s="557">
        <f t="shared" si="44"/>
        <v>3.9999999999999996</v>
      </c>
      <c r="V111" s="575">
        <f t="shared" si="45"/>
        <v>1</v>
      </c>
      <c r="W111" s="594">
        <v>0.94599999999999995</v>
      </c>
      <c r="X111" s="595">
        <f t="shared" si="47"/>
        <v>114801.82999999999</v>
      </c>
      <c r="Y111" s="594">
        <v>0.94399999999999995</v>
      </c>
      <c r="Z111" s="577">
        <f>K111*Y111</f>
        <v>79019.407999999996</v>
      </c>
      <c r="AA111" s="2328" t="s">
        <v>1331</v>
      </c>
      <c r="AB111" s="597">
        <f t="shared" si="54"/>
        <v>81563.612260396781</v>
      </c>
      <c r="AC111" s="597">
        <f t="shared" si="55"/>
        <v>8551129109.3799992</v>
      </c>
      <c r="AD111" s="597">
        <f t="shared" si="56"/>
        <v>81391.173333842031</v>
      </c>
      <c r="AE111" s="610">
        <f>L111*Y111</f>
        <v>81391.173333842031</v>
      </c>
      <c r="AF111" s="572">
        <f t="shared" si="50"/>
        <v>70314.784</v>
      </c>
      <c r="AG111" s="572">
        <f t="shared" si="51"/>
        <v>0.52864</v>
      </c>
      <c r="AH111" s="600">
        <f t="shared" si="52"/>
        <v>4.604804644664637E-6</v>
      </c>
      <c r="AI111" s="559" t="s">
        <v>584</v>
      </c>
    </row>
    <row r="112" spans="1:35" ht="14.4" hidden="1" x14ac:dyDescent="0.3">
      <c r="A112" s="560" t="s">
        <v>568</v>
      </c>
      <c r="B112" s="557" t="str">
        <f t="shared" si="53"/>
        <v>1990s</v>
      </c>
      <c r="C112" s="561">
        <v>2001</v>
      </c>
      <c r="D112" s="562">
        <f t="shared" si="31"/>
        <v>1996</v>
      </c>
      <c r="E112" s="563">
        <f t="shared" si="32"/>
        <v>1998</v>
      </c>
      <c r="F112" s="586">
        <f t="shared" si="33"/>
        <v>117879</v>
      </c>
      <c r="G112" s="587">
        <f t="shared" si="34"/>
        <v>121355</v>
      </c>
      <c r="H112" s="587">
        <f t="shared" si="35"/>
        <v>119664</v>
      </c>
      <c r="I112" s="2122">
        <f t="shared" si="36"/>
        <v>74486</v>
      </c>
      <c r="J112" s="2126">
        <f t="shared" si="37"/>
        <v>0.7104731018695154</v>
      </c>
      <c r="K112" s="590">
        <f t="shared" si="38"/>
        <v>83707</v>
      </c>
      <c r="L112" s="591">
        <f t="shared" si="46"/>
        <v>86219.463277375035</v>
      </c>
      <c r="M112" s="589">
        <f t="shared" si="57"/>
        <v>74486</v>
      </c>
      <c r="N112" s="591">
        <f t="shared" si="58"/>
        <v>9039248530</v>
      </c>
      <c r="O112" s="569">
        <f t="shared" si="39"/>
        <v>3.3785175724115201E-4</v>
      </c>
      <c r="P112" s="592">
        <f t="shared" si="40"/>
        <v>0.7104731018695154</v>
      </c>
      <c r="Q112" s="571">
        <f t="shared" si="41"/>
        <v>0.63162914917970236</v>
      </c>
      <c r="R112" s="572">
        <f t="shared" si="42"/>
        <v>0.56000000000000005</v>
      </c>
      <c r="S112" s="573">
        <f t="shared" si="43"/>
        <v>6.2533426928733787E-2</v>
      </c>
      <c r="T112" s="574">
        <v>1.3</v>
      </c>
      <c r="U112" s="557">
        <f t="shared" si="44"/>
        <v>5</v>
      </c>
      <c r="V112" s="575">
        <f t="shared" si="45"/>
        <v>1</v>
      </c>
      <c r="W112" s="594">
        <v>0.02</v>
      </c>
      <c r="X112" s="595">
        <f t="shared" si="47"/>
        <v>2427.1</v>
      </c>
      <c r="Y112" s="594">
        <v>2.1999999999999999E-2</v>
      </c>
      <c r="Z112" s="577">
        <f>K112*Y112</f>
        <v>1841.5539999999999</v>
      </c>
      <c r="AA112" s="2328" t="s">
        <v>1331</v>
      </c>
      <c r="AB112" s="597">
        <f t="shared" si="54"/>
        <v>1724.3892655475008</v>
      </c>
      <c r="AC112" s="597">
        <f t="shared" si="55"/>
        <v>180784970.59999999</v>
      </c>
      <c r="AD112" s="597">
        <f t="shared" si="56"/>
        <v>1896.8281921022506</v>
      </c>
      <c r="AE112" s="610">
        <f>L112*Y112</f>
        <v>1896.8281921022506</v>
      </c>
      <c r="AF112" s="572">
        <f t="shared" si="50"/>
        <v>1638.692</v>
      </c>
      <c r="AG112" s="572">
        <f t="shared" si="51"/>
        <v>1.2320000000000001E-2</v>
      </c>
      <c r="AH112" s="600">
        <f t="shared" si="52"/>
        <v>5.0760166453792602E-6</v>
      </c>
      <c r="AI112" s="559" t="s">
        <v>585</v>
      </c>
    </row>
    <row r="113" spans="1:37" ht="14.4" hidden="1" x14ac:dyDescent="0.3">
      <c r="A113" s="560" t="s">
        <v>568</v>
      </c>
      <c r="B113" s="557" t="str">
        <f t="shared" si="53"/>
        <v>2000s</v>
      </c>
      <c r="C113" s="561">
        <v>2001</v>
      </c>
      <c r="D113" s="562">
        <f t="shared" si="31"/>
        <v>1997</v>
      </c>
      <c r="E113" s="563">
        <f t="shared" si="32"/>
        <v>2000</v>
      </c>
      <c r="F113" s="586">
        <f t="shared" si="33"/>
        <v>117879</v>
      </c>
      <c r="G113" s="587">
        <f t="shared" si="34"/>
        <v>121355</v>
      </c>
      <c r="H113" s="587">
        <f t="shared" si="35"/>
        <v>119664</v>
      </c>
      <c r="I113" s="2122">
        <f t="shared" si="36"/>
        <v>74486</v>
      </c>
      <c r="J113" s="2126">
        <f t="shared" si="37"/>
        <v>0.7104731018695154</v>
      </c>
      <c r="K113" s="590">
        <f t="shared" si="38"/>
        <v>83707</v>
      </c>
      <c r="L113" s="591">
        <f t="shared" si="46"/>
        <v>86219.463277375035</v>
      </c>
      <c r="M113" s="589">
        <f t="shared" si="57"/>
        <v>74486</v>
      </c>
      <c r="N113" s="591">
        <f t="shared" si="58"/>
        <v>9039248530</v>
      </c>
      <c r="O113" s="569">
        <f t="shared" si="39"/>
        <v>3.3785175724115201E-4</v>
      </c>
      <c r="P113" s="592">
        <f t="shared" si="40"/>
        <v>0.7104731018695154</v>
      </c>
      <c r="Q113" s="571">
        <f t="shared" si="41"/>
        <v>0.63162914917970236</v>
      </c>
      <c r="R113" s="572">
        <f t="shared" si="42"/>
        <v>0.56000000000000005</v>
      </c>
      <c r="S113" s="573">
        <f t="shared" si="43"/>
        <v>6.2533426928733787E-2</v>
      </c>
      <c r="T113" s="574">
        <v>2.1</v>
      </c>
      <c r="U113" s="557">
        <f t="shared" si="44"/>
        <v>4.0000000000000009</v>
      </c>
      <c r="V113" s="575">
        <f t="shared" si="45"/>
        <v>2</v>
      </c>
      <c r="W113" s="594">
        <v>3.0000000000000001E-3</v>
      </c>
      <c r="X113" s="595">
        <f t="shared" si="47"/>
        <v>364.065</v>
      </c>
      <c r="Y113" s="594">
        <v>4.8999999999999998E-4</v>
      </c>
      <c r="Z113" s="577">
        <f>K113*Y113</f>
        <v>41.01643</v>
      </c>
      <c r="AA113" s="2328" t="s">
        <v>1331</v>
      </c>
      <c r="AB113" s="597">
        <f t="shared" si="54"/>
        <v>258.65838983212512</v>
      </c>
      <c r="AC113" s="597">
        <f t="shared" si="55"/>
        <v>27117745.59</v>
      </c>
      <c r="AD113" s="597">
        <f>IF(Y113,L113*Y113,0)</f>
        <v>42.247537005913763</v>
      </c>
      <c r="AE113" s="610">
        <f>L113*Y113</f>
        <v>42.247537005913763</v>
      </c>
      <c r="AF113" s="572">
        <f t="shared" si="50"/>
        <v>36.498139999999999</v>
      </c>
      <c r="AG113" s="572">
        <f t="shared" si="51"/>
        <v>2.744E-4</v>
      </c>
      <c r="AH113" s="600">
        <f t="shared" si="52"/>
        <v>7.5371156249570824E-7</v>
      </c>
      <c r="AI113" s="559" t="s">
        <v>586</v>
      </c>
    </row>
    <row r="114" spans="1:37" ht="15" hidden="1" thickBot="1" x14ac:dyDescent="0.35">
      <c r="A114" s="560" t="s">
        <v>568</v>
      </c>
      <c r="B114" s="557" t="str">
        <f t="shared" si="53"/>
        <v>1990s</v>
      </c>
      <c r="C114" s="561">
        <v>2001</v>
      </c>
      <c r="D114" s="562">
        <f t="shared" si="31"/>
        <v>1996</v>
      </c>
      <c r="E114" s="563">
        <f t="shared" si="32"/>
        <v>1999</v>
      </c>
      <c r="F114" s="586">
        <f t="shared" si="33"/>
        <v>117879</v>
      </c>
      <c r="G114" s="587">
        <f t="shared" si="34"/>
        <v>121355</v>
      </c>
      <c r="H114" s="587">
        <f t="shared" si="35"/>
        <v>119664</v>
      </c>
      <c r="I114" s="2122">
        <f t="shared" si="36"/>
        <v>74486</v>
      </c>
      <c r="J114" s="2126">
        <f t="shared" si="37"/>
        <v>0.7104731018695154</v>
      </c>
      <c r="K114" s="590">
        <f t="shared" si="38"/>
        <v>83707</v>
      </c>
      <c r="L114" s="591">
        <f t="shared" si="46"/>
        <v>86219.463277375035</v>
      </c>
      <c r="M114" s="589">
        <f t="shared" si="57"/>
        <v>74486</v>
      </c>
      <c r="N114" s="591">
        <f t="shared" si="58"/>
        <v>9039248530</v>
      </c>
      <c r="O114" s="569">
        <f t="shared" si="39"/>
        <v>3.3785175724115201E-4</v>
      </c>
      <c r="P114" s="592">
        <f t="shared" si="40"/>
        <v>0.7104731018695154</v>
      </c>
      <c r="Q114" s="571">
        <f t="shared" si="41"/>
        <v>0.63162914917970236</v>
      </c>
      <c r="R114" s="572">
        <f t="shared" si="42"/>
        <v>0.56000000000000005</v>
      </c>
      <c r="S114" s="573">
        <f t="shared" si="43"/>
        <v>6.2533426928733787E-2</v>
      </c>
      <c r="T114" s="574">
        <v>2.2000000000000002</v>
      </c>
      <c r="U114" s="557">
        <f t="shared" si="44"/>
        <v>5.0000000000000018</v>
      </c>
      <c r="V114" s="575">
        <f t="shared" si="45"/>
        <v>2</v>
      </c>
      <c r="W114" s="594">
        <v>3.0000000000000001E-3</v>
      </c>
      <c r="X114" s="595">
        <f t="shared" si="47"/>
        <v>364.065</v>
      </c>
      <c r="Y114" s="594">
        <v>4.8999999999999998E-4</v>
      </c>
      <c r="Z114" s="577">
        <f>K114*Y114</f>
        <v>41.01643</v>
      </c>
      <c r="AA114" s="2328" t="s">
        <v>1331</v>
      </c>
      <c r="AB114" s="597">
        <f t="shared" si="54"/>
        <v>258.65838983212512</v>
      </c>
      <c r="AC114" s="597">
        <f t="shared" si="55"/>
        <v>27117745.59</v>
      </c>
      <c r="AD114" s="597">
        <f>IF(Y114,L114*Y114,0)</f>
        <v>42.247537005913763</v>
      </c>
      <c r="AE114" s="611">
        <f>L114*Y114</f>
        <v>42.247537005913763</v>
      </c>
      <c r="AF114" s="572">
        <f t="shared" si="50"/>
        <v>36.498139999999999</v>
      </c>
      <c r="AG114" s="572">
        <f t="shared" si="51"/>
        <v>2.744E-4</v>
      </c>
      <c r="AH114" s="600">
        <f t="shared" si="52"/>
        <v>7.5371156249570824E-7</v>
      </c>
      <c r="AI114" s="559" t="s">
        <v>587</v>
      </c>
    </row>
    <row r="115" spans="1:37" ht="14.4" hidden="1" x14ac:dyDescent="0.3">
      <c r="A115" s="560" t="s">
        <v>568</v>
      </c>
      <c r="B115" s="557" t="str">
        <f t="shared" si="53"/>
        <v>2000s</v>
      </c>
      <c r="C115" s="561">
        <v>2002</v>
      </c>
      <c r="D115" s="562">
        <f t="shared" si="31"/>
        <v>1999</v>
      </c>
      <c r="E115" s="563">
        <f t="shared" si="32"/>
        <v>2001</v>
      </c>
      <c r="F115" s="586">
        <f t="shared" si="33"/>
        <v>50557</v>
      </c>
      <c r="G115" s="587">
        <f t="shared" si="34"/>
        <v>51515</v>
      </c>
      <c r="H115" s="587">
        <f t="shared" si="35"/>
        <v>51496</v>
      </c>
      <c r="I115" s="2122">
        <f t="shared" si="36"/>
        <v>10659</v>
      </c>
      <c r="J115" s="2126">
        <f t="shared" si="37"/>
        <v>0.24050090252707582</v>
      </c>
      <c r="K115" s="590">
        <f t="shared" si="38"/>
        <v>14406</v>
      </c>
      <c r="L115" s="591">
        <f t="shared" si="46"/>
        <v>12389.40399368231</v>
      </c>
      <c r="M115" s="589">
        <f t="shared" si="57"/>
        <v>10659</v>
      </c>
      <c r="N115" s="591">
        <f t="shared" si="58"/>
        <v>549098385</v>
      </c>
      <c r="O115" s="569">
        <f t="shared" si="39"/>
        <v>1.2423565951664563E-3</v>
      </c>
      <c r="P115" s="592">
        <f t="shared" si="40"/>
        <v>0.24050090252707582</v>
      </c>
      <c r="Q115" s="571">
        <f t="shared" si="41"/>
        <v>0.25014670328380628</v>
      </c>
      <c r="R115" s="572">
        <f t="shared" si="42"/>
        <v>0.27</v>
      </c>
      <c r="S115" s="573">
        <f t="shared" si="43"/>
        <v>8.8317539226347677E-2</v>
      </c>
      <c r="T115" s="602">
        <v>1.1000000000000001</v>
      </c>
      <c r="U115" s="557">
        <f t="shared" si="44"/>
        <v>3.0000000000000009</v>
      </c>
      <c r="V115" s="575">
        <f t="shared" si="45"/>
        <v>1</v>
      </c>
      <c r="W115" s="608">
        <v>0.02</v>
      </c>
      <c r="X115" s="595">
        <f t="shared" si="47"/>
        <v>1030.3</v>
      </c>
      <c r="Y115" s="608">
        <v>9.0999999999999998E-2</v>
      </c>
      <c r="Z115" s="596">
        <f t="shared" ref="Z115:Z143" si="59">K115*W115</f>
        <v>288.12</v>
      </c>
      <c r="AA115" s="2329" t="s">
        <v>1330</v>
      </c>
      <c r="AB115" s="597">
        <f t="shared" si="54"/>
        <v>247.78807987364621</v>
      </c>
      <c r="AC115" s="597">
        <f t="shared" si="55"/>
        <v>10981967.700000001</v>
      </c>
      <c r="AD115" s="597">
        <f t="shared" si="56"/>
        <v>1127.4357634250903</v>
      </c>
      <c r="AE115" s="598">
        <f>L115*W115</f>
        <v>247.78807987364621</v>
      </c>
      <c r="AF115" s="572">
        <f t="shared" si="50"/>
        <v>969.96899999999994</v>
      </c>
      <c r="AG115" s="599">
        <f t="shared" si="51"/>
        <v>2.4570000000000002E-2</v>
      </c>
      <c r="AH115" s="600">
        <f t="shared" si="52"/>
        <v>2.3847423080656121E-5</v>
      </c>
      <c r="AI115" s="559" t="s">
        <v>588</v>
      </c>
    </row>
    <row r="116" spans="1:37" ht="14.4" hidden="1" x14ac:dyDescent="0.3">
      <c r="A116" s="560" t="s">
        <v>568</v>
      </c>
      <c r="B116" s="557" t="str">
        <f t="shared" si="53"/>
        <v>2000s</v>
      </c>
      <c r="C116" s="561">
        <v>2002</v>
      </c>
      <c r="D116" s="562">
        <f t="shared" si="31"/>
        <v>1998</v>
      </c>
      <c r="E116" s="563">
        <f t="shared" si="32"/>
        <v>2000</v>
      </c>
      <c r="F116" s="586">
        <f t="shared" si="33"/>
        <v>50557</v>
      </c>
      <c r="G116" s="587">
        <f t="shared" si="34"/>
        <v>51515</v>
      </c>
      <c r="H116" s="587">
        <f t="shared" si="35"/>
        <v>51496</v>
      </c>
      <c r="I116" s="2122">
        <f t="shared" si="36"/>
        <v>10659</v>
      </c>
      <c r="J116" s="2126">
        <f t="shared" si="37"/>
        <v>0.24050090252707582</v>
      </c>
      <c r="K116" s="590">
        <f t="shared" si="38"/>
        <v>14406</v>
      </c>
      <c r="L116" s="591">
        <f t="shared" si="46"/>
        <v>12389.40399368231</v>
      </c>
      <c r="M116" s="589">
        <f t="shared" si="57"/>
        <v>10659</v>
      </c>
      <c r="N116" s="591">
        <f t="shared" si="58"/>
        <v>549098385</v>
      </c>
      <c r="O116" s="569">
        <f t="shared" si="39"/>
        <v>1.2423565951664563E-3</v>
      </c>
      <c r="P116" s="592">
        <f t="shared" si="40"/>
        <v>0.24050090252707582</v>
      </c>
      <c r="Q116" s="571">
        <f t="shared" si="41"/>
        <v>0.25014670328380628</v>
      </c>
      <c r="R116" s="572">
        <f t="shared" si="42"/>
        <v>0.27</v>
      </c>
      <c r="S116" s="573">
        <f t="shared" si="43"/>
        <v>8.8317539226347677E-2</v>
      </c>
      <c r="T116" s="574">
        <v>1.2</v>
      </c>
      <c r="U116" s="557">
        <f t="shared" si="44"/>
        <v>3.9999999999999996</v>
      </c>
      <c r="V116" s="575">
        <f t="shared" si="45"/>
        <v>1</v>
      </c>
      <c r="W116" s="608">
        <v>0.497</v>
      </c>
      <c r="X116" s="595">
        <f t="shared" si="47"/>
        <v>25602.954999999998</v>
      </c>
      <c r="Y116" s="605">
        <v>0.55400000000000005</v>
      </c>
      <c r="Z116" s="596">
        <f t="shared" si="59"/>
        <v>7159.7820000000002</v>
      </c>
      <c r="AA116" s="2329" t="s">
        <v>1330</v>
      </c>
      <c r="AB116" s="597">
        <f t="shared" si="54"/>
        <v>6157.5337848601084</v>
      </c>
      <c r="AC116" s="597">
        <f t="shared" si="55"/>
        <v>272901897.34499997</v>
      </c>
      <c r="AD116" s="597">
        <f t="shared" si="56"/>
        <v>6863.7298125000007</v>
      </c>
      <c r="AE116" s="598">
        <f t="shared" ref="AE116:AE130" si="60">L116*W116</f>
        <v>6157.5337848601084</v>
      </c>
      <c r="AF116" s="572">
        <f t="shared" si="50"/>
        <v>5905.0860000000002</v>
      </c>
      <c r="AG116" s="572">
        <f t="shared" si="51"/>
        <v>0.14958000000000002</v>
      </c>
      <c r="AH116" s="600">
        <f t="shared" si="52"/>
        <v>5.8422943757859208E-6</v>
      </c>
      <c r="AI116" s="559" t="s">
        <v>589</v>
      </c>
    </row>
    <row r="117" spans="1:37" ht="14.4" hidden="1" x14ac:dyDescent="0.3">
      <c r="A117" s="560" t="s">
        <v>568</v>
      </c>
      <c r="B117" s="557" t="str">
        <f t="shared" si="53"/>
        <v>1990s</v>
      </c>
      <c r="C117" s="561">
        <v>2002</v>
      </c>
      <c r="D117" s="562">
        <f t="shared" si="31"/>
        <v>1997</v>
      </c>
      <c r="E117" s="563">
        <f t="shared" si="32"/>
        <v>1999</v>
      </c>
      <c r="F117" s="586">
        <f t="shared" si="33"/>
        <v>50557</v>
      </c>
      <c r="G117" s="587">
        <f t="shared" si="34"/>
        <v>51515</v>
      </c>
      <c r="H117" s="587">
        <f t="shared" si="35"/>
        <v>51496</v>
      </c>
      <c r="I117" s="2122">
        <f t="shared" si="36"/>
        <v>10659</v>
      </c>
      <c r="J117" s="2126">
        <f t="shared" si="37"/>
        <v>0.24050090252707582</v>
      </c>
      <c r="K117" s="590">
        <f t="shared" si="38"/>
        <v>14406</v>
      </c>
      <c r="L117" s="591">
        <f t="shared" si="46"/>
        <v>12389.40399368231</v>
      </c>
      <c r="M117" s="589">
        <f t="shared" si="57"/>
        <v>10659</v>
      </c>
      <c r="N117" s="591">
        <f t="shared" si="58"/>
        <v>549098385</v>
      </c>
      <c r="O117" s="569">
        <f t="shared" si="39"/>
        <v>1.2423565951664563E-3</v>
      </c>
      <c r="P117" s="592">
        <f t="shared" si="40"/>
        <v>0.24050090252707582</v>
      </c>
      <c r="Q117" s="571">
        <f t="shared" si="41"/>
        <v>0.25014670328380628</v>
      </c>
      <c r="R117" s="572">
        <f t="shared" si="42"/>
        <v>0.27</v>
      </c>
      <c r="S117" s="573">
        <f t="shared" si="43"/>
        <v>8.8317539226347677E-2</v>
      </c>
      <c r="T117" s="574">
        <v>1.3</v>
      </c>
      <c r="U117" s="557">
        <f t="shared" si="44"/>
        <v>5</v>
      </c>
      <c r="V117" s="575">
        <f t="shared" si="45"/>
        <v>1</v>
      </c>
      <c r="W117" s="608">
        <v>0.14799999999999999</v>
      </c>
      <c r="X117" s="595">
        <f t="shared" si="47"/>
        <v>7624.2199999999993</v>
      </c>
      <c r="Y117" s="605">
        <v>0.35399999999999998</v>
      </c>
      <c r="Z117" s="596">
        <f t="shared" si="59"/>
        <v>2132.0879999999997</v>
      </c>
      <c r="AA117" s="2329" t="s">
        <v>1330</v>
      </c>
      <c r="AB117" s="597">
        <f t="shared" si="54"/>
        <v>1833.6317910649818</v>
      </c>
      <c r="AC117" s="597">
        <f t="shared" si="55"/>
        <v>81266560.979999989</v>
      </c>
      <c r="AD117" s="597">
        <f t="shared" si="56"/>
        <v>4385.8490137635372</v>
      </c>
      <c r="AE117" s="598">
        <f t="shared" si="60"/>
        <v>1833.6317910649818</v>
      </c>
      <c r="AF117" s="572">
        <f t="shared" si="50"/>
        <v>3773.2859999999996</v>
      </c>
      <c r="AG117" s="572">
        <f t="shared" si="51"/>
        <v>9.5579999999999998E-2</v>
      </c>
      <c r="AH117" s="600">
        <f t="shared" si="52"/>
        <v>1.2536364375634491E-5</v>
      </c>
      <c r="AI117" s="559" t="s">
        <v>590</v>
      </c>
    </row>
    <row r="118" spans="1:37" ht="14.4" hidden="1" x14ac:dyDescent="0.3">
      <c r="A118" s="560" t="s">
        <v>568</v>
      </c>
      <c r="B118" s="557" t="str">
        <f t="shared" si="53"/>
        <v>2000s</v>
      </c>
      <c r="C118" s="561">
        <v>2002</v>
      </c>
      <c r="D118" s="562">
        <f t="shared" si="31"/>
        <v>1998</v>
      </c>
      <c r="E118" s="563">
        <f t="shared" si="32"/>
        <v>2001</v>
      </c>
      <c r="F118" s="586">
        <f t="shared" si="33"/>
        <v>50557</v>
      </c>
      <c r="G118" s="587">
        <f t="shared" si="34"/>
        <v>51515</v>
      </c>
      <c r="H118" s="587">
        <f t="shared" si="35"/>
        <v>51496</v>
      </c>
      <c r="I118" s="2122">
        <f t="shared" si="36"/>
        <v>10659</v>
      </c>
      <c r="J118" s="2126">
        <f t="shared" si="37"/>
        <v>0.24050090252707582</v>
      </c>
      <c r="K118" s="590">
        <f t="shared" si="38"/>
        <v>14406</v>
      </c>
      <c r="L118" s="591">
        <f t="shared" si="46"/>
        <v>12389.40399368231</v>
      </c>
      <c r="M118" s="589">
        <f t="shared" si="57"/>
        <v>10659</v>
      </c>
      <c r="N118" s="591">
        <f t="shared" si="58"/>
        <v>549098385</v>
      </c>
      <c r="O118" s="569">
        <f t="shared" si="39"/>
        <v>1.2423565951664563E-3</v>
      </c>
      <c r="P118" s="592">
        <f t="shared" si="40"/>
        <v>0.24050090252707582</v>
      </c>
      <c r="Q118" s="571">
        <f t="shared" si="41"/>
        <v>0.25014670328380628</v>
      </c>
      <c r="R118" s="572">
        <f t="shared" si="42"/>
        <v>0.27</v>
      </c>
      <c r="S118" s="573">
        <f t="shared" si="43"/>
        <v>8.8317539226347677E-2</v>
      </c>
      <c r="T118" s="574">
        <v>2.1</v>
      </c>
      <c r="U118" s="557">
        <f t="shared" si="44"/>
        <v>4.0000000000000009</v>
      </c>
      <c r="V118" s="575">
        <f t="shared" si="45"/>
        <v>2</v>
      </c>
      <c r="W118" s="608">
        <v>1.2999999999999999E-2</v>
      </c>
      <c r="X118" s="595">
        <f t="shared" si="47"/>
        <v>669.69499999999994</v>
      </c>
      <c r="Y118" s="594">
        <v>0</v>
      </c>
      <c r="Z118" s="596">
        <f t="shared" si="59"/>
        <v>187.27799999999999</v>
      </c>
      <c r="AA118" s="2329" t="s">
        <v>1330</v>
      </c>
      <c r="AB118" s="597">
        <f t="shared" si="54"/>
        <v>161.06225191787001</v>
      </c>
      <c r="AC118" s="597">
        <f t="shared" si="55"/>
        <v>7138279.0049999999</v>
      </c>
      <c r="AD118" s="597">
        <f>IF(Y118,L118*Y118,0)</f>
        <v>0</v>
      </c>
      <c r="AE118" s="598">
        <f t="shared" si="60"/>
        <v>161.06225191787001</v>
      </c>
      <c r="AF118" s="572">
        <f t="shared" si="50"/>
        <v>0</v>
      </c>
      <c r="AG118" s="572">
        <f t="shared" si="51"/>
        <v>0</v>
      </c>
      <c r="AH118" s="600">
        <f t="shared" si="52"/>
        <v>0</v>
      </c>
      <c r="AI118" s="559" t="s">
        <v>588</v>
      </c>
    </row>
    <row r="119" spans="1:37" ht="14.4" hidden="1" x14ac:dyDescent="0.3">
      <c r="A119" s="560" t="s">
        <v>568</v>
      </c>
      <c r="B119" s="557" t="str">
        <f t="shared" si="53"/>
        <v>2000s</v>
      </c>
      <c r="C119" s="561">
        <v>2002</v>
      </c>
      <c r="D119" s="562">
        <f t="shared" si="31"/>
        <v>1997</v>
      </c>
      <c r="E119" s="563">
        <f t="shared" si="32"/>
        <v>2000</v>
      </c>
      <c r="F119" s="586">
        <f t="shared" si="33"/>
        <v>50557</v>
      </c>
      <c r="G119" s="587">
        <f t="shared" si="34"/>
        <v>51515</v>
      </c>
      <c r="H119" s="587">
        <f t="shared" si="35"/>
        <v>51496</v>
      </c>
      <c r="I119" s="2122">
        <f t="shared" si="36"/>
        <v>10659</v>
      </c>
      <c r="J119" s="2126">
        <f t="shared" si="37"/>
        <v>0.24050090252707582</v>
      </c>
      <c r="K119" s="590">
        <f t="shared" si="38"/>
        <v>14406</v>
      </c>
      <c r="L119" s="591">
        <f t="shared" si="46"/>
        <v>12389.40399368231</v>
      </c>
      <c r="M119" s="589">
        <f t="shared" si="57"/>
        <v>10659</v>
      </c>
      <c r="N119" s="591">
        <f t="shared" si="58"/>
        <v>549098385</v>
      </c>
      <c r="O119" s="569">
        <f t="shared" si="39"/>
        <v>1.2423565951664563E-3</v>
      </c>
      <c r="P119" s="592">
        <f t="shared" si="40"/>
        <v>0.24050090252707582</v>
      </c>
      <c r="Q119" s="571">
        <f t="shared" si="41"/>
        <v>0.25014670328380628</v>
      </c>
      <c r="R119" s="572">
        <f t="shared" si="42"/>
        <v>0.27</v>
      </c>
      <c r="S119" s="573">
        <f t="shared" si="43"/>
        <v>8.8317539226347677E-2</v>
      </c>
      <c r="T119" s="574">
        <v>2.2000000000000002</v>
      </c>
      <c r="U119" s="557">
        <f t="shared" si="44"/>
        <v>5.0000000000000018</v>
      </c>
      <c r="V119" s="575">
        <f t="shared" si="45"/>
        <v>2</v>
      </c>
      <c r="W119" s="608">
        <v>0.221</v>
      </c>
      <c r="X119" s="595">
        <f t="shared" si="47"/>
        <v>11384.815000000001</v>
      </c>
      <c r="Y119" s="604">
        <v>0</v>
      </c>
      <c r="Z119" s="596">
        <f t="shared" si="59"/>
        <v>3183.7260000000001</v>
      </c>
      <c r="AA119" s="2329" t="s">
        <v>1330</v>
      </c>
      <c r="AB119" s="597">
        <f t="shared" si="54"/>
        <v>2738.0582826037908</v>
      </c>
      <c r="AC119" s="597">
        <f t="shared" si="55"/>
        <v>121350743.08500001</v>
      </c>
      <c r="AD119" s="597">
        <f>IF(Y119,L119*Y119,0)</f>
        <v>0</v>
      </c>
      <c r="AE119" s="598">
        <f t="shared" si="60"/>
        <v>2738.0582826037908</v>
      </c>
      <c r="AF119" s="572">
        <f t="shared" si="50"/>
        <v>0</v>
      </c>
      <c r="AG119" s="572">
        <f t="shared" si="51"/>
        <v>0</v>
      </c>
      <c r="AH119" s="600">
        <f t="shared" si="52"/>
        <v>0</v>
      </c>
      <c r="AI119" s="559" t="s">
        <v>591</v>
      </c>
    </row>
    <row r="120" spans="1:37" ht="14.4" hidden="1" x14ac:dyDescent="0.3">
      <c r="A120" s="560" t="s">
        <v>568</v>
      </c>
      <c r="B120" s="557" t="str">
        <f t="shared" si="53"/>
        <v>1990s</v>
      </c>
      <c r="C120" s="561">
        <v>2002</v>
      </c>
      <c r="D120" s="562">
        <f t="shared" si="31"/>
        <v>1996</v>
      </c>
      <c r="E120" s="563">
        <f t="shared" si="32"/>
        <v>1999</v>
      </c>
      <c r="F120" s="586">
        <f t="shared" si="33"/>
        <v>50557</v>
      </c>
      <c r="G120" s="587">
        <f t="shared" si="34"/>
        <v>51515</v>
      </c>
      <c r="H120" s="587">
        <f t="shared" si="35"/>
        <v>51496</v>
      </c>
      <c r="I120" s="2122">
        <f t="shared" si="36"/>
        <v>10659</v>
      </c>
      <c r="J120" s="2126">
        <f t="shared" si="37"/>
        <v>0.24050090252707582</v>
      </c>
      <c r="K120" s="590">
        <f t="shared" si="38"/>
        <v>14406</v>
      </c>
      <c r="L120" s="591">
        <f t="shared" si="46"/>
        <v>12389.40399368231</v>
      </c>
      <c r="M120" s="589">
        <f t="shared" si="57"/>
        <v>10659</v>
      </c>
      <c r="N120" s="591">
        <f t="shared" si="58"/>
        <v>549098385</v>
      </c>
      <c r="O120" s="569">
        <f t="shared" si="39"/>
        <v>1.2423565951664563E-3</v>
      </c>
      <c r="P120" s="592">
        <f t="shared" si="40"/>
        <v>0.24050090252707582</v>
      </c>
      <c r="Q120" s="571">
        <f t="shared" si="41"/>
        <v>0.25014670328380628</v>
      </c>
      <c r="R120" s="572">
        <f t="shared" si="42"/>
        <v>0.27</v>
      </c>
      <c r="S120" s="573">
        <f t="shared" si="43"/>
        <v>8.8317539226347677E-2</v>
      </c>
      <c r="T120" s="574">
        <v>2.2999999999999998</v>
      </c>
      <c r="U120" s="557">
        <f t="shared" si="44"/>
        <v>5.9999999999999982</v>
      </c>
      <c r="V120" s="575">
        <f t="shared" si="45"/>
        <v>2</v>
      </c>
      <c r="W120" s="608">
        <v>0.10100000000000001</v>
      </c>
      <c r="X120" s="595">
        <f t="shared" si="47"/>
        <v>5203.0150000000003</v>
      </c>
      <c r="Y120" s="612"/>
      <c r="Z120" s="596">
        <f t="shared" si="59"/>
        <v>1455.0060000000001</v>
      </c>
      <c r="AA120" s="2329" t="s">
        <v>1330</v>
      </c>
      <c r="AB120" s="597">
        <f t="shared" si="54"/>
        <v>1251.3298033619135</v>
      </c>
      <c r="AC120" s="597">
        <f t="shared" si="55"/>
        <v>55458936.885000005</v>
      </c>
      <c r="AD120" s="597">
        <f>IF(Y120,L120*Y120,0)</f>
        <v>0</v>
      </c>
      <c r="AE120" s="598">
        <f t="shared" si="60"/>
        <v>1251.3298033619135</v>
      </c>
      <c r="AH120" s="600"/>
    </row>
    <row r="121" spans="1:37" ht="14.4" hidden="1" x14ac:dyDescent="0.3">
      <c r="A121" s="560" t="s">
        <v>568</v>
      </c>
      <c r="B121" s="557" t="str">
        <f t="shared" si="53"/>
        <v>2000s</v>
      </c>
      <c r="C121" s="561">
        <v>2003</v>
      </c>
      <c r="D121" s="562">
        <f t="shared" si="31"/>
        <v>2000</v>
      </c>
      <c r="E121" s="563">
        <f t="shared" si="32"/>
        <v>2002</v>
      </c>
      <c r="F121" s="586">
        <f t="shared" si="33"/>
        <v>39291</v>
      </c>
      <c r="G121" s="587">
        <f t="shared" si="34"/>
        <v>40728</v>
      </c>
      <c r="H121" s="587">
        <f t="shared" si="35"/>
        <v>40728</v>
      </c>
      <c r="I121" s="2122">
        <f t="shared" si="36"/>
        <v>29374</v>
      </c>
      <c r="J121" s="2126">
        <f t="shared" si="37"/>
        <v>0.84459012622559593</v>
      </c>
      <c r="K121" s="590">
        <f t="shared" si="38"/>
        <v>34992</v>
      </c>
      <c r="L121" s="591">
        <f t="shared" si="46"/>
        <v>34398.46666091607</v>
      </c>
      <c r="M121" s="589">
        <f t="shared" si="57"/>
        <v>29374</v>
      </c>
      <c r="N121" s="591">
        <f t="shared" si="58"/>
        <v>1196344272</v>
      </c>
      <c r="O121" s="569">
        <f t="shared" si="39"/>
        <v>9.8212531919072868E-4</v>
      </c>
      <c r="P121" s="592">
        <f t="shared" si="40"/>
        <v>0.84459012622559593</v>
      </c>
      <c r="Q121" s="571">
        <f t="shared" si="41"/>
        <v>0.87278693528693529</v>
      </c>
      <c r="R121" s="572">
        <f t="shared" si="42"/>
        <v>0.84000000000000008</v>
      </c>
      <c r="S121" s="573">
        <f t="shared" si="43"/>
        <v>0.11832154782950305</v>
      </c>
      <c r="T121" s="574">
        <v>1.1000000000000001</v>
      </c>
      <c r="U121" s="557">
        <f t="shared" si="44"/>
        <v>3.0000000000000009</v>
      </c>
      <c r="V121" s="575">
        <f t="shared" si="45"/>
        <v>1</v>
      </c>
      <c r="W121" s="594">
        <v>0.27400000000000002</v>
      </c>
      <c r="X121" s="595">
        <f t="shared" si="47"/>
        <v>11159.472000000002</v>
      </c>
      <c r="Y121" s="594">
        <v>0.27</v>
      </c>
      <c r="Z121" s="596">
        <f t="shared" si="59"/>
        <v>9587.8080000000009</v>
      </c>
      <c r="AA121" s="2329" t="s">
        <v>1330</v>
      </c>
      <c r="AB121" s="597">
        <f t="shared" si="54"/>
        <v>9425.1798650910041</v>
      </c>
      <c r="AC121" s="597">
        <f t="shared" si="55"/>
        <v>327798330.528</v>
      </c>
      <c r="AD121" s="597">
        <f t="shared" si="56"/>
        <v>9287.5859984473391</v>
      </c>
      <c r="AE121" s="598">
        <f t="shared" si="60"/>
        <v>9425.1798650910041</v>
      </c>
      <c r="AF121" s="572">
        <f t="shared" ref="AF121:AF127" si="61">Y121*I121</f>
        <v>7930.9800000000005</v>
      </c>
      <c r="AG121" s="599">
        <f t="shared" ref="AG121:AG135" si="62">Y121*R121</f>
        <v>0.22680000000000003</v>
      </c>
      <c r="AH121" s="600">
        <f t="shared" ref="AH121:AH127" si="63">IF(X121=0,0,AG121/X121)</f>
        <v>2.0323542189092819E-5</v>
      </c>
      <c r="AI121" s="613" t="s">
        <v>592</v>
      </c>
    </row>
    <row r="122" spans="1:37" ht="14.4" hidden="1" x14ac:dyDescent="0.3">
      <c r="A122" s="560" t="s">
        <v>568</v>
      </c>
      <c r="B122" s="557" t="str">
        <f t="shared" si="53"/>
        <v>2000s</v>
      </c>
      <c r="C122" s="561">
        <v>2003</v>
      </c>
      <c r="D122" s="562">
        <f t="shared" si="31"/>
        <v>1999</v>
      </c>
      <c r="E122" s="563">
        <f t="shared" si="32"/>
        <v>2001</v>
      </c>
      <c r="F122" s="586">
        <f t="shared" si="33"/>
        <v>39291</v>
      </c>
      <c r="G122" s="587">
        <f t="shared" si="34"/>
        <v>40728</v>
      </c>
      <c r="H122" s="587">
        <f t="shared" si="35"/>
        <v>40728</v>
      </c>
      <c r="I122" s="2122">
        <f t="shared" si="36"/>
        <v>29374</v>
      </c>
      <c r="J122" s="2126">
        <f t="shared" si="37"/>
        <v>0.84459012622559593</v>
      </c>
      <c r="K122" s="590">
        <f t="shared" si="38"/>
        <v>34992</v>
      </c>
      <c r="L122" s="591">
        <f t="shared" si="46"/>
        <v>34398.46666091607</v>
      </c>
      <c r="M122" s="589">
        <f t="shared" si="57"/>
        <v>29374</v>
      </c>
      <c r="N122" s="591">
        <f t="shared" si="58"/>
        <v>1196344272</v>
      </c>
      <c r="O122" s="569">
        <f t="shared" si="39"/>
        <v>9.8212531919072868E-4</v>
      </c>
      <c r="P122" s="592">
        <f t="shared" si="40"/>
        <v>0.84459012622559593</v>
      </c>
      <c r="Q122" s="571">
        <f t="shared" si="41"/>
        <v>0.87278693528693529</v>
      </c>
      <c r="R122" s="572">
        <f t="shared" si="42"/>
        <v>0.84000000000000008</v>
      </c>
      <c r="S122" s="573">
        <f t="shared" si="43"/>
        <v>0.11832154782950305</v>
      </c>
      <c r="T122" s="574">
        <v>1.2</v>
      </c>
      <c r="U122" s="557">
        <f t="shared" si="44"/>
        <v>3.9999999999999996</v>
      </c>
      <c r="V122" s="575">
        <f t="shared" si="45"/>
        <v>1</v>
      </c>
      <c r="W122" s="594">
        <v>0.49</v>
      </c>
      <c r="X122" s="595">
        <f t="shared" si="47"/>
        <v>19956.72</v>
      </c>
      <c r="Y122" s="594">
        <v>0.51700000000000002</v>
      </c>
      <c r="Z122" s="596">
        <f t="shared" si="59"/>
        <v>17146.079999999998</v>
      </c>
      <c r="AA122" s="2329" t="s">
        <v>1330</v>
      </c>
      <c r="AB122" s="597">
        <f t="shared" si="54"/>
        <v>16855.248663848874</v>
      </c>
      <c r="AC122" s="597">
        <f t="shared" si="55"/>
        <v>586208693.27999997</v>
      </c>
      <c r="AD122" s="597">
        <f t="shared" si="56"/>
        <v>17784.007263693609</v>
      </c>
      <c r="AE122" s="598">
        <f t="shared" si="60"/>
        <v>16855.248663848874</v>
      </c>
      <c r="AF122" s="572">
        <f t="shared" si="61"/>
        <v>15186.358</v>
      </c>
      <c r="AG122" s="572">
        <f t="shared" si="62"/>
        <v>0.43428000000000005</v>
      </c>
      <c r="AH122" s="600">
        <f t="shared" si="63"/>
        <v>2.1761091000926006E-5</v>
      </c>
      <c r="AI122" s="613"/>
      <c r="AK122" s="614"/>
    </row>
    <row r="123" spans="1:37" ht="14.4" hidden="1" x14ac:dyDescent="0.3">
      <c r="A123" s="560" t="s">
        <v>568</v>
      </c>
      <c r="B123" s="557" t="str">
        <f t="shared" si="53"/>
        <v>2000s</v>
      </c>
      <c r="C123" s="561">
        <v>2003</v>
      </c>
      <c r="D123" s="562">
        <f t="shared" si="31"/>
        <v>1998</v>
      </c>
      <c r="E123" s="563">
        <f t="shared" si="32"/>
        <v>2000</v>
      </c>
      <c r="F123" s="586">
        <f t="shared" si="33"/>
        <v>39291</v>
      </c>
      <c r="G123" s="587">
        <f t="shared" si="34"/>
        <v>40728</v>
      </c>
      <c r="H123" s="587">
        <f t="shared" si="35"/>
        <v>40728</v>
      </c>
      <c r="I123" s="2122">
        <f t="shared" si="36"/>
        <v>29374</v>
      </c>
      <c r="J123" s="2126">
        <f t="shared" si="37"/>
        <v>0.84459012622559593</v>
      </c>
      <c r="K123" s="590">
        <f t="shared" si="38"/>
        <v>34992</v>
      </c>
      <c r="L123" s="591">
        <f t="shared" si="46"/>
        <v>34398.46666091607</v>
      </c>
      <c r="M123" s="589">
        <f t="shared" si="57"/>
        <v>29374</v>
      </c>
      <c r="N123" s="591">
        <f t="shared" si="58"/>
        <v>1196344272</v>
      </c>
      <c r="O123" s="569">
        <f t="shared" si="39"/>
        <v>9.8212531919072868E-4</v>
      </c>
      <c r="P123" s="592">
        <f t="shared" si="40"/>
        <v>0.84459012622559593</v>
      </c>
      <c r="Q123" s="571">
        <f t="shared" si="41"/>
        <v>0.87278693528693529</v>
      </c>
      <c r="R123" s="572">
        <f t="shared" si="42"/>
        <v>0.84000000000000008</v>
      </c>
      <c r="S123" s="573">
        <f t="shared" si="43"/>
        <v>0.11832154782950305</v>
      </c>
      <c r="T123" s="574">
        <v>1.3</v>
      </c>
      <c r="U123" s="557">
        <f t="shared" si="44"/>
        <v>5</v>
      </c>
      <c r="V123" s="575">
        <f t="shared" si="45"/>
        <v>1</v>
      </c>
      <c r="W123" s="608">
        <v>1.9E-2</v>
      </c>
      <c r="X123" s="595">
        <f t="shared" si="47"/>
        <v>773.83199999999999</v>
      </c>
      <c r="Y123" s="615">
        <v>0.125</v>
      </c>
      <c r="Z123" s="596">
        <f t="shared" si="59"/>
        <v>664.84799999999996</v>
      </c>
      <c r="AA123" s="2329" t="s">
        <v>1330</v>
      </c>
      <c r="AB123" s="597">
        <f t="shared" si="54"/>
        <v>653.57086655740534</v>
      </c>
      <c r="AC123" s="597">
        <f t="shared" si="55"/>
        <v>22730541.167999998</v>
      </c>
      <c r="AD123" s="597">
        <f t="shared" si="56"/>
        <v>4299.8083326145088</v>
      </c>
      <c r="AE123" s="598">
        <f t="shared" si="60"/>
        <v>653.57086655740534</v>
      </c>
      <c r="AF123" s="572">
        <f t="shared" si="61"/>
        <v>3671.75</v>
      </c>
      <c r="AG123" s="572">
        <f t="shared" si="62"/>
        <v>0.10500000000000001</v>
      </c>
      <c r="AH123" s="600">
        <f t="shared" si="63"/>
        <v>1.3568836646714018E-4</v>
      </c>
      <c r="AI123" s="613" t="s">
        <v>593</v>
      </c>
    </row>
    <row r="124" spans="1:37" ht="14.4" hidden="1" x14ac:dyDescent="0.3">
      <c r="A124" s="560" t="s">
        <v>568</v>
      </c>
      <c r="B124" s="557" t="str">
        <f t="shared" si="53"/>
        <v>2000s</v>
      </c>
      <c r="C124" s="561">
        <v>2003</v>
      </c>
      <c r="D124" s="562">
        <f t="shared" si="31"/>
        <v>1999</v>
      </c>
      <c r="E124" s="563">
        <f t="shared" si="32"/>
        <v>2002</v>
      </c>
      <c r="F124" s="586">
        <f t="shared" si="33"/>
        <v>39291</v>
      </c>
      <c r="G124" s="587">
        <f t="shared" si="34"/>
        <v>40728</v>
      </c>
      <c r="H124" s="587">
        <f t="shared" si="35"/>
        <v>40728</v>
      </c>
      <c r="I124" s="2122">
        <f t="shared" si="36"/>
        <v>29374</v>
      </c>
      <c r="J124" s="2126">
        <f t="shared" si="37"/>
        <v>0.84459012622559593</v>
      </c>
      <c r="K124" s="590">
        <f t="shared" si="38"/>
        <v>34992</v>
      </c>
      <c r="L124" s="591">
        <f t="shared" si="46"/>
        <v>34398.46666091607</v>
      </c>
      <c r="M124" s="589">
        <f t="shared" si="57"/>
        <v>29374</v>
      </c>
      <c r="N124" s="591">
        <f t="shared" si="58"/>
        <v>1196344272</v>
      </c>
      <c r="O124" s="569">
        <f t="shared" si="39"/>
        <v>9.8212531919072868E-4</v>
      </c>
      <c r="P124" s="592">
        <f t="shared" si="40"/>
        <v>0.84459012622559593</v>
      </c>
      <c r="Q124" s="571">
        <f t="shared" si="41"/>
        <v>0.87278693528693529</v>
      </c>
      <c r="R124" s="572">
        <f t="shared" si="42"/>
        <v>0.84000000000000008</v>
      </c>
      <c r="S124" s="573">
        <f t="shared" si="43"/>
        <v>0.11832154782950305</v>
      </c>
      <c r="T124" s="574">
        <v>2.1</v>
      </c>
      <c r="U124" s="557">
        <f t="shared" si="44"/>
        <v>4.0000000000000009</v>
      </c>
      <c r="V124" s="575">
        <f t="shared" si="45"/>
        <v>2</v>
      </c>
      <c r="W124" s="594">
        <v>5.2999999999999999E-2</v>
      </c>
      <c r="X124" s="595">
        <f t="shared" si="47"/>
        <v>2158.5839999999998</v>
      </c>
      <c r="Y124" s="594">
        <v>5.0999999999999997E-2</v>
      </c>
      <c r="Z124" s="596">
        <f t="shared" si="59"/>
        <v>1854.576</v>
      </c>
      <c r="AA124" s="2329" t="s">
        <v>1330</v>
      </c>
      <c r="AB124" s="597">
        <f t="shared" si="54"/>
        <v>1823.1187330285518</v>
      </c>
      <c r="AC124" s="597">
        <f t="shared" si="55"/>
        <v>63406246.416000001</v>
      </c>
      <c r="AD124" s="597">
        <f t="shared" si="56"/>
        <v>1754.3217997067195</v>
      </c>
      <c r="AE124" s="598">
        <f t="shared" si="60"/>
        <v>1823.1187330285518</v>
      </c>
      <c r="AF124" s="572">
        <f t="shared" si="61"/>
        <v>1498.0739999999998</v>
      </c>
      <c r="AG124" s="572">
        <f t="shared" si="62"/>
        <v>4.2840000000000003E-2</v>
      </c>
      <c r="AH124" s="600">
        <f t="shared" si="63"/>
        <v>1.9846343714212653E-5</v>
      </c>
      <c r="AI124" s="613"/>
    </row>
    <row r="125" spans="1:37" ht="14.4" hidden="1" x14ac:dyDescent="0.3">
      <c r="A125" s="560" t="s">
        <v>568</v>
      </c>
      <c r="B125" s="557" t="str">
        <f t="shared" si="53"/>
        <v>2000s</v>
      </c>
      <c r="C125" s="561">
        <v>2003</v>
      </c>
      <c r="D125" s="562">
        <f t="shared" si="31"/>
        <v>1998</v>
      </c>
      <c r="E125" s="563">
        <f t="shared" si="32"/>
        <v>2001</v>
      </c>
      <c r="F125" s="586">
        <f t="shared" si="33"/>
        <v>39291</v>
      </c>
      <c r="G125" s="587">
        <f t="shared" si="34"/>
        <v>40728</v>
      </c>
      <c r="H125" s="587">
        <f t="shared" si="35"/>
        <v>40728</v>
      </c>
      <c r="I125" s="2122">
        <f t="shared" si="36"/>
        <v>29374</v>
      </c>
      <c r="J125" s="2126">
        <f t="shared" si="37"/>
        <v>0.84459012622559593</v>
      </c>
      <c r="K125" s="590">
        <f t="shared" si="38"/>
        <v>34992</v>
      </c>
      <c r="L125" s="591">
        <f t="shared" si="46"/>
        <v>34398.46666091607</v>
      </c>
      <c r="M125" s="589">
        <f t="shared" si="57"/>
        <v>29374</v>
      </c>
      <c r="N125" s="591">
        <f t="shared" si="58"/>
        <v>1196344272</v>
      </c>
      <c r="O125" s="569">
        <f t="shared" si="39"/>
        <v>9.8212531919072868E-4</v>
      </c>
      <c r="P125" s="592">
        <f t="shared" si="40"/>
        <v>0.84459012622559593</v>
      </c>
      <c r="Q125" s="571">
        <f t="shared" si="41"/>
        <v>0.87278693528693529</v>
      </c>
      <c r="R125" s="572">
        <f t="shared" si="42"/>
        <v>0.84000000000000008</v>
      </c>
      <c r="S125" s="573">
        <f t="shared" si="43"/>
        <v>0.11832154782950305</v>
      </c>
      <c r="T125" s="574">
        <v>2.2000000000000002</v>
      </c>
      <c r="U125" s="557">
        <f t="shared" si="44"/>
        <v>5.0000000000000018</v>
      </c>
      <c r="V125" s="575">
        <f t="shared" si="45"/>
        <v>2</v>
      </c>
      <c r="W125" s="594">
        <v>8.0000000000000002E-3</v>
      </c>
      <c r="X125" s="595">
        <f t="shared" si="47"/>
        <v>325.82400000000001</v>
      </c>
      <c r="Y125" s="594">
        <v>0</v>
      </c>
      <c r="Z125" s="596">
        <f t="shared" si="59"/>
        <v>279.93599999999998</v>
      </c>
      <c r="AA125" s="2329" t="s">
        <v>1330</v>
      </c>
      <c r="AB125" s="597">
        <f t="shared" si="54"/>
        <v>275.18773328732857</v>
      </c>
      <c r="AC125" s="597">
        <f t="shared" si="55"/>
        <v>9570754.1760000009</v>
      </c>
      <c r="AD125" s="597">
        <f t="shared" ref="AD125:AD130" si="64">IF(Y125,L125*Y125,0)</f>
        <v>0</v>
      </c>
      <c r="AE125" s="598">
        <f t="shared" si="60"/>
        <v>275.18773328732857</v>
      </c>
      <c r="AF125" s="572">
        <f t="shared" si="61"/>
        <v>0</v>
      </c>
      <c r="AG125" s="572">
        <f t="shared" si="62"/>
        <v>0</v>
      </c>
      <c r="AH125" s="600">
        <f t="shared" si="63"/>
        <v>0</v>
      </c>
      <c r="AI125" s="613"/>
    </row>
    <row r="126" spans="1:37" ht="14.4" hidden="1" x14ac:dyDescent="0.3">
      <c r="A126" s="560" t="s">
        <v>568</v>
      </c>
      <c r="B126" s="557" t="str">
        <f t="shared" si="53"/>
        <v>2000s</v>
      </c>
      <c r="C126" s="561">
        <v>2003</v>
      </c>
      <c r="D126" s="562">
        <f t="shared" si="31"/>
        <v>1997</v>
      </c>
      <c r="E126" s="563">
        <f t="shared" si="32"/>
        <v>2000</v>
      </c>
      <c r="F126" s="586">
        <f t="shared" si="33"/>
        <v>39291</v>
      </c>
      <c r="G126" s="587">
        <f t="shared" si="34"/>
        <v>40728</v>
      </c>
      <c r="H126" s="587">
        <f t="shared" si="35"/>
        <v>40728</v>
      </c>
      <c r="I126" s="2122">
        <f t="shared" si="36"/>
        <v>29374</v>
      </c>
      <c r="J126" s="2126">
        <f t="shared" si="37"/>
        <v>0.84459012622559593</v>
      </c>
      <c r="K126" s="590">
        <f t="shared" si="38"/>
        <v>34992</v>
      </c>
      <c r="L126" s="591">
        <f t="shared" si="46"/>
        <v>34398.46666091607</v>
      </c>
      <c r="M126" s="589">
        <f t="shared" si="57"/>
        <v>29374</v>
      </c>
      <c r="N126" s="591">
        <f t="shared" si="58"/>
        <v>1196344272</v>
      </c>
      <c r="O126" s="569">
        <f t="shared" si="39"/>
        <v>9.8212531919072868E-4</v>
      </c>
      <c r="P126" s="592">
        <f t="shared" si="40"/>
        <v>0.84459012622559593</v>
      </c>
      <c r="Q126" s="571">
        <f t="shared" si="41"/>
        <v>0.87278693528693529</v>
      </c>
      <c r="R126" s="572">
        <f t="shared" si="42"/>
        <v>0.84000000000000008</v>
      </c>
      <c r="S126" s="573">
        <f t="shared" si="43"/>
        <v>0.11832154782950305</v>
      </c>
      <c r="T126" s="574">
        <v>2.2999999999999998</v>
      </c>
      <c r="U126" s="557">
        <f t="shared" si="44"/>
        <v>5.9999999999999982</v>
      </c>
      <c r="V126" s="575">
        <f t="shared" si="45"/>
        <v>2</v>
      </c>
      <c r="W126" s="608">
        <v>8.9999999999999993E-3</v>
      </c>
      <c r="X126" s="595">
        <f t="shared" si="47"/>
        <v>366.55199999999996</v>
      </c>
      <c r="Y126" s="612"/>
      <c r="Z126" s="596">
        <f t="shared" si="59"/>
        <v>314.928</v>
      </c>
      <c r="AA126" s="2329" t="s">
        <v>1330</v>
      </c>
      <c r="AB126" s="597">
        <f t="shared" si="54"/>
        <v>309.5861999482446</v>
      </c>
      <c r="AC126" s="597">
        <f t="shared" si="55"/>
        <v>10767098.447999999</v>
      </c>
      <c r="AD126" s="597">
        <f t="shared" si="64"/>
        <v>0</v>
      </c>
      <c r="AE126" s="598">
        <f t="shared" si="60"/>
        <v>309.5861999482446</v>
      </c>
      <c r="AF126" s="572">
        <f t="shared" si="61"/>
        <v>0</v>
      </c>
      <c r="AG126" s="572">
        <f t="shared" si="62"/>
        <v>0</v>
      </c>
      <c r="AH126" s="600">
        <f t="shared" si="63"/>
        <v>0</v>
      </c>
      <c r="AI126" s="616" t="s">
        <v>594</v>
      </c>
    </row>
    <row r="127" spans="1:37" ht="14.4" hidden="1" x14ac:dyDescent="0.3">
      <c r="A127" s="560" t="s">
        <v>568</v>
      </c>
      <c r="B127" s="557" t="str">
        <f t="shared" si="53"/>
        <v>2000s</v>
      </c>
      <c r="C127" s="561">
        <v>2003</v>
      </c>
      <c r="D127" s="562">
        <f t="shared" si="31"/>
        <v>1998</v>
      </c>
      <c r="E127" s="563">
        <f t="shared" si="32"/>
        <v>2002</v>
      </c>
      <c r="F127" s="586">
        <f t="shared" si="33"/>
        <v>39291</v>
      </c>
      <c r="G127" s="587">
        <f t="shared" si="34"/>
        <v>40728</v>
      </c>
      <c r="H127" s="587">
        <f t="shared" si="35"/>
        <v>40728</v>
      </c>
      <c r="I127" s="2122">
        <f t="shared" si="36"/>
        <v>29374</v>
      </c>
      <c r="J127" s="2126">
        <f t="shared" si="37"/>
        <v>0.84459012622559593</v>
      </c>
      <c r="K127" s="590">
        <f t="shared" si="38"/>
        <v>34992</v>
      </c>
      <c r="L127" s="591">
        <f t="shared" si="46"/>
        <v>34398.46666091607</v>
      </c>
      <c r="M127" s="589">
        <f t="shared" si="57"/>
        <v>29374</v>
      </c>
      <c r="N127" s="591">
        <f t="shared" si="58"/>
        <v>1196344272</v>
      </c>
      <c r="O127" s="569">
        <f t="shared" si="39"/>
        <v>9.8212531919072868E-4</v>
      </c>
      <c r="P127" s="592">
        <f t="shared" si="40"/>
        <v>0.84459012622559593</v>
      </c>
      <c r="Q127" s="571">
        <f t="shared" si="41"/>
        <v>0.87278693528693529</v>
      </c>
      <c r="R127" s="572">
        <f t="shared" si="42"/>
        <v>0.84000000000000008</v>
      </c>
      <c r="S127" s="573">
        <f t="shared" si="43"/>
        <v>0.11832154782950305</v>
      </c>
      <c r="T127" s="574">
        <v>3.1</v>
      </c>
      <c r="U127" s="557">
        <f t="shared" si="44"/>
        <v>5.0000000000000009</v>
      </c>
      <c r="V127" s="575">
        <f t="shared" si="45"/>
        <v>3</v>
      </c>
      <c r="W127" s="608">
        <f>0.178-SUM(W128:W131)</f>
        <v>6.9999999999999993E-2</v>
      </c>
      <c r="X127" s="595">
        <f t="shared" si="47"/>
        <v>2850.9599999999996</v>
      </c>
      <c r="Y127" s="612"/>
      <c r="Z127" s="596">
        <f t="shared" si="59"/>
        <v>2449.4399999999996</v>
      </c>
      <c r="AA127" s="2329" t="s">
        <v>1330</v>
      </c>
      <c r="AB127" s="597">
        <f t="shared" si="54"/>
        <v>2407.8926662641247</v>
      </c>
      <c r="AC127" s="597">
        <f t="shared" si="55"/>
        <v>83744099.039999992</v>
      </c>
      <c r="AD127" s="597">
        <f t="shared" si="64"/>
        <v>0</v>
      </c>
      <c r="AE127" s="598">
        <f t="shared" si="60"/>
        <v>2407.8926662641247</v>
      </c>
      <c r="AF127" s="572">
        <f t="shared" si="61"/>
        <v>0</v>
      </c>
      <c r="AG127" s="572">
        <f t="shared" si="62"/>
        <v>0</v>
      </c>
      <c r="AH127" s="600">
        <f t="shared" si="63"/>
        <v>0</v>
      </c>
      <c r="AI127" s="616"/>
    </row>
    <row r="128" spans="1:37" ht="14.4" hidden="1" x14ac:dyDescent="0.3">
      <c r="A128" s="560" t="s">
        <v>568</v>
      </c>
      <c r="B128" s="557" t="str">
        <f t="shared" si="53"/>
        <v>2000s</v>
      </c>
      <c r="C128" s="561">
        <v>2003</v>
      </c>
      <c r="D128" s="562">
        <f t="shared" ref="D128:D191" si="65">C128-U128</f>
        <v>1997</v>
      </c>
      <c r="E128" s="563">
        <f t="shared" ref="E128:E191" si="66">C128-(T128-INT(T128))*10</f>
        <v>2001</v>
      </c>
      <c r="F128" s="586">
        <f t="shared" si="33"/>
        <v>39291</v>
      </c>
      <c r="G128" s="587">
        <f t="shared" si="34"/>
        <v>40728</v>
      </c>
      <c r="H128" s="587">
        <f t="shared" si="35"/>
        <v>40728</v>
      </c>
      <c r="I128" s="2122">
        <f t="shared" si="36"/>
        <v>29374</v>
      </c>
      <c r="J128" s="2126">
        <f t="shared" si="37"/>
        <v>0.84459012622559593</v>
      </c>
      <c r="K128" s="590">
        <f t="shared" si="38"/>
        <v>34992</v>
      </c>
      <c r="L128" s="591">
        <f t="shared" si="46"/>
        <v>34398.46666091607</v>
      </c>
      <c r="M128" s="589">
        <f t="shared" si="57"/>
        <v>29374</v>
      </c>
      <c r="N128" s="591">
        <f t="shared" si="58"/>
        <v>1196344272</v>
      </c>
      <c r="O128" s="569">
        <f t="shared" si="39"/>
        <v>9.8212531919072868E-4</v>
      </c>
      <c r="P128" s="592">
        <f t="shared" si="40"/>
        <v>0.84459012622559593</v>
      </c>
      <c r="Q128" s="571">
        <f t="shared" si="41"/>
        <v>0.87278693528693529</v>
      </c>
      <c r="R128" s="572">
        <f t="shared" si="42"/>
        <v>0.84000000000000008</v>
      </c>
      <c r="S128" s="573">
        <f t="shared" si="43"/>
        <v>0.11832154782950305</v>
      </c>
      <c r="T128" s="574">
        <v>3.2</v>
      </c>
      <c r="U128" s="557">
        <f t="shared" si="44"/>
        <v>6.0000000000000018</v>
      </c>
      <c r="V128" s="575">
        <f t="shared" si="45"/>
        <v>3</v>
      </c>
      <c r="W128" s="608">
        <v>2.8000000000000001E-2</v>
      </c>
      <c r="X128" s="595">
        <f t="shared" si="47"/>
        <v>1140.384</v>
      </c>
      <c r="Y128" s="612"/>
      <c r="Z128" s="596">
        <f t="shared" si="59"/>
        <v>979.77600000000007</v>
      </c>
      <c r="AA128" s="2329" t="s">
        <v>1330</v>
      </c>
      <c r="AB128" s="597">
        <f t="shared" si="54"/>
        <v>963.15706650564994</v>
      </c>
      <c r="AC128" s="597">
        <f t="shared" si="55"/>
        <v>33497639.616</v>
      </c>
      <c r="AD128" s="597">
        <f t="shared" si="64"/>
        <v>0</v>
      </c>
      <c r="AE128" s="598">
        <f t="shared" si="60"/>
        <v>963.15706650564994</v>
      </c>
      <c r="AG128" s="572">
        <f t="shared" si="62"/>
        <v>0</v>
      </c>
      <c r="AH128" s="600"/>
      <c r="AI128" s="616" t="s">
        <v>595</v>
      </c>
    </row>
    <row r="129" spans="1:35" ht="14.4" hidden="1" x14ac:dyDescent="0.3">
      <c r="A129" s="560" t="s">
        <v>568</v>
      </c>
      <c r="B129" s="557" t="str">
        <f t="shared" si="53"/>
        <v>2000s</v>
      </c>
      <c r="C129" s="561">
        <v>2003</v>
      </c>
      <c r="D129" s="562">
        <f t="shared" si="65"/>
        <v>1996</v>
      </c>
      <c r="E129" s="563">
        <f t="shared" si="66"/>
        <v>2000</v>
      </c>
      <c r="F129" s="586">
        <f t="shared" si="33"/>
        <v>39291</v>
      </c>
      <c r="G129" s="587">
        <f t="shared" si="34"/>
        <v>40728</v>
      </c>
      <c r="H129" s="587">
        <f t="shared" si="35"/>
        <v>40728</v>
      </c>
      <c r="I129" s="2122">
        <f t="shared" si="36"/>
        <v>29374</v>
      </c>
      <c r="J129" s="2126">
        <f t="shared" si="37"/>
        <v>0.84459012622559593</v>
      </c>
      <c r="K129" s="590">
        <f t="shared" si="38"/>
        <v>34992</v>
      </c>
      <c r="L129" s="591">
        <f t="shared" si="46"/>
        <v>34398.46666091607</v>
      </c>
      <c r="M129" s="589">
        <f t="shared" si="57"/>
        <v>29374</v>
      </c>
      <c r="N129" s="591">
        <f t="shared" si="58"/>
        <v>1196344272</v>
      </c>
      <c r="O129" s="569">
        <f t="shared" si="39"/>
        <v>9.8212531919072868E-4</v>
      </c>
      <c r="P129" s="592">
        <f t="shared" si="40"/>
        <v>0.84459012622559593</v>
      </c>
      <c r="Q129" s="571">
        <f t="shared" si="41"/>
        <v>0.87278693528693529</v>
      </c>
      <c r="R129" s="572">
        <f t="shared" si="42"/>
        <v>0.84000000000000008</v>
      </c>
      <c r="S129" s="573">
        <f t="shared" si="43"/>
        <v>0.11832154782950305</v>
      </c>
      <c r="T129" s="574">
        <v>3.3</v>
      </c>
      <c r="U129" s="557">
        <f t="shared" si="44"/>
        <v>6.9999999999999982</v>
      </c>
      <c r="V129" s="575">
        <f t="shared" si="45"/>
        <v>3</v>
      </c>
      <c r="W129" s="608">
        <v>1E-3</v>
      </c>
      <c r="X129" s="595">
        <f t="shared" si="47"/>
        <v>40.728000000000002</v>
      </c>
      <c r="Y129" s="612"/>
      <c r="Z129" s="596">
        <f t="shared" si="59"/>
        <v>34.991999999999997</v>
      </c>
      <c r="AA129" s="2329" t="s">
        <v>1330</v>
      </c>
      <c r="AB129" s="597">
        <f t="shared" si="54"/>
        <v>34.398466660916071</v>
      </c>
      <c r="AC129" s="597">
        <f t="shared" si="55"/>
        <v>1196344.2720000001</v>
      </c>
      <c r="AD129" s="597">
        <f t="shared" si="64"/>
        <v>0</v>
      </c>
      <c r="AE129" s="598">
        <f t="shared" si="60"/>
        <v>34.398466660916071</v>
      </c>
      <c r="AG129" s="572">
        <f t="shared" si="62"/>
        <v>0</v>
      </c>
      <c r="AH129" s="600"/>
      <c r="AI129" s="616"/>
    </row>
    <row r="130" spans="1:35" ht="14.4" hidden="1" x14ac:dyDescent="0.3">
      <c r="A130" s="560" t="s">
        <v>568</v>
      </c>
      <c r="B130" s="557" t="str">
        <f t="shared" si="53"/>
        <v>2000s</v>
      </c>
      <c r="C130" s="561">
        <v>2003</v>
      </c>
      <c r="D130" s="562">
        <f t="shared" si="65"/>
        <v>1997</v>
      </c>
      <c r="E130" s="563">
        <f t="shared" si="66"/>
        <v>2002</v>
      </c>
      <c r="F130" s="586">
        <f t="shared" ref="F130:F193" si="67">VLOOKUP($C130,SockeyeReturnsData,2)</f>
        <v>39291</v>
      </c>
      <c r="G130" s="587">
        <f t="shared" ref="G130:G193" si="68">VLOOKUP($C130,SockeyeReturnsData,3)</f>
        <v>40728</v>
      </c>
      <c r="H130" s="587">
        <f t="shared" ref="H130:H193" si="69">VLOOKUP($C130,SockeyeReturnsData,5)</f>
        <v>40728</v>
      </c>
      <c r="I130" s="2122">
        <f t="shared" ref="I130:I193" si="70">VLOOKUP($C130,SockeyeReturnsData,12)</f>
        <v>29374</v>
      </c>
      <c r="J130" s="2126">
        <f t="shared" ref="J130:J193" si="71">VLOOKUP($C130,SockeyeReturnsData,18)</f>
        <v>0.84459012622559593</v>
      </c>
      <c r="K130" s="590">
        <f t="shared" ref="K130:K193" si="72">VLOOKUP($C130,SockeyeReturnsData,30)</f>
        <v>34992</v>
      </c>
      <c r="L130" s="591">
        <f t="shared" si="46"/>
        <v>34398.46666091607</v>
      </c>
      <c r="M130" s="589">
        <f t="shared" si="57"/>
        <v>29374</v>
      </c>
      <c r="N130" s="591">
        <f t="shared" si="58"/>
        <v>1196344272</v>
      </c>
      <c r="O130" s="569">
        <f t="shared" ref="O130:O193" si="73">VLOOKUP($C130,SockeyeReturnsData,6)/G130</f>
        <v>9.8212531919072868E-4</v>
      </c>
      <c r="P130" s="592">
        <f t="shared" ref="P130:P193" si="74">VLOOKUP($C130,SockeyeReturnsData,18)</f>
        <v>0.84459012622559593</v>
      </c>
      <c r="Q130" s="571">
        <f t="shared" ref="Q130:Q193" si="75">VLOOKUP($C130,SockeyeReturnsData,20)</f>
        <v>0.87278693528693529</v>
      </c>
      <c r="R130" s="572">
        <f t="shared" ref="R130:R193" si="76">VLOOKUP($C130,SockeyeReturnsData,19)</f>
        <v>0.84000000000000008</v>
      </c>
      <c r="S130" s="573">
        <f t="shared" ref="S130:S193" si="77">VLOOKUP($C130,SockeyeReturnsData,24)</f>
        <v>0.11832154782950305</v>
      </c>
      <c r="T130" s="574">
        <v>4.0999999999999996</v>
      </c>
      <c r="U130" s="557">
        <f t="shared" ref="U130:U193" si="78">INT(T130) + (T130-INT(T130))*10 + 1</f>
        <v>5.9999999999999964</v>
      </c>
      <c r="V130" s="575">
        <f t="shared" ref="V130:V193" si="79">INT(T130)</f>
        <v>4</v>
      </c>
      <c r="W130" s="608">
        <v>4.8000000000000001E-2</v>
      </c>
      <c r="X130" s="595">
        <f t="shared" si="47"/>
        <v>1954.944</v>
      </c>
      <c r="Y130" s="612"/>
      <c r="Z130" s="596">
        <f t="shared" si="59"/>
        <v>1679.616</v>
      </c>
      <c r="AA130" s="2329" t="s">
        <v>1330</v>
      </c>
      <c r="AB130" s="597">
        <f t="shared" si="54"/>
        <v>1651.1263997239714</v>
      </c>
      <c r="AC130" s="597">
        <f t="shared" si="55"/>
        <v>57424525.056000002</v>
      </c>
      <c r="AD130" s="597">
        <f t="shared" si="64"/>
        <v>0</v>
      </c>
      <c r="AE130" s="598">
        <f t="shared" si="60"/>
        <v>1651.1263997239714</v>
      </c>
      <c r="AG130" s="572">
        <f t="shared" si="62"/>
        <v>0</v>
      </c>
      <c r="AH130" s="600"/>
      <c r="AI130" s="616"/>
    </row>
    <row r="131" spans="1:35" ht="14.4" hidden="1" x14ac:dyDescent="0.3">
      <c r="A131" s="560" t="s">
        <v>568</v>
      </c>
      <c r="B131" s="557" t="str">
        <f t="shared" si="53"/>
        <v>2000s</v>
      </c>
      <c r="C131" s="561">
        <v>2004</v>
      </c>
      <c r="D131" s="562">
        <f t="shared" si="65"/>
        <v>2001</v>
      </c>
      <c r="E131" s="563">
        <f t="shared" si="66"/>
        <v>2003</v>
      </c>
      <c r="F131" s="586">
        <f t="shared" si="67"/>
        <v>130231</v>
      </c>
      <c r="G131" s="587">
        <f t="shared" si="68"/>
        <v>129057</v>
      </c>
      <c r="H131" s="587">
        <f t="shared" si="69"/>
        <v>128385</v>
      </c>
      <c r="I131" s="2122">
        <f t="shared" si="70"/>
        <v>78053</v>
      </c>
      <c r="J131" s="2126">
        <f t="shared" si="71"/>
        <v>0.73175144844655282</v>
      </c>
      <c r="K131" s="590">
        <f t="shared" si="72"/>
        <v>91547</v>
      </c>
      <c r="L131" s="591">
        <f t="shared" ref="L131:L194" si="80">J131*G131</f>
        <v>94437.646682166771</v>
      </c>
      <c r="M131" s="589">
        <f t="shared" si="57"/>
        <v>78053</v>
      </c>
      <c r="N131" s="591">
        <f t="shared" si="58"/>
        <v>10073286021</v>
      </c>
      <c r="O131" s="569">
        <f t="shared" si="73"/>
        <v>9.1432467824294694E-4</v>
      </c>
      <c r="P131" s="592">
        <f t="shared" si="74"/>
        <v>0.73175144844655282</v>
      </c>
      <c r="Q131" s="571">
        <f t="shared" si="75"/>
        <v>0.75366728328952071</v>
      </c>
      <c r="R131" s="572">
        <f t="shared" si="76"/>
        <v>0.77000000000000013</v>
      </c>
      <c r="S131" s="573">
        <f t="shared" si="77"/>
        <v>0.13462631927405849</v>
      </c>
      <c r="T131" s="574">
        <v>1.1000000000000001</v>
      </c>
      <c r="U131" s="557">
        <f t="shared" si="78"/>
        <v>3.0000000000000009</v>
      </c>
      <c r="V131" s="575">
        <f t="shared" si="79"/>
        <v>1</v>
      </c>
      <c r="W131" s="594">
        <v>3.1E-2</v>
      </c>
      <c r="X131" s="595">
        <f t="shared" si="47"/>
        <v>4000.7669999999998</v>
      </c>
      <c r="Y131" s="594">
        <v>2.6365348399246705E-2</v>
      </c>
      <c r="Z131" s="596">
        <f t="shared" si="59"/>
        <v>2837.9569999999999</v>
      </c>
      <c r="AA131" s="2329" t="s">
        <v>1330</v>
      </c>
      <c r="AB131" s="597">
        <f t="shared" si="54"/>
        <v>2927.5670471471699</v>
      </c>
      <c r="AC131" s="597">
        <f t="shared" si="55"/>
        <v>312271866.65100002</v>
      </c>
      <c r="AD131" s="597">
        <f t="shared" si="56"/>
        <v>2489.8814567802915</v>
      </c>
      <c r="AE131" s="598">
        <f>L131*W131</f>
        <v>2927.5670471471699</v>
      </c>
      <c r="AF131" s="572">
        <f>Y131*I131</f>
        <v>2057.8945386064029</v>
      </c>
      <c r="AG131" s="599">
        <f t="shared" si="62"/>
        <v>2.0301318267419967E-2</v>
      </c>
      <c r="AH131" s="600">
        <f>IF(X131=0,0,AG131/X131)</f>
        <v>5.0743565589848065E-6</v>
      </c>
      <c r="AI131" s="613" t="s">
        <v>596</v>
      </c>
    </row>
    <row r="132" spans="1:35" ht="14.4" hidden="1" x14ac:dyDescent="0.3">
      <c r="A132" s="560" t="s">
        <v>568</v>
      </c>
      <c r="B132" s="557" t="str">
        <f t="shared" si="53"/>
        <v>2000s</v>
      </c>
      <c r="C132" s="561">
        <v>2004</v>
      </c>
      <c r="D132" s="562">
        <f t="shared" si="65"/>
        <v>2000</v>
      </c>
      <c r="E132" s="563">
        <f t="shared" si="66"/>
        <v>2002</v>
      </c>
      <c r="F132" s="586">
        <f t="shared" si="67"/>
        <v>130231</v>
      </c>
      <c r="G132" s="587">
        <f t="shared" si="68"/>
        <v>129057</v>
      </c>
      <c r="H132" s="587">
        <f t="shared" si="69"/>
        <v>128385</v>
      </c>
      <c r="I132" s="2122">
        <f t="shared" si="70"/>
        <v>78053</v>
      </c>
      <c r="J132" s="2126">
        <f t="shared" si="71"/>
        <v>0.73175144844655282</v>
      </c>
      <c r="K132" s="590">
        <f t="shared" si="72"/>
        <v>91547</v>
      </c>
      <c r="L132" s="591">
        <f t="shared" si="80"/>
        <v>94437.646682166771</v>
      </c>
      <c r="M132" s="589">
        <f t="shared" si="57"/>
        <v>78053</v>
      </c>
      <c r="N132" s="591">
        <f t="shared" si="58"/>
        <v>10073286021</v>
      </c>
      <c r="O132" s="569">
        <f t="shared" si="73"/>
        <v>9.1432467824294694E-4</v>
      </c>
      <c r="P132" s="592">
        <f t="shared" si="74"/>
        <v>0.73175144844655282</v>
      </c>
      <c r="Q132" s="571">
        <f t="shared" si="75"/>
        <v>0.75366728328952071</v>
      </c>
      <c r="R132" s="572">
        <f t="shared" si="76"/>
        <v>0.77000000000000013</v>
      </c>
      <c r="S132" s="573">
        <f t="shared" si="77"/>
        <v>0.13462631927405849</v>
      </c>
      <c r="T132" s="574">
        <v>1.2</v>
      </c>
      <c r="U132" s="557">
        <f t="shared" si="78"/>
        <v>3.9999999999999996</v>
      </c>
      <c r="V132" s="575">
        <f t="shared" si="79"/>
        <v>1</v>
      </c>
      <c r="W132" s="594">
        <v>0.93400000000000005</v>
      </c>
      <c r="X132" s="595">
        <f t="shared" si="47"/>
        <v>120539.23800000001</v>
      </c>
      <c r="Y132" s="594">
        <v>0.95291902071563084</v>
      </c>
      <c r="Z132" s="596">
        <f t="shared" si="59"/>
        <v>85504.898000000001</v>
      </c>
      <c r="AA132" s="2329" t="s">
        <v>1330</v>
      </c>
      <c r="AB132" s="597">
        <f t="shared" si="54"/>
        <v>88204.762001143768</v>
      </c>
      <c r="AC132" s="597">
        <f t="shared" si="55"/>
        <v>9408449143.6140003</v>
      </c>
      <c r="AD132" s="597">
        <f t="shared" si="56"/>
        <v>89991.429795059099</v>
      </c>
      <c r="AE132" s="598">
        <f t="shared" ref="AE132:AE143" si="81">L132*W132</f>
        <v>88204.762001143768</v>
      </c>
      <c r="AF132" s="572">
        <f>Y132*I132</f>
        <v>74378.188323917129</v>
      </c>
      <c r="AG132" s="572">
        <f t="shared" si="62"/>
        <v>0.73374764595103592</v>
      </c>
      <c r="AH132" s="600">
        <f>IF(X132=0,0,AG132/X132)</f>
        <v>6.0872099253774593E-6</v>
      </c>
      <c r="AI132" s="613" t="s">
        <v>597</v>
      </c>
    </row>
    <row r="133" spans="1:35" ht="14.4" hidden="1" x14ac:dyDescent="0.3">
      <c r="A133" s="560" t="s">
        <v>568</v>
      </c>
      <c r="B133" s="557" t="str">
        <f t="shared" si="53"/>
        <v>2000s</v>
      </c>
      <c r="C133" s="561">
        <v>2004</v>
      </c>
      <c r="D133" s="562">
        <f t="shared" si="65"/>
        <v>1999</v>
      </c>
      <c r="E133" s="563">
        <f t="shared" si="66"/>
        <v>2001</v>
      </c>
      <c r="F133" s="586">
        <f t="shared" si="67"/>
        <v>130231</v>
      </c>
      <c r="G133" s="587">
        <f t="shared" si="68"/>
        <v>129057</v>
      </c>
      <c r="H133" s="587">
        <f t="shared" si="69"/>
        <v>128385</v>
      </c>
      <c r="I133" s="2122">
        <f t="shared" si="70"/>
        <v>78053</v>
      </c>
      <c r="J133" s="2126">
        <f t="shared" si="71"/>
        <v>0.73175144844655282</v>
      </c>
      <c r="K133" s="590">
        <f t="shared" si="72"/>
        <v>91547</v>
      </c>
      <c r="L133" s="591">
        <f t="shared" si="80"/>
        <v>94437.646682166771</v>
      </c>
      <c r="M133" s="589">
        <f t="shared" si="57"/>
        <v>78053</v>
      </c>
      <c r="N133" s="591">
        <f t="shared" si="58"/>
        <v>10073286021</v>
      </c>
      <c r="O133" s="569">
        <f t="shared" si="73"/>
        <v>9.1432467824294694E-4</v>
      </c>
      <c r="P133" s="592">
        <f t="shared" si="74"/>
        <v>0.73175144844655282</v>
      </c>
      <c r="Q133" s="571">
        <f t="shared" si="75"/>
        <v>0.75366728328952071</v>
      </c>
      <c r="R133" s="572">
        <f t="shared" si="76"/>
        <v>0.77000000000000013</v>
      </c>
      <c r="S133" s="573">
        <f t="shared" si="77"/>
        <v>0.13462631927405849</v>
      </c>
      <c r="T133" s="574">
        <v>1.3</v>
      </c>
      <c r="U133" s="557">
        <f t="shared" si="78"/>
        <v>5</v>
      </c>
      <c r="V133" s="575">
        <f t="shared" si="79"/>
        <v>1</v>
      </c>
      <c r="W133" s="594">
        <v>0</v>
      </c>
      <c r="X133" s="595">
        <f t="shared" si="47"/>
        <v>0</v>
      </c>
      <c r="Y133" s="594">
        <v>1.8832391713747645E-2</v>
      </c>
      <c r="Z133" s="596">
        <f t="shared" si="59"/>
        <v>0</v>
      </c>
      <c r="AA133" s="2329" t="s">
        <v>1330</v>
      </c>
      <c r="AB133" s="597">
        <f t="shared" si="54"/>
        <v>0</v>
      </c>
      <c r="AC133" s="597">
        <f t="shared" si="55"/>
        <v>0</v>
      </c>
      <c r="AD133" s="597">
        <f t="shared" si="56"/>
        <v>1778.4867548430652</v>
      </c>
      <c r="AE133" s="598">
        <f t="shared" si="81"/>
        <v>0</v>
      </c>
      <c r="AF133" s="572">
        <f>Y133*I133</f>
        <v>1469.9246704331449</v>
      </c>
      <c r="AG133" s="572">
        <f t="shared" si="62"/>
        <v>1.4500941619585688E-2</v>
      </c>
      <c r="AH133" s="600">
        <f>IF(X133=0,0,AG133/X133)</f>
        <v>0</v>
      </c>
      <c r="AI133" s="613" t="s">
        <v>598</v>
      </c>
    </row>
    <row r="134" spans="1:35" ht="14.4" hidden="1" x14ac:dyDescent="0.3">
      <c r="A134" s="560" t="s">
        <v>568</v>
      </c>
      <c r="B134" s="557" t="str">
        <f t="shared" si="53"/>
        <v>2000s</v>
      </c>
      <c r="C134" s="561">
        <v>2004</v>
      </c>
      <c r="D134" s="562">
        <f t="shared" si="65"/>
        <v>2000</v>
      </c>
      <c r="E134" s="563">
        <f t="shared" si="66"/>
        <v>2003</v>
      </c>
      <c r="F134" s="586">
        <f t="shared" si="67"/>
        <v>130231</v>
      </c>
      <c r="G134" s="587">
        <f t="shared" si="68"/>
        <v>129057</v>
      </c>
      <c r="H134" s="587">
        <f t="shared" si="69"/>
        <v>128385</v>
      </c>
      <c r="I134" s="2122">
        <f t="shared" si="70"/>
        <v>78053</v>
      </c>
      <c r="J134" s="2126">
        <f t="shared" si="71"/>
        <v>0.73175144844655282</v>
      </c>
      <c r="K134" s="590">
        <f t="shared" si="72"/>
        <v>91547</v>
      </c>
      <c r="L134" s="591">
        <f t="shared" si="80"/>
        <v>94437.646682166771</v>
      </c>
      <c r="M134" s="589">
        <f t="shared" si="57"/>
        <v>78053</v>
      </c>
      <c r="N134" s="591">
        <f t="shared" si="58"/>
        <v>10073286021</v>
      </c>
      <c r="O134" s="569">
        <f t="shared" si="73"/>
        <v>9.1432467824294694E-4</v>
      </c>
      <c r="P134" s="592">
        <f t="shared" si="74"/>
        <v>0.73175144844655282</v>
      </c>
      <c r="Q134" s="571">
        <f t="shared" si="75"/>
        <v>0.75366728328952071</v>
      </c>
      <c r="R134" s="572">
        <f t="shared" si="76"/>
        <v>0.77000000000000013</v>
      </c>
      <c r="S134" s="573">
        <f t="shared" si="77"/>
        <v>0.13462631927405849</v>
      </c>
      <c r="T134" s="574">
        <v>2.1</v>
      </c>
      <c r="U134" s="557">
        <f t="shared" si="78"/>
        <v>4.0000000000000009</v>
      </c>
      <c r="V134" s="575">
        <f t="shared" si="79"/>
        <v>2</v>
      </c>
      <c r="W134" s="594">
        <v>3.0000000000000001E-3</v>
      </c>
      <c r="X134" s="595">
        <f t="shared" si="47"/>
        <v>387.17099999999999</v>
      </c>
      <c r="Y134" s="594">
        <v>0</v>
      </c>
      <c r="Z134" s="596">
        <f t="shared" si="59"/>
        <v>274.64100000000002</v>
      </c>
      <c r="AA134" s="2329" t="s">
        <v>1330</v>
      </c>
      <c r="AB134" s="597">
        <f t="shared" si="54"/>
        <v>283.31294004650033</v>
      </c>
      <c r="AC134" s="597">
        <f t="shared" si="55"/>
        <v>30219858.063000001</v>
      </c>
      <c r="AD134" s="597">
        <f>IF(Y134,L134*Y134,0)</f>
        <v>0</v>
      </c>
      <c r="AE134" s="598">
        <f t="shared" si="81"/>
        <v>283.31294004650033</v>
      </c>
      <c r="AF134" s="572">
        <f>Y134*I134</f>
        <v>0</v>
      </c>
      <c r="AG134" s="572">
        <f t="shared" si="62"/>
        <v>0</v>
      </c>
      <c r="AH134" s="600">
        <f>IF(X134=0,0,AG134/X134)</f>
        <v>0</v>
      </c>
      <c r="AI134" s="613" t="s">
        <v>599</v>
      </c>
    </row>
    <row r="135" spans="1:35" ht="14.4" hidden="1" x14ac:dyDescent="0.3">
      <c r="A135" s="560" t="s">
        <v>568</v>
      </c>
      <c r="B135" s="557" t="str">
        <f t="shared" si="53"/>
        <v>2000s</v>
      </c>
      <c r="C135" s="561">
        <v>2004</v>
      </c>
      <c r="D135" s="562">
        <f t="shared" si="65"/>
        <v>1999</v>
      </c>
      <c r="E135" s="563">
        <f t="shared" si="66"/>
        <v>2002</v>
      </c>
      <c r="F135" s="586">
        <f t="shared" si="67"/>
        <v>130231</v>
      </c>
      <c r="G135" s="587">
        <f t="shared" si="68"/>
        <v>129057</v>
      </c>
      <c r="H135" s="587">
        <f t="shared" si="69"/>
        <v>128385</v>
      </c>
      <c r="I135" s="2122">
        <f t="shared" si="70"/>
        <v>78053</v>
      </c>
      <c r="J135" s="2126">
        <f t="shared" si="71"/>
        <v>0.73175144844655282</v>
      </c>
      <c r="K135" s="590">
        <f t="shared" si="72"/>
        <v>91547</v>
      </c>
      <c r="L135" s="591">
        <f t="shared" si="80"/>
        <v>94437.646682166771</v>
      </c>
      <c r="M135" s="589">
        <f t="shared" si="57"/>
        <v>78053</v>
      </c>
      <c r="N135" s="591">
        <f t="shared" si="58"/>
        <v>10073286021</v>
      </c>
      <c r="O135" s="569">
        <f t="shared" si="73"/>
        <v>9.1432467824294694E-4</v>
      </c>
      <c r="P135" s="592">
        <f t="shared" si="74"/>
        <v>0.73175144844655282</v>
      </c>
      <c r="Q135" s="571">
        <f t="shared" si="75"/>
        <v>0.75366728328952071</v>
      </c>
      <c r="R135" s="572">
        <f t="shared" si="76"/>
        <v>0.77000000000000013</v>
      </c>
      <c r="S135" s="573">
        <f t="shared" si="77"/>
        <v>0.13462631927405849</v>
      </c>
      <c r="T135" s="574">
        <v>2.2000000000000002</v>
      </c>
      <c r="U135" s="557">
        <f t="shared" si="78"/>
        <v>5.0000000000000018</v>
      </c>
      <c r="V135" s="575">
        <f t="shared" si="79"/>
        <v>2</v>
      </c>
      <c r="W135" s="594">
        <v>1.4999999999999999E-2</v>
      </c>
      <c r="X135" s="595">
        <f t="shared" si="47"/>
        <v>1935.855</v>
      </c>
      <c r="Y135" s="594">
        <v>1.8832391713747645E-3</v>
      </c>
      <c r="Z135" s="596">
        <f t="shared" si="59"/>
        <v>1373.2049999999999</v>
      </c>
      <c r="AA135" s="2329" t="s">
        <v>1330</v>
      </c>
      <c r="AB135" s="597">
        <f t="shared" si="54"/>
        <v>1416.5647002325015</v>
      </c>
      <c r="AC135" s="597">
        <f t="shared" si="55"/>
        <v>151099290.315</v>
      </c>
      <c r="AD135" s="597">
        <f t="shared" si="56"/>
        <v>177.84867548430654</v>
      </c>
      <c r="AE135" s="598">
        <f t="shared" si="81"/>
        <v>1416.5647002325015</v>
      </c>
      <c r="AF135" s="572">
        <f>Y135*I135</f>
        <v>146.99246704331449</v>
      </c>
      <c r="AG135" s="572">
        <f t="shared" si="62"/>
        <v>1.4500941619585688E-3</v>
      </c>
      <c r="AH135" s="600">
        <f>IF(X135=0,0,AG135/X135)</f>
        <v>7.4907168251680459E-7</v>
      </c>
      <c r="AI135" s="613" t="s">
        <v>600</v>
      </c>
    </row>
    <row r="136" spans="1:35" ht="14.4" hidden="1" x14ac:dyDescent="0.3">
      <c r="A136" s="560" t="s">
        <v>568</v>
      </c>
      <c r="B136" s="557" t="str">
        <f t="shared" si="53"/>
        <v>2000s</v>
      </c>
      <c r="C136" s="561">
        <v>2004</v>
      </c>
      <c r="D136" s="562">
        <f t="shared" si="65"/>
        <v>1998</v>
      </c>
      <c r="E136" s="563">
        <f t="shared" si="66"/>
        <v>2001</v>
      </c>
      <c r="F136" s="586">
        <f t="shared" si="67"/>
        <v>130231</v>
      </c>
      <c r="G136" s="587">
        <f t="shared" si="68"/>
        <v>129057</v>
      </c>
      <c r="H136" s="587">
        <f t="shared" si="69"/>
        <v>128385</v>
      </c>
      <c r="I136" s="2122">
        <f t="shared" si="70"/>
        <v>78053</v>
      </c>
      <c r="J136" s="2126">
        <f t="shared" si="71"/>
        <v>0.73175144844655282</v>
      </c>
      <c r="K136" s="590">
        <f t="shared" si="72"/>
        <v>91547</v>
      </c>
      <c r="L136" s="591">
        <f t="shared" si="80"/>
        <v>94437.646682166771</v>
      </c>
      <c r="M136" s="589">
        <f t="shared" si="57"/>
        <v>78053</v>
      </c>
      <c r="N136" s="591">
        <f t="shared" si="58"/>
        <v>10073286021</v>
      </c>
      <c r="O136" s="569">
        <f t="shared" si="73"/>
        <v>9.1432467824294694E-4</v>
      </c>
      <c r="P136" s="592">
        <f t="shared" si="74"/>
        <v>0.73175144844655282</v>
      </c>
      <c r="Q136" s="571">
        <f t="shared" si="75"/>
        <v>0.75366728328952071</v>
      </c>
      <c r="R136" s="572">
        <f t="shared" si="76"/>
        <v>0.77000000000000013</v>
      </c>
      <c r="S136" s="573">
        <f t="shared" si="77"/>
        <v>0.13462631927405849</v>
      </c>
      <c r="T136" s="574">
        <v>2.2999999999999998</v>
      </c>
      <c r="U136" s="557">
        <f t="shared" si="78"/>
        <v>5.9999999999999982</v>
      </c>
      <c r="V136" s="575">
        <f t="shared" si="79"/>
        <v>2</v>
      </c>
      <c r="W136" s="594">
        <v>0</v>
      </c>
      <c r="X136" s="595">
        <f t="shared" si="47"/>
        <v>0</v>
      </c>
      <c r="Y136" s="612"/>
      <c r="Z136" s="596">
        <f t="shared" si="59"/>
        <v>0</v>
      </c>
      <c r="AA136" s="2329" t="s">
        <v>1330</v>
      </c>
      <c r="AB136" s="597">
        <f t="shared" si="54"/>
        <v>0</v>
      </c>
      <c r="AC136" s="597">
        <f t="shared" si="55"/>
        <v>0</v>
      </c>
      <c r="AD136" s="597">
        <f>IF(Y136,L136*Y136,0)</f>
        <v>0</v>
      </c>
      <c r="AE136" s="598">
        <f t="shared" si="81"/>
        <v>0</v>
      </c>
      <c r="AH136" s="600"/>
      <c r="AI136" s="613"/>
    </row>
    <row r="137" spans="1:35" ht="14.4" hidden="1" x14ac:dyDescent="0.3">
      <c r="A137" s="560" t="s">
        <v>568</v>
      </c>
      <c r="B137" s="557" t="str">
        <f t="shared" si="53"/>
        <v>2000s</v>
      </c>
      <c r="C137" s="561">
        <v>2004</v>
      </c>
      <c r="D137" s="562">
        <f t="shared" si="65"/>
        <v>1999</v>
      </c>
      <c r="E137" s="563">
        <f t="shared" si="66"/>
        <v>2003</v>
      </c>
      <c r="F137" s="586">
        <f t="shared" si="67"/>
        <v>130231</v>
      </c>
      <c r="G137" s="587">
        <f t="shared" si="68"/>
        <v>129057</v>
      </c>
      <c r="H137" s="587">
        <f t="shared" si="69"/>
        <v>128385</v>
      </c>
      <c r="I137" s="2122">
        <f t="shared" si="70"/>
        <v>78053</v>
      </c>
      <c r="J137" s="2126">
        <f t="shared" si="71"/>
        <v>0.73175144844655282</v>
      </c>
      <c r="K137" s="590">
        <f t="shared" si="72"/>
        <v>91547</v>
      </c>
      <c r="L137" s="591">
        <f t="shared" si="80"/>
        <v>94437.646682166771</v>
      </c>
      <c r="M137" s="589">
        <f t="shared" ref="M137:M168" si="82">VLOOKUP($C137,SockeyeReturnsData,12)</f>
        <v>78053</v>
      </c>
      <c r="N137" s="591">
        <f t="shared" si="58"/>
        <v>10073286021</v>
      </c>
      <c r="O137" s="569">
        <f t="shared" si="73"/>
        <v>9.1432467824294694E-4</v>
      </c>
      <c r="P137" s="592">
        <f t="shared" si="74"/>
        <v>0.73175144844655282</v>
      </c>
      <c r="Q137" s="571">
        <f t="shared" si="75"/>
        <v>0.75366728328952071</v>
      </c>
      <c r="R137" s="572">
        <f t="shared" si="76"/>
        <v>0.77000000000000013</v>
      </c>
      <c r="S137" s="573">
        <f t="shared" si="77"/>
        <v>0.13462631927405849</v>
      </c>
      <c r="T137" s="574">
        <v>3.1</v>
      </c>
      <c r="U137" s="557">
        <f t="shared" si="78"/>
        <v>5.0000000000000009</v>
      </c>
      <c r="V137" s="575">
        <f t="shared" si="79"/>
        <v>3</v>
      </c>
      <c r="W137" s="594">
        <v>1.7999999999999999E-2</v>
      </c>
      <c r="X137" s="595">
        <f t="shared" si="47"/>
        <v>2323.0259999999998</v>
      </c>
      <c r="Y137" s="612"/>
      <c r="Z137" s="596">
        <f t="shared" si="59"/>
        <v>1647.8459999999998</v>
      </c>
      <c r="AA137" s="2329" t="s">
        <v>1330</v>
      </c>
      <c r="AB137" s="597">
        <f t="shared" si="54"/>
        <v>1699.8776402790018</v>
      </c>
      <c r="AC137" s="597">
        <f t="shared" si="55"/>
        <v>181319148.37799999</v>
      </c>
      <c r="AD137" s="597">
        <f>IF(Y137,L137*Y137,0)</f>
        <v>0</v>
      </c>
      <c r="AE137" s="598">
        <f t="shared" si="81"/>
        <v>1699.8776402790018</v>
      </c>
      <c r="AH137" s="600"/>
      <c r="AI137" s="613"/>
    </row>
    <row r="138" spans="1:35" ht="14.4" hidden="1" x14ac:dyDescent="0.3">
      <c r="A138" s="560" t="s">
        <v>568</v>
      </c>
      <c r="B138" s="557" t="str">
        <f t="shared" si="53"/>
        <v>2000s</v>
      </c>
      <c r="C138" s="561">
        <v>2005</v>
      </c>
      <c r="D138" s="562">
        <f t="shared" si="65"/>
        <v>2002</v>
      </c>
      <c r="E138" s="563">
        <f t="shared" si="66"/>
        <v>2004</v>
      </c>
      <c r="F138" s="586">
        <f t="shared" si="67"/>
        <v>77399</v>
      </c>
      <c r="G138" s="587">
        <f t="shared" si="68"/>
        <v>75878</v>
      </c>
      <c r="H138" s="587">
        <f t="shared" si="69"/>
        <v>75874</v>
      </c>
      <c r="I138" s="2122">
        <f t="shared" si="70"/>
        <v>55559</v>
      </c>
      <c r="J138" s="2126">
        <f t="shared" si="71"/>
        <v>0.78003818830202454</v>
      </c>
      <c r="K138" s="590">
        <f t="shared" si="72"/>
        <v>59170</v>
      </c>
      <c r="L138" s="591">
        <f t="shared" si="80"/>
        <v>59187.73765198102</v>
      </c>
      <c r="M138" s="589">
        <f t="shared" si="82"/>
        <v>55559</v>
      </c>
      <c r="N138" s="591">
        <f t="shared" si="58"/>
        <v>4215705802</v>
      </c>
      <c r="O138" s="569">
        <f t="shared" si="73"/>
        <v>2.504019610427265E-4</v>
      </c>
      <c r="P138" s="592">
        <f t="shared" si="74"/>
        <v>0.78003818830202454</v>
      </c>
      <c r="Q138" s="571">
        <f t="shared" si="75"/>
        <v>0.78290130693413229</v>
      </c>
      <c r="R138" s="572">
        <f t="shared" si="76"/>
        <v>0.78000000000000014</v>
      </c>
      <c r="S138" s="573">
        <f t="shared" si="77"/>
        <v>2.4553865619316235E-2</v>
      </c>
      <c r="T138" s="574">
        <v>1.1000000000000001</v>
      </c>
      <c r="U138" s="557">
        <f t="shared" si="78"/>
        <v>3.0000000000000009</v>
      </c>
      <c r="V138" s="575">
        <f t="shared" si="79"/>
        <v>1</v>
      </c>
      <c r="W138" s="594">
        <v>1.4999999999999999E-2</v>
      </c>
      <c r="X138" s="595">
        <f t="shared" si="47"/>
        <v>1138.1699999999998</v>
      </c>
      <c r="Y138" s="594">
        <v>3.6496349999999997E-2</v>
      </c>
      <c r="Z138" s="596">
        <f t="shared" si="59"/>
        <v>887.55</v>
      </c>
      <c r="AA138" s="2329" t="s">
        <v>1330</v>
      </c>
      <c r="AB138" s="597">
        <f t="shared" si="54"/>
        <v>887.81606477971525</v>
      </c>
      <c r="AC138" s="597">
        <f t="shared" si="55"/>
        <v>63235587.030000001</v>
      </c>
      <c r="AD138" s="597">
        <f t="shared" si="56"/>
        <v>2160.1363890548773</v>
      </c>
      <c r="AE138" s="598">
        <f t="shared" si="81"/>
        <v>887.81606477971525</v>
      </c>
      <c r="AF138" s="572">
        <f t="shared" ref="AF138:AF148" si="83">Y138*I138</f>
        <v>2027.7007096499999</v>
      </c>
      <c r="AG138" s="599">
        <f t="shared" ref="AG138:AG148" si="84">Y138*R138</f>
        <v>2.8467153000000002E-2</v>
      </c>
      <c r="AH138" s="600">
        <f t="shared" ref="AH138:AH148" si="85">IF(X138=0,0,AG138/X138)</f>
        <v>2.5011336619309949E-5</v>
      </c>
      <c r="AI138" s="613" t="s">
        <v>601</v>
      </c>
    </row>
    <row r="139" spans="1:35" ht="14.4" hidden="1" x14ac:dyDescent="0.3">
      <c r="A139" s="560" t="s">
        <v>568</v>
      </c>
      <c r="B139" s="557" t="str">
        <f t="shared" si="53"/>
        <v>2000s</v>
      </c>
      <c r="C139" s="561">
        <v>2005</v>
      </c>
      <c r="D139" s="562">
        <f t="shared" si="65"/>
        <v>2001</v>
      </c>
      <c r="E139" s="563">
        <f t="shared" si="66"/>
        <v>2003</v>
      </c>
      <c r="F139" s="586">
        <f t="shared" si="67"/>
        <v>77399</v>
      </c>
      <c r="G139" s="587">
        <f t="shared" si="68"/>
        <v>75878</v>
      </c>
      <c r="H139" s="587">
        <f t="shared" si="69"/>
        <v>75874</v>
      </c>
      <c r="I139" s="2122">
        <f t="shared" si="70"/>
        <v>55559</v>
      </c>
      <c r="J139" s="2126">
        <f t="shared" si="71"/>
        <v>0.78003818830202454</v>
      </c>
      <c r="K139" s="590">
        <f t="shared" si="72"/>
        <v>59170</v>
      </c>
      <c r="L139" s="591">
        <f t="shared" si="80"/>
        <v>59187.73765198102</v>
      </c>
      <c r="M139" s="589">
        <f t="shared" si="82"/>
        <v>55559</v>
      </c>
      <c r="N139" s="591">
        <f t="shared" si="58"/>
        <v>4215705802</v>
      </c>
      <c r="O139" s="569">
        <f t="shared" si="73"/>
        <v>2.504019610427265E-4</v>
      </c>
      <c r="P139" s="592">
        <f t="shared" si="74"/>
        <v>0.78003818830202454</v>
      </c>
      <c r="Q139" s="571">
        <f t="shared" si="75"/>
        <v>0.78290130693413229</v>
      </c>
      <c r="R139" s="572">
        <f t="shared" si="76"/>
        <v>0.78000000000000014</v>
      </c>
      <c r="S139" s="573">
        <f t="shared" si="77"/>
        <v>2.4553865619316235E-2</v>
      </c>
      <c r="T139" s="574">
        <v>1.2</v>
      </c>
      <c r="U139" s="557">
        <f t="shared" si="78"/>
        <v>3.9999999999999996</v>
      </c>
      <c r="V139" s="575">
        <f t="shared" si="79"/>
        <v>1</v>
      </c>
      <c r="W139" s="594">
        <v>0.89100000000000001</v>
      </c>
      <c r="X139" s="595">
        <f t="shared" si="47"/>
        <v>67607.297999999995</v>
      </c>
      <c r="Y139" s="594">
        <v>0.96350360000000002</v>
      </c>
      <c r="Z139" s="596">
        <f t="shared" si="59"/>
        <v>52720.47</v>
      </c>
      <c r="AA139" s="2329" t="s">
        <v>1330</v>
      </c>
      <c r="AB139" s="597">
        <f t="shared" si="54"/>
        <v>52736.274247915091</v>
      </c>
      <c r="AC139" s="597">
        <f t="shared" si="55"/>
        <v>3756193869.5820003</v>
      </c>
      <c r="AD139" s="597">
        <f t="shared" si="56"/>
        <v>57027.598303539264</v>
      </c>
      <c r="AE139" s="598">
        <f t="shared" si="81"/>
        <v>52736.274247915091</v>
      </c>
      <c r="AF139" s="572">
        <f t="shared" si="83"/>
        <v>53531.296512400004</v>
      </c>
      <c r="AG139" s="572">
        <f t="shared" si="84"/>
        <v>0.75153280800000011</v>
      </c>
      <c r="AH139" s="600">
        <f t="shared" si="85"/>
        <v>1.1116149147093561E-5</v>
      </c>
      <c r="AI139" s="613" t="s">
        <v>602</v>
      </c>
    </row>
    <row r="140" spans="1:35" ht="14.4" hidden="1" x14ac:dyDescent="0.3">
      <c r="A140" s="560" t="s">
        <v>568</v>
      </c>
      <c r="B140" s="557" t="str">
        <f t="shared" si="53"/>
        <v>2000s</v>
      </c>
      <c r="C140" s="561">
        <v>2005</v>
      </c>
      <c r="D140" s="562">
        <f t="shared" si="65"/>
        <v>2000</v>
      </c>
      <c r="E140" s="563">
        <f t="shared" si="66"/>
        <v>2002</v>
      </c>
      <c r="F140" s="586">
        <f t="shared" si="67"/>
        <v>77399</v>
      </c>
      <c r="G140" s="587">
        <f t="shared" si="68"/>
        <v>75878</v>
      </c>
      <c r="H140" s="587">
        <f t="shared" si="69"/>
        <v>75874</v>
      </c>
      <c r="I140" s="2122">
        <f t="shared" si="70"/>
        <v>55559</v>
      </c>
      <c r="J140" s="2126">
        <f t="shared" si="71"/>
        <v>0.78003818830202454</v>
      </c>
      <c r="K140" s="590">
        <f t="shared" si="72"/>
        <v>59170</v>
      </c>
      <c r="L140" s="591">
        <f t="shared" si="80"/>
        <v>59187.73765198102</v>
      </c>
      <c r="M140" s="589">
        <f t="shared" si="82"/>
        <v>55559</v>
      </c>
      <c r="N140" s="591">
        <f t="shared" si="58"/>
        <v>4215705802</v>
      </c>
      <c r="O140" s="569">
        <f t="shared" si="73"/>
        <v>2.504019610427265E-4</v>
      </c>
      <c r="P140" s="592">
        <f t="shared" si="74"/>
        <v>0.78003818830202454</v>
      </c>
      <c r="Q140" s="571">
        <f t="shared" si="75"/>
        <v>0.78290130693413229</v>
      </c>
      <c r="R140" s="572">
        <f t="shared" si="76"/>
        <v>0.78000000000000014</v>
      </c>
      <c r="S140" s="573">
        <f t="shared" si="77"/>
        <v>2.4553865619316235E-2</v>
      </c>
      <c r="T140" s="574">
        <v>1.3</v>
      </c>
      <c r="U140" s="557">
        <f t="shared" si="78"/>
        <v>5</v>
      </c>
      <c r="V140" s="575">
        <f t="shared" si="79"/>
        <v>1</v>
      </c>
      <c r="W140" s="594">
        <v>3.9E-2</v>
      </c>
      <c r="X140" s="595">
        <f t="shared" si="47"/>
        <v>2959.2420000000002</v>
      </c>
      <c r="Y140" s="594">
        <v>2.919708E-2</v>
      </c>
      <c r="Z140" s="596">
        <f t="shared" si="59"/>
        <v>2307.63</v>
      </c>
      <c r="AA140" s="2329" t="s">
        <v>1330</v>
      </c>
      <c r="AB140" s="597">
        <f t="shared" si="54"/>
        <v>2308.3217684272599</v>
      </c>
      <c r="AC140" s="597">
        <f t="shared" si="55"/>
        <v>164412526.278</v>
      </c>
      <c r="AD140" s="597">
        <f t="shared" si="56"/>
        <v>1728.1091112439021</v>
      </c>
      <c r="AE140" s="598">
        <f t="shared" si="81"/>
        <v>2308.3217684272599</v>
      </c>
      <c r="AF140" s="572">
        <f t="shared" si="83"/>
        <v>1622.16056772</v>
      </c>
      <c r="AG140" s="572">
        <f t="shared" si="84"/>
        <v>2.2773722400000005E-2</v>
      </c>
      <c r="AH140" s="600">
        <f t="shared" si="85"/>
        <v>7.6957958828645989E-6</v>
      </c>
      <c r="AI140" s="613" t="s">
        <v>603</v>
      </c>
    </row>
    <row r="141" spans="1:35" ht="14.4" hidden="1" x14ac:dyDescent="0.3">
      <c r="A141" s="560" t="s">
        <v>568</v>
      </c>
      <c r="B141" s="557" t="str">
        <f t="shared" si="53"/>
        <v>2000s</v>
      </c>
      <c r="C141" s="561">
        <v>2005</v>
      </c>
      <c r="D141" s="562">
        <f t="shared" si="65"/>
        <v>2001</v>
      </c>
      <c r="E141" s="563">
        <f t="shared" si="66"/>
        <v>2004</v>
      </c>
      <c r="F141" s="586">
        <f t="shared" si="67"/>
        <v>77399</v>
      </c>
      <c r="G141" s="587">
        <f t="shared" si="68"/>
        <v>75878</v>
      </c>
      <c r="H141" s="587">
        <f t="shared" si="69"/>
        <v>75874</v>
      </c>
      <c r="I141" s="2122">
        <f t="shared" si="70"/>
        <v>55559</v>
      </c>
      <c r="J141" s="2126">
        <f t="shared" si="71"/>
        <v>0.78003818830202454</v>
      </c>
      <c r="K141" s="590">
        <f t="shared" si="72"/>
        <v>59170</v>
      </c>
      <c r="L141" s="591">
        <f t="shared" si="80"/>
        <v>59187.73765198102</v>
      </c>
      <c r="M141" s="589">
        <f t="shared" si="82"/>
        <v>55559</v>
      </c>
      <c r="N141" s="591">
        <f t="shared" si="58"/>
        <v>4215705802</v>
      </c>
      <c r="O141" s="569">
        <f t="shared" si="73"/>
        <v>2.504019610427265E-4</v>
      </c>
      <c r="P141" s="592">
        <f t="shared" si="74"/>
        <v>0.78003818830202454</v>
      </c>
      <c r="Q141" s="571">
        <f t="shared" si="75"/>
        <v>0.78290130693413229</v>
      </c>
      <c r="R141" s="572">
        <f t="shared" si="76"/>
        <v>0.78000000000000014</v>
      </c>
      <c r="S141" s="573">
        <f t="shared" si="77"/>
        <v>2.4553865619316235E-2</v>
      </c>
      <c r="T141" s="574">
        <v>2.1</v>
      </c>
      <c r="U141" s="557">
        <f t="shared" si="78"/>
        <v>4.0000000000000009</v>
      </c>
      <c r="V141" s="575">
        <f t="shared" si="79"/>
        <v>2</v>
      </c>
      <c r="W141" s="594">
        <v>2.3E-2</v>
      </c>
      <c r="X141" s="595">
        <f t="shared" si="47"/>
        <v>1745.194</v>
      </c>
      <c r="Y141" s="594">
        <v>0</v>
      </c>
      <c r="Z141" s="596">
        <f t="shared" si="59"/>
        <v>1360.91</v>
      </c>
      <c r="AA141" s="2329" t="s">
        <v>1330</v>
      </c>
      <c r="AB141" s="597">
        <f t="shared" si="54"/>
        <v>1361.3179659955636</v>
      </c>
      <c r="AC141" s="597">
        <f t="shared" si="55"/>
        <v>96961233.445999995</v>
      </c>
      <c r="AD141" s="597" t="str">
        <f t="shared" si="56"/>
        <v/>
      </c>
      <c r="AE141" s="598">
        <f t="shared" si="81"/>
        <v>1361.3179659955636</v>
      </c>
      <c r="AF141" s="572">
        <f t="shared" si="83"/>
        <v>0</v>
      </c>
      <c r="AG141" s="572">
        <f t="shared" si="84"/>
        <v>0</v>
      </c>
      <c r="AH141" s="600">
        <f t="shared" si="85"/>
        <v>0</v>
      </c>
      <c r="AI141" s="613" t="s">
        <v>604</v>
      </c>
    </row>
    <row r="142" spans="1:35" ht="14.4" hidden="1" x14ac:dyDescent="0.3">
      <c r="A142" s="560" t="s">
        <v>568</v>
      </c>
      <c r="B142" s="557" t="str">
        <f t="shared" si="53"/>
        <v>2000s</v>
      </c>
      <c r="C142" s="561">
        <v>2005</v>
      </c>
      <c r="D142" s="562">
        <f t="shared" si="65"/>
        <v>2000</v>
      </c>
      <c r="E142" s="563">
        <f t="shared" si="66"/>
        <v>2003</v>
      </c>
      <c r="F142" s="586">
        <f t="shared" si="67"/>
        <v>77399</v>
      </c>
      <c r="G142" s="587">
        <f t="shared" si="68"/>
        <v>75878</v>
      </c>
      <c r="H142" s="587">
        <f t="shared" si="69"/>
        <v>75874</v>
      </c>
      <c r="I142" s="2122">
        <f t="shared" si="70"/>
        <v>55559</v>
      </c>
      <c r="J142" s="2126">
        <f t="shared" si="71"/>
        <v>0.78003818830202454</v>
      </c>
      <c r="K142" s="590">
        <f t="shared" si="72"/>
        <v>59170</v>
      </c>
      <c r="L142" s="591">
        <f t="shared" si="80"/>
        <v>59187.73765198102</v>
      </c>
      <c r="M142" s="589">
        <f t="shared" si="82"/>
        <v>55559</v>
      </c>
      <c r="N142" s="591">
        <f t="shared" si="58"/>
        <v>4215705802</v>
      </c>
      <c r="O142" s="569">
        <f t="shared" si="73"/>
        <v>2.504019610427265E-4</v>
      </c>
      <c r="P142" s="592">
        <f t="shared" si="74"/>
        <v>0.78003818830202454</v>
      </c>
      <c r="Q142" s="571">
        <f t="shared" si="75"/>
        <v>0.78290130693413229</v>
      </c>
      <c r="R142" s="572">
        <f t="shared" si="76"/>
        <v>0.78000000000000014</v>
      </c>
      <c r="S142" s="573">
        <f t="shared" si="77"/>
        <v>2.4553865619316235E-2</v>
      </c>
      <c r="T142" s="574">
        <v>2.2000000000000002</v>
      </c>
      <c r="U142" s="557">
        <f t="shared" si="78"/>
        <v>5.0000000000000018</v>
      </c>
      <c r="V142" s="575">
        <f t="shared" si="79"/>
        <v>2</v>
      </c>
      <c r="W142" s="594">
        <v>1.9E-2</v>
      </c>
      <c r="X142" s="595">
        <f t="shared" si="47"/>
        <v>1441.682</v>
      </c>
      <c r="Y142" s="594">
        <v>3.6496349999999997E-2</v>
      </c>
      <c r="Z142" s="596">
        <f t="shared" si="59"/>
        <v>1124.23</v>
      </c>
      <c r="AA142" s="2329" t="s">
        <v>1330</v>
      </c>
      <c r="AB142" s="597">
        <f t="shared" si="54"/>
        <v>1124.5670153876395</v>
      </c>
      <c r="AC142" s="597">
        <f t="shared" si="55"/>
        <v>80098410.237999991</v>
      </c>
      <c r="AD142" s="597">
        <f t="shared" si="56"/>
        <v>2160.1363890548773</v>
      </c>
      <c r="AE142" s="598">
        <f t="shared" si="81"/>
        <v>1124.5670153876395</v>
      </c>
      <c r="AF142" s="572">
        <f t="shared" si="83"/>
        <v>2027.7007096499999</v>
      </c>
      <c r="AG142" s="572">
        <f t="shared" si="84"/>
        <v>2.8467153000000002E-2</v>
      </c>
      <c r="AH142" s="600">
        <f t="shared" si="85"/>
        <v>1.9745792067876275E-5</v>
      </c>
      <c r="AI142" s="613" t="s">
        <v>604</v>
      </c>
    </row>
    <row r="143" spans="1:35" ht="14.4" hidden="1" x14ac:dyDescent="0.3">
      <c r="A143" s="560" t="s">
        <v>568</v>
      </c>
      <c r="B143" s="557" t="str">
        <f t="shared" si="53"/>
        <v>2000s</v>
      </c>
      <c r="C143" s="561">
        <v>2005</v>
      </c>
      <c r="D143" s="562">
        <f t="shared" si="65"/>
        <v>1999</v>
      </c>
      <c r="E143" s="563">
        <f t="shared" si="66"/>
        <v>2002</v>
      </c>
      <c r="F143" s="586">
        <f t="shared" si="67"/>
        <v>77399</v>
      </c>
      <c r="G143" s="587">
        <f t="shared" si="68"/>
        <v>75878</v>
      </c>
      <c r="H143" s="587">
        <f t="shared" si="69"/>
        <v>75874</v>
      </c>
      <c r="I143" s="2122">
        <f t="shared" si="70"/>
        <v>55559</v>
      </c>
      <c r="J143" s="2126">
        <f t="shared" si="71"/>
        <v>0.78003818830202454</v>
      </c>
      <c r="K143" s="590">
        <f t="shared" si="72"/>
        <v>59170</v>
      </c>
      <c r="L143" s="591">
        <f t="shared" si="80"/>
        <v>59187.73765198102</v>
      </c>
      <c r="M143" s="589">
        <f t="shared" si="82"/>
        <v>55559</v>
      </c>
      <c r="N143" s="591">
        <f t="shared" si="58"/>
        <v>4215705802</v>
      </c>
      <c r="O143" s="569">
        <f t="shared" si="73"/>
        <v>2.504019610427265E-4</v>
      </c>
      <c r="P143" s="592">
        <f t="shared" si="74"/>
        <v>0.78003818830202454</v>
      </c>
      <c r="Q143" s="571">
        <f t="shared" si="75"/>
        <v>0.78290130693413229</v>
      </c>
      <c r="R143" s="572">
        <f t="shared" si="76"/>
        <v>0.78000000000000014</v>
      </c>
      <c r="S143" s="573">
        <f t="shared" si="77"/>
        <v>2.4553865619316235E-2</v>
      </c>
      <c r="T143" s="574">
        <v>2.2999999999999998</v>
      </c>
      <c r="U143" s="557">
        <f t="shared" si="78"/>
        <v>5.9999999999999982</v>
      </c>
      <c r="V143" s="575">
        <f t="shared" si="79"/>
        <v>2</v>
      </c>
      <c r="W143" s="594">
        <v>1.4E-2</v>
      </c>
      <c r="X143" s="595">
        <f t="shared" si="47"/>
        <v>1062.2919999999999</v>
      </c>
      <c r="Y143" s="612"/>
      <c r="Z143" s="596">
        <f t="shared" si="59"/>
        <v>828.38</v>
      </c>
      <c r="AA143" s="2329" t="s">
        <v>1330</v>
      </c>
      <c r="AB143" s="597">
        <f t="shared" si="54"/>
        <v>828.62832712773434</v>
      </c>
      <c r="AC143" s="597">
        <f t="shared" si="55"/>
        <v>59019881.228</v>
      </c>
      <c r="AD143" s="597">
        <f>IF(Y143,L143*Y143,0)</f>
        <v>0</v>
      </c>
      <c r="AE143" s="598">
        <f t="shared" si="81"/>
        <v>828.62832712773434</v>
      </c>
      <c r="AF143" s="572">
        <f t="shared" si="83"/>
        <v>0</v>
      </c>
      <c r="AG143" s="572">
        <f t="shared" si="84"/>
        <v>0</v>
      </c>
      <c r="AH143" s="600">
        <f t="shared" si="85"/>
        <v>0</v>
      </c>
    </row>
    <row r="144" spans="1:35" ht="14.4" hidden="1" x14ac:dyDescent="0.3">
      <c r="A144" s="560" t="s">
        <v>568</v>
      </c>
      <c r="B144" s="557" t="str">
        <f t="shared" si="53"/>
        <v>2000s</v>
      </c>
      <c r="C144" s="561">
        <v>2006</v>
      </c>
      <c r="D144" s="562">
        <f t="shared" si="65"/>
        <v>2003</v>
      </c>
      <c r="E144" s="563">
        <f t="shared" si="66"/>
        <v>2005</v>
      </c>
      <c r="F144" s="586">
        <f t="shared" si="67"/>
        <v>37067</v>
      </c>
      <c r="G144" s="587">
        <f t="shared" si="68"/>
        <v>38407</v>
      </c>
      <c r="H144" s="587">
        <f t="shared" si="69"/>
        <v>38406</v>
      </c>
      <c r="I144" s="2122">
        <f t="shared" si="70"/>
        <v>22075</v>
      </c>
      <c r="J144" s="2126">
        <f t="shared" si="71"/>
        <v>0.62834452920414441</v>
      </c>
      <c r="K144" s="590">
        <f t="shared" si="72"/>
        <v>27616</v>
      </c>
      <c r="L144" s="591">
        <f t="shared" si="80"/>
        <v>24132.828333143574</v>
      </c>
      <c r="M144" s="589">
        <f t="shared" si="82"/>
        <v>22075</v>
      </c>
      <c r="N144" s="591">
        <f t="shared" si="58"/>
        <v>847834525</v>
      </c>
      <c r="O144" s="569">
        <f t="shared" si="73"/>
        <v>1.3278829380060926E-3</v>
      </c>
      <c r="P144" s="592">
        <f t="shared" si="74"/>
        <v>0.62834452920414441</v>
      </c>
      <c r="Q144" s="571">
        <f t="shared" si="75"/>
        <v>0.72233291586018444</v>
      </c>
      <c r="R144" s="572">
        <f t="shared" si="76"/>
        <v>0.72799999999999987</v>
      </c>
      <c r="S144" s="573">
        <f t="shared" si="77"/>
        <v>4.2363172420975891E-2</v>
      </c>
      <c r="T144" s="574">
        <v>1.1000000000000001</v>
      </c>
      <c r="U144" s="557">
        <f t="shared" si="78"/>
        <v>3.0000000000000009</v>
      </c>
      <c r="V144" s="575">
        <f t="shared" si="79"/>
        <v>1</v>
      </c>
      <c r="W144" s="594">
        <v>8.0000000000000002E-3</v>
      </c>
      <c r="X144" s="595">
        <f t="shared" si="47"/>
        <v>307.25600000000003</v>
      </c>
      <c r="Y144" s="594">
        <v>2.3809523809523812E-3</v>
      </c>
      <c r="Z144" s="577">
        <f t="shared" ref="Z144:Z207" si="86">K144*Y144</f>
        <v>65.75238095238096</v>
      </c>
      <c r="AA144" s="2328" t="s">
        <v>1331</v>
      </c>
      <c r="AB144" s="597">
        <f t="shared" si="54"/>
        <v>193.0626266651486</v>
      </c>
      <c r="AC144" s="597">
        <f t="shared" si="55"/>
        <v>6782676.2000000002</v>
      </c>
      <c r="AD144" s="597">
        <f t="shared" si="56"/>
        <v>57.459115078913278</v>
      </c>
      <c r="AE144" s="609">
        <f t="shared" ref="AE144:AE207" si="87">L144*Y144</f>
        <v>57.459115078913278</v>
      </c>
      <c r="AF144" s="572">
        <f t="shared" si="83"/>
        <v>52.559523809523817</v>
      </c>
      <c r="AG144" s="599">
        <f t="shared" si="84"/>
        <v>1.7333333333333333E-3</v>
      </c>
      <c r="AH144" s="600">
        <f t="shared" si="85"/>
        <v>5.6413327431631381E-6</v>
      </c>
      <c r="AI144" s="559" t="s">
        <v>605</v>
      </c>
    </row>
    <row r="145" spans="1:35" ht="14.4" hidden="1" x14ac:dyDescent="0.3">
      <c r="A145" s="560" t="s">
        <v>568</v>
      </c>
      <c r="B145" s="557" t="str">
        <f t="shared" si="53"/>
        <v>2000s</v>
      </c>
      <c r="C145" s="561">
        <v>2006</v>
      </c>
      <c r="D145" s="562">
        <f t="shared" si="65"/>
        <v>2002</v>
      </c>
      <c r="E145" s="563">
        <f t="shared" si="66"/>
        <v>2004</v>
      </c>
      <c r="F145" s="586">
        <f t="shared" si="67"/>
        <v>37067</v>
      </c>
      <c r="G145" s="587">
        <f t="shared" si="68"/>
        <v>38407</v>
      </c>
      <c r="H145" s="587">
        <f t="shared" si="69"/>
        <v>38406</v>
      </c>
      <c r="I145" s="2122">
        <f t="shared" si="70"/>
        <v>22075</v>
      </c>
      <c r="J145" s="2126">
        <f t="shared" si="71"/>
        <v>0.62834452920414441</v>
      </c>
      <c r="K145" s="590">
        <f t="shared" si="72"/>
        <v>27616</v>
      </c>
      <c r="L145" s="591">
        <f t="shared" si="80"/>
        <v>24132.828333143574</v>
      </c>
      <c r="M145" s="589">
        <f t="shared" si="82"/>
        <v>22075</v>
      </c>
      <c r="N145" s="591">
        <f t="shared" si="58"/>
        <v>847834525</v>
      </c>
      <c r="O145" s="569">
        <f t="shared" si="73"/>
        <v>1.3278829380060926E-3</v>
      </c>
      <c r="P145" s="592">
        <f t="shared" si="74"/>
        <v>0.62834452920414441</v>
      </c>
      <c r="Q145" s="571">
        <f t="shared" si="75"/>
        <v>0.72233291586018444</v>
      </c>
      <c r="R145" s="572">
        <f t="shared" si="76"/>
        <v>0.72799999999999987</v>
      </c>
      <c r="S145" s="573">
        <f t="shared" si="77"/>
        <v>4.2363172420975891E-2</v>
      </c>
      <c r="T145" s="574">
        <v>1.2</v>
      </c>
      <c r="U145" s="557">
        <f t="shared" si="78"/>
        <v>3.9999999999999996</v>
      </c>
      <c r="V145" s="575">
        <f t="shared" si="79"/>
        <v>1</v>
      </c>
      <c r="W145" s="608">
        <v>0.72399999999999998</v>
      </c>
      <c r="X145" s="595">
        <f t="shared" si="47"/>
        <v>27806.667999999998</v>
      </c>
      <c r="Y145" s="608">
        <v>0.8833333333333333</v>
      </c>
      <c r="Z145" s="577">
        <f t="shared" si="86"/>
        <v>24394.133333333331</v>
      </c>
      <c r="AA145" s="2328" t="s">
        <v>1331</v>
      </c>
      <c r="AB145" s="597">
        <f t="shared" si="54"/>
        <v>17472.167713195948</v>
      </c>
      <c r="AC145" s="597">
        <f t="shared" si="55"/>
        <v>613832196.10000002</v>
      </c>
      <c r="AD145" s="597">
        <f t="shared" si="56"/>
        <v>21317.331694276822</v>
      </c>
      <c r="AE145" s="610">
        <f t="shared" si="87"/>
        <v>21317.331694276822</v>
      </c>
      <c r="AF145" s="572">
        <f t="shared" si="83"/>
        <v>19499.583333333332</v>
      </c>
      <c r="AG145" s="572">
        <f t="shared" si="84"/>
        <v>0.64306666666666656</v>
      </c>
      <c r="AH145" s="600">
        <f t="shared" si="85"/>
        <v>2.3126347488547229E-5</v>
      </c>
      <c r="AI145" s="559" t="s">
        <v>606</v>
      </c>
    </row>
    <row r="146" spans="1:35" ht="14.4" hidden="1" x14ac:dyDescent="0.3">
      <c r="A146" s="560" t="s">
        <v>568</v>
      </c>
      <c r="B146" s="557" t="str">
        <f t="shared" si="53"/>
        <v>2000s</v>
      </c>
      <c r="C146" s="561">
        <v>2006</v>
      </c>
      <c r="D146" s="562">
        <f t="shared" si="65"/>
        <v>2001</v>
      </c>
      <c r="E146" s="563">
        <f t="shared" si="66"/>
        <v>2003</v>
      </c>
      <c r="F146" s="586">
        <f t="shared" si="67"/>
        <v>37067</v>
      </c>
      <c r="G146" s="587">
        <f t="shared" si="68"/>
        <v>38407</v>
      </c>
      <c r="H146" s="587">
        <f t="shared" si="69"/>
        <v>38406</v>
      </c>
      <c r="I146" s="2122">
        <f t="shared" si="70"/>
        <v>22075</v>
      </c>
      <c r="J146" s="2126">
        <f t="shared" si="71"/>
        <v>0.62834452920414441</v>
      </c>
      <c r="K146" s="590">
        <f t="shared" si="72"/>
        <v>27616</v>
      </c>
      <c r="L146" s="591">
        <f t="shared" si="80"/>
        <v>24132.828333143574</v>
      </c>
      <c r="M146" s="589">
        <f t="shared" si="82"/>
        <v>22075</v>
      </c>
      <c r="N146" s="591">
        <f t="shared" si="58"/>
        <v>847834525</v>
      </c>
      <c r="O146" s="569">
        <f t="shared" si="73"/>
        <v>1.3278829380060926E-3</v>
      </c>
      <c r="P146" s="592">
        <f t="shared" si="74"/>
        <v>0.62834452920414441</v>
      </c>
      <c r="Q146" s="571">
        <f t="shared" si="75"/>
        <v>0.72233291586018444</v>
      </c>
      <c r="R146" s="572">
        <f t="shared" si="76"/>
        <v>0.72799999999999987</v>
      </c>
      <c r="S146" s="573">
        <f t="shared" si="77"/>
        <v>4.2363172420975891E-2</v>
      </c>
      <c r="T146" s="574">
        <v>1.3</v>
      </c>
      <c r="U146" s="557">
        <f t="shared" si="78"/>
        <v>5</v>
      </c>
      <c r="V146" s="575">
        <f t="shared" si="79"/>
        <v>1</v>
      </c>
      <c r="W146" s="594">
        <v>8.4000000000000005E-2</v>
      </c>
      <c r="X146" s="595">
        <f t="shared" si="47"/>
        <v>3226.1880000000001</v>
      </c>
      <c r="Y146" s="594">
        <v>0.10952380952380952</v>
      </c>
      <c r="Z146" s="577">
        <f t="shared" si="86"/>
        <v>3024.6095238095236</v>
      </c>
      <c r="AA146" s="2328" t="s">
        <v>1331</v>
      </c>
      <c r="AB146" s="597">
        <f t="shared" si="54"/>
        <v>2027.1575799840602</v>
      </c>
      <c r="AC146" s="597">
        <f t="shared" si="55"/>
        <v>71218100.100000009</v>
      </c>
      <c r="AD146" s="597">
        <f t="shared" si="56"/>
        <v>2643.1192936300104</v>
      </c>
      <c r="AE146" s="610">
        <f t="shared" si="87"/>
        <v>2643.1192936300104</v>
      </c>
      <c r="AF146" s="572">
        <f t="shared" si="83"/>
        <v>2417.7380952380954</v>
      </c>
      <c r="AG146" s="572">
        <f t="shared" si="84"/>
        <v>7.9733333333333323E-2</v>
      </c>
      <c r="AH146" s="600">
        <f t="shared" si="85"/>
        <v>2.4714410112905174E-5</v>
      </c>
      <c r="AI146" s="559" t="s">
        <v>606</v>
      </c>
    </row>
    <row r="147" spans="1:35" ht="14.4" hidden="1" x14ac:dyDescent="0.3">
      <c r="A147" s="560" t="s">
        <v>568</v>
      </c>
      <c r="B147" s="557" t="str">
        <f t="shared" si="53"/>
        <v>2000s</v>
      </c>
      <c r="C147" s="561">
        <v>2006</v>
      </c>
      <c r="D147" s="562">
        <f t="shared" si="65"/>
        <v>2002</v>
      </c>
      <c r="E147" s="563">
        <f t="shared" si="66"/>
        <v>2005</v>
      </c>
      <c r="F147" s="586">
        <f t="shared" si="67"/>
        <v>37067</v>
      </c>
      <c r="G147" s="587">
        <f t="shared" si="68"/>
        <v>38407</v>
      </c>
      <c r="H147" s="587">
        <f t="shared" si="69"/>
        <v>38406</v>
      </c>
      <c r="I147" s="2122">
        <f t="shared" si="70"/>
        <v>22075</v>
      </c>
      <c r="J147" s="2126">
        <f t="shared" si="71"/>
        <v>0.62834452920414441</v>
      </c>
      <c r="K147" s="590">
        <f t="shared" si="72"/>
        <v>27616</v>
      </c>
      <c r="L147" s="591">
        <f t="shared" si="80"/>
        <v>24132.828333143574</v>
      </c>
      <c r="M147" s="589">
        <f t="shared" si="82"/>
        <v>22075</v>
      </c>
      <c r="N147" s="591">
        <f t="shared" si="58"/>
        <v>847834525</v>
      </c>
      <c r="O147" s="569">
        <f t="shared" si="73"/>
        <v>1.3278829380060926E-3</v>
      </c>
      <c r="P147" s="592">
        <f t="shared" si="74"/>
        <v>0.62834452920414441</v>
      </c>
      <c r="Q147" s="571">
        <f t="shared" si="75"/>
        <v>0.72233291586018444</v>
      </c>
      <c r="R147" s="572">
        <f t="shared" si="76"/>
        <v>0.72799999999999987</v>
      </c>
      <c r="S147" s="573">
        <f t="shared" si="77"/>
        <v>4.2363172420975891E-2</v>
      </c>
      <c r="T147" s="574">
        <v>2.1</v>
      </c>
      <c r="U147" s="557">
        <f t="shared" si="78"/>
        <v>4.0000000000000009</v>
      </c>
      <c r="V147" s="575">
        <f t="shared" si="79"/>
        <v>2</v>
      </c>
      <c r="W147" s="594">
        <v>1.7000000000000001E-2</v>
      </c>
      <c r="X147" s="595">
        <f t="shared" si="47"/>
        <v>652.9190000000001</v>
      </c>
      <c r="Y147" s="594">
        <v>0</v>
      </c>
      <c r="Z147" s="577">
        <f t="shared" si="86"/>
        <v>0</v>
      </c>
      <c r="AA147" s="2328" t="s">
        <v>1331</v>
      </c>
      <c r="AB147" s="597">
        <f t="shared" si="54"/>
        <v>410.25808166344081</v>
      </c>
      <c r="AC147" s="597">
        <f t="shared" si="55"/>
        <v>14413186.925000001</v>
      </c>
      <c r="AD147" s="597">
        <f>IF(Y147,L147*Y147,0)</f>
        <v>0</v>
      </c>
      <c r="AE147" s="610">
        <f t="shared" si="87"/>
        <v>0</v>
      </c>
      <c r="AF147" s="572">
        <f t="shared" si="83"/>
        <v>0</v>
      </c>
      <c r="AG147" s="572">
        <f t="shared" si="84"/>
        <v>0</v>
      </c>
      <c r="AH147" s="600">
        <f t="shared" si="85"/>
        <v>0</v>
      </c>
      <c r="AI147" s="559" t="s">
        <v>606</v>
      </c>
    </row>
    <row r="148" spans="1:35" ht="14.4" hidden="1" x14ac:dyDescent="0.3">
      <c r="A148" s="560" t="s">
        <v>568</v>
      </c>
      <c r="B148" s="557" t="str">
        <f t="shared" si="53"/>
        <v>2000s</v>
      </c>
      <c r="C148" s="561">
        <v>2006</v>
      </c>
      <c r="D148" s="562">
        <f t="shared" si="65"/>
        <v>2001</v>
      </c>
      <c r="E148" s="563">
        <f t="shared" si="66"/>
        <v>2004</v>
      </c>
      <c r="F148" s="586">
        <f t="shared" si="67"/>
        <v>37067</v>
      </c>
      <c r="G148" s="587">
        <f t="shared" si="68"/>
        <v>38407</v>
      </c>
      <c r="H148" s="587">
        <f t="shared" si="69"/>
        <v>38406</v>
      </c>
      <c r="I148" s="2122">
        <f t="shared" si="70"/>
        <v>22075</v>
      </c>
      <c r="J148" s="2126">
        <f t="shared" si="71"/>
        <v>0.62834452920414441</v>
      </c>
      <c r="K148" s="590">
        <f t="shared" si="72"/>
        <v>27616</v>
      </c>
      <c r="L148" s="591">
        <f t="shared" si="80"/>
        <v>24132.828333143574</v>
      </c>
      <c r="M148" s="589">
        <f t="shared" si="82"/>
        <v>22075</v>
      </c>
      <c r="N148" s="591">
        <f t="shared" si="58"/>
        <v>847834525</v>
      </c>
      <c r="O148" s="569">
        <f t="shared" si="73"/>
        <v>1.3278829380060926E-3</v>
      </c>
      <c r="P148" s="592">
        <f t="shared" si="74"/>
        <v>0.62834452920414441</v>
      </c>
      <c r="Q148" s="571">
        <f t="shared" si="75"/>
        <v>0.72233291586018444</v>
      </c>
      <c r="R148" s="572">
        <f t="shared" si="76"/>
        <v>0.72799999999999987</v>
      </c>
      <c r="S148" s="573">
        <f t="shared" si="77"/>
        <v>4.2363172420975891E-2</v>
      </c>
      <c r="T148" s="574">
        <v>2.2000000000000002</v>
      </c>
      <c r="U148" s="557">
        <f t="shared" si="78"/>
        <v>5.0000000000000018</v>
      </c>
      <c r="V148" s="575">
        <f t="shared" si="79"/>
        <v>2</v>
      </c>
      <c r="W148" s="608">
        <v>0.14799999999999999</v>
      </c>
      <c r="X148" s="595">
        <f t="shared" si="47"/>
        <v>5684.2359999999999</v>
      </c>
      <c r="Y148" s="608">
        <v>4.7619047619047623E-3</v>
      </c>
      <c r="Z148" s="577">
        <f t="shared" si="86"/>
        <v>131.50476190476192</v>
      </c>
      <c r="AA148" s="2328" t="s">
        <v>1331</v>
      </c>
      <c r="AB148" s="597">
        <f t="shared" si="54"/>
        <v>3571.6585933052488</v>
      </c>
      <c r="AC148" s="597">
        <f t="shared" si="55"/>
        <v>125479509.69999999</v>
      </c>
      <c r="AD148" s="597">
        <f t="shared" si="56"/>
        <v>114.91823015782656</v>
      </c>
      <c r="AE148" s="610">
        <f t="shared" si="87"/>
        <v>114.91823015782656</v>
      </c>
      <c r="AF148" s="572">
        <f t="shared" si="83"/>
        <v>105.11904761904763</v>
      </c>
      <c r="AG148" s="572">
        <f t="shared" si="84"/>
        <v>3.4666666666666665E-3</v>
      </c>
      <c r="AH148" s="600">
        <f t="shared" si="85"/>
        <v>6.098738100716907E-7</v>
      </c>
      <c r="AI148" s="559" t="s">
        <v>606</v>
      </c>
    </row>
    <row r="149" spans="1:35" ht="14.4" hidden="1" x14ac:dyDescent="0.3">
      <c r="A149" s="560" t="s">
        <v>568</v>
      </c>
      <c r="B149" s="557" t="str">
        <f t="shared" si="53"/>
        <v>2000s</v>
      </c>
      <c r="C149" s="561">
        <v>2006</v>
      </c>
      <c r="D149" s="562">
        <f t="shared" si="65"/>
        <v>2000</v>
      </c>
      <c r="E149" s="563">
        <f t="shared" si="66"/>
        <v>2003</v>
      </c>
      <c r="F149" s="586">
        <f t="shared" si="67"/>
        <v>37067</v>
      </c>
      <c r="G149" s="587">
        <f t="shared" si="68"/>
        <v>38407</v>
      </c>
      <c r="H149" s="587">
        <f t="shared" si="69"/>
        <v>38406</v>
      </c>
      <c r="I149" s="2122">
        <f t="shared" si="70"/>
        <v>22075</v>
      </c>
      <c r="J149" s="2126">
        <f t="shared" si="71"/>
        <v>0.62834452920414441</v>
      </c>
      <c r="K149" s="590">
        <f t="shared" si="72"/>
        <v>27616</v>
      </c>
      <c r="L149" s="591">
        <f t="shared" si="80"/>
        <v>24132.828333143574</v>
      </c>
      <c r="M149" s="589">
        <f t="shared" si="82"/>
        <v>22075</v>
      </c>
      <c r="N149" s="591">
        <f t="shared" si="58"/>
        <v>847834525</v>
      </c>
      <c r="O149" s="569">
        <f t="shared" si="73"/>
        <v>1.3278829380060926E-3</v>
      </c>
      <c r="P149" s="592">
        <f t="shared" si="74"/>
        <v>0.62834452920414441</v>
      </c>
      <c r="Q149" s="571">
        <f t="shared" si="75"/>
        <v>0.72233291586018444</v>
      </c>
      <c r="R149" s="572">
        <f t="shared" si="76"/>
        <v>0.72799999999999987</v>
      </c>
      <c r="S149" s="573">
        <f t="shared" si="77"/>
        <v>4.2363172420975891E-2</v>
      </c>
      <c r="T149" s="574">
        <v>2.2999999999999998</v>
      </c>
      <c r="U149" s="557">
        <f t="shared" si="78"/>
        <v>5.9999999999999982</v>
      </c>
      <c r="V149" s="575">
        <f t="shared" si="79"/>
        <v>2</v>
      </c>
      <c r="W149" s="594">
        <v>2E-3</v>
      </c>
      <c r="X149" s="595">
        <f t="shared" si="47"/>
        <v>76.814000000000007</v>
      </c>
      <c r="Y149" s="612"/>
      <c r="Z149" s="577">
        <f t="shared" si="86"/>
        <v>0</v>
      </c>
      <c r="AA149" s="2328" t="s">
        <v>1331</v>
      </c>
      <c r="AB149" s="597">
        <f t="shared" si="54"/>
        <v>48.26565666628715</v>
      </c>
      <c r="AC149" s="597">
        <f t="shared" si="55"/>
        <v>1695669.05</v>
      </c>
      <c r="AD149" s="597">
        <f>IF(Y149,L149*Y149,0)</f>
        <v>0</v>
      </c>
      <c r="AE149" s="610">
        <f t="shared" si="87"/>
        <v>0</v>
      </c>
      <c r="AH149" s="600"/>
    </row>
    <row r="150" spans="1:35" ht="14.4" hidden="1" x14ac:dyDescent="0.3">
      <c r="A150" s="560" t="s">
        <v>568</v>
      </c>
      <c r="B150" s="557" t="str">
        <f t="shared" si="53"/>
        <v>2000s</v>
      </c>
      <c r="C150" s="561">
        <v>2007</v>
      </c>
      <c r="D150" s="562">
        <f t="shared" si="65"/>
        <v>2004</v>
      </c>
      <c r="E150" s="563">
        <f t="shared" si="66"/>
        <v>2006</v>
      </c>
      <c r="F150" s="586">
        <f t="shared" si="67"/>
        <v>26604</v>
      </c>
      <c r="G150" s="587">
        <f t="shared" si="68"/>
        <v>25164</v>
      </c>
      <c r="H150" s="587">
        <f t="shared" si="69"/>
        <v>25164</v>
      </c>
      <c r="I150" s="2122">
        <f t="shared" si="70"/>
        <v>22273</v>
      </c>
      <c r="J150" s="2126">
        <f t="shared" si="71"/>
        <v>0.95953691802619823</v>
      </c>
      <c r="K150" s="590">
        <f t="shared" si="72"/>
        <v>22344</v>
      </c>
      <c r="L150" s="591">
        <f t="shared" si="80"/>
        <v>24145.787005211252</v>
      </c>
      <c r="M150" s="589">
        <f t="shared" si="82"/>
        <v>22273</v>
      </c>
      <c r="N150" s="591">
        <f t="shared" si="58"/>
        <v>560477772</v>
      </c>
      <c r="O150" s="569">
        <f t="shared" si="73"/>
        <v>2.3048799872834209E-3</v>
      </c>
      <c r="P150" s="592">
        <f t="shared" si="74"/>
        <v>0.95953691802619823</v>
      </c>
      <c r="Q150" s="571">
        <f t="shared" si="75"/>
        <v>0.82300000000000006</v>
      </c>
      <c r="R150" s="572">
        <f t="shared" si="76"/>
        <v>0.85299999999999987</v>
      </c>
      <c r="S150" s="573">
        <f t="shared" si="77"/>
        <v>1.9065382369907159E-2</v>
      </c>
      <c r="T150" s="602">
        <v>1.1000000000000001</v>
      </c>
      <c r="U150" s="557">
        <f t="shared" si="78"/>
        <v>3.0000000000000009</v>
      </c>
      <c r="V150" s="575">
        <f t="shared" si="79"/>
        <v>1</v>
      </c>
      <c r="W150" s="608">
        <v>0.42399999999999999</v>
      </c>
      <c r="X150" s="595">
        <f t="shared" si="47"/>
        <v>10669.536</v>
      </c>
      <c r="Y150" s="605">
        <v>0.2831168831168831</v>
      </c>
      <c r="Z150" s="577">
        <f t="shared" si="86"/>
        <v>6325.9636363636364</v>
      </c>
      <c r="AA150" s="2328" t="s">
        <v>1331</v>
      </c>
      <c r="AB150" s="597">
        <f t="shared" si="54"/>
        <v>10237.81369020957</v>
      </c>
      <c r="AC150" s="597">
        <f t="shared" si="55"/>
        <v>237642575.32799998</v>
      </c>
      <c r="AD150" s="597">
        <f t="shared" si="56"/>
        <v>6836.0799573195491</v>
      </c>
      <c r="AE150" s="610">
        <f t="shared" si="87"/>
        <v>6836.0799573195491</v>
      </c>
      <c r="AF150" s="572">
        <f>Y150*I150</f>
        <v>6305.8623376623373</v>
      </c>
      <c r="AG150" s="599">
        <f>Y150*R150</f>
        <v>0.24149870129870124</v>
      </c>
      <c r="AH150" s="600">
        <f>IF(X150=0,0,AG150/X150)</f>
        <v>2.2634414589228739E-5</v>
      </c>
      <c r="AI150" s="559" t="s">
        <v>605</v>
      </c>
    </row>
    <row r="151" spans="1:35" ht="14.4" hidden="1" x14ac:dyDescent="0.3">
      <c r="A151" s="560" t="s">
        <v>568</v>
      </c>
      <c r="B151" s="557" t="str">
        <f t="shared" si="53"/>
        <v>2000s</v>
      </c>
      <c r="C151" s="561">
        <v>2007</v>
      </c>
      <c r="D151" s="562">
        <f t="shared" si="65"/>
        <v>2003</v>
      </c>
      <c r="E151" s="563">
        <f t="shared" si="66"/>
        <v>2005</v>
      </c>
      <c r="F151" s="586">
        <f t="shared" si="67"/>
        <v>26604</v>
      </c>
      <c r="G151" s="587">
        <f t="shared" si="68"/>
        <v>25164</v>
      </c>
      <c r="H151" s="587">
        <f t="shared" si="69"/>
        <v>25164</v>
      </c>
      <c r="I151" s="588">
        <f t="shared" si="70"/>
        <v>22273</v>
      </c>
      <c r="J151" s="589">
        <f t="shared" si="71"/>
        <v>0.95953691802619823</v>
      </c>
      <c r="K151" s="590">
        <f t="shared" si="72"/>
        <v>22344</v>
      </c>
      <c r="L151" s="591">
        <f t="shared" si="80"/>
        <v>24145.787005211252</v>
      </c>
      <c r="M151" s="589">
        <f t="shared" si="82"/>
        <v>22273</v>
      </c>
      <c r="N151" s="591">
        <f t="shared" si="58"/>
        <v>560477772</v>
      </c>
      <c r="O151" s="569">
        <f t="shared" si="73"/>
        <v>2.3048799872834209E-3</v>
      </c>
      <c r="P151" s="592">
        <f t="shared" si="74"/>
        <v>0.95953691802619823</v>
      </c>
      <c r="Q151" s="571">
        <f t="shared" si="75"/>
        <v>0.82300000000000006</v>
      </c>
      <c r="R151" s="572">
        <f t="shared" si="76"/>
        <v>0.85299999999999987</v>
      </c>
      <c r="S151" s="573">
        <f t="shared" si="77"/>
        <v>1.9065382369907159E-2</v>
      </c>
      <c r="T151" s="574">
        <v>1.2</v>
      </c>
      <c r="U151" s="557">
        <f t="shared" si="78"/>
        <v>3.9999999999999996</v>
      </c>
      <c r="V151" s="575">
        <f t="shared" si="79"/>
        <v>1</v>
      </c>
      <c r="W151" s="608">
        <v>0.38200000000000001</v>
      </c>
      <c r="X151" s="595">
        <f t="shared" si="47"/>
        <v>9612.648000000001</v>
      </c>
      <c r="Y151" s="605">
        <v>0.51168831168831164</v>
      </c>
      <c r="Z151" s="577">
        <f t="shared" si="86"/>
        <v>11433.163636363635</v>
      </c>
      <c r="AA151" s="2328" t="s">
        <v>1331</v>
      </c>
      <c r="AB151" s="597">
        <f t="shared" si="54"/>
        <v>9223.6906359906989</v>
      </c>
      <c r="AC151" s="597">
        <f t="shared" si="55"/>
        <v>214102508.90400001</v>
      </c>
      <c r="AD151" s="597">
        <f t="shared" si="56"/>
        <v>12355.11698708212</v>
      </c>
      <c r="AE151" s="610">
        <f t="shared" si="87"/>
        <v>12355.11698708212</v>
      </c>
      <c r="AF151" s="572">
        <f>Y151*I151</f>
        <v>11396.833766233765</v>
      </c>
      <c r="AG151" s="572">
        <f>Y151*R151</f>
        <v>0.43647012987012979</v>
      </c>
      <c r="AH151" s="600">
        <f>IF(X151=0,0,AG151/X151)</f>
        <v>4.5405816365077525E-5</v>
      </c>
      <c r="AI151" s="559" t="s">
        <v>606</v>
      </c>
    </row>
    <row r="152" spans="1:35" ht="14.4" hidden="1" x14ac:dyDescent="0.3">
      <c r="A152" s="560" t="s">
        <v>568</v>
      </c>
      <c r="B152" s="557" t="str">
        <f t="shared" si="53"/>
        <v>2000s</v>
      </c>
      <c r="C152" s="561">
        <v>2007</v>
      </c>
      <c r="D152" s="562">
        <f t="shared" si="65"/>
        <v>2002</v>
      </c>
      <c r="E152" s="563">
        <f t="shared" si="66"/>
        <v>2004</v>
      </c>
      <c r="F152" s="586">
        <f t="shared" si="67"/>
        <v>26604</v>
      </c>
      <c r="G152" s="587">
        <f t="shared" si="68"/>
        <v>25164</v>
      </c>
      <c r="H152" s="587">
        <f t="shared" si="69"/>
        <v>25164</v>
      </c>
      <c r="I152" s="588">
        <f t="shared" si="70"/>
        <v>22273</v>
      </c>
      <c r="J152" s="589">
        <f t="shared" si="71"/>
        <v>0.95953691802619823</v>
      </c>
      <c r="K152" s="590">
        <f t="shared" si="72"/>
        <v>22344</v>
      </c>
      <c r="L152" s="591">
        <f t="shared" si="80"/>
        <v>24145.787005211252</v>
      </c>
      <c r="M152" s="589">
        <f t="shared" si="82"/>
        <v>22273</v>
      </c>
      <c r="N152" s="591">
        <f t="shared" si="58"/>
        <v>560477772</v>
      </c>
      <c r="O152" s="569">
        <f t="shared" si="73"/>
        <v>2.3048799872834209E-3</v>
      </c>
      <c r="P152" s="592">
        <f t="shared" si="74"/>
        <v>0.95953691802619823</v>
      </c>
      <c r="Q152" s="571">
        <f t="shared" si="75"/>
        <v>0.82300000000000006</v>
      </c>
      <c r="R152" s="572">
        <f t="shared" si="76"/>
        <v>0.85299999999999987</v>
      </c>
      <c r="S152" s="573">
        <f t="shared" si="77"/>
        <v>1.9065382369907159E-2</v>
      </c>
      <c r="T152" s="574">
        <v>1.3</v>
      </c>
      <c r="U152" s="557">
        <f t="shared" si="78"/>
        <v>5</v>
      </c>
      <c r="V152" s="575">
        <f t="shared" si="79"/>
        <v>1</v>
      </c>
      <c r="W152" s="608">
        <v>3.2000000000000001E-2</v>
      </c>
      <c r="X152" s="595">
        <f t="shared" si="47"/>
        <v>805.24800000000005</v>
      </c>
      <c r="Y152" s="605">
        <v>0.12987012987012986</v>
      </c>
      <c r="Z152" s="577">
        <f t="shared" si="86"/>
        <v>2901.8181818181815</v>
      </c>
      <c r="AA152" s="2328" t="s">
        <v>1331</v>
      </c>
      <c r="AB152" s="597">
        <f t="shared" si="54"/>
        <v>772.66518416676013</v>
      </c>
      <c r="AC152" s="597">
        <f t="shared" si="55"/>
        <v>17935288.704</v>
      </c>
      <c r="AD152" s="597">
        <f t="shared" si="56"/>
        <v>3135.8164941832792</v>
      </c>
      <c r="AE152" s="610">
        <f t="shared" si="87"/>
        <v>3135.8164941832792</v>
      </c>
      <c r="AF152" s="572">
        <f>Y152*I152</f>
        <v>2892.5974025974024</v>
      </c>
      <c r="AG152" s="572">
        <f>Y152*R152</f>
        <v>0.11077922077922076</v>
      </c>
      <c r="AH152" s="600">
        <f>IF(X152=0,0,AG152/X152)</f>
        <v>1.3757155656297283E-4</v>
      </c>
      <c r="AI152" s="559" t="s">
        <v>606</v>
      </c>
    </row>
    <row r="153" spans="1:35" ht="14.4" hidden="1" x14ac:dyDescent="0.3">
      <c r="A153" s="560" t="s">
        <v>568</v>
      </c>
      <c r="B153" s="557" t="str">
        <f t="shared" si="53"/>
        <v>2000s</v>
      </c>
      <c r="C153" s="561">
        <v>2007</v>
      </c>
      <c r="D153" s="562">
        <f t="shared" si="65"/>
        <v>2003</v>
      </c>
      <c r="E153" s="563">
        <f t="shared" si="66"/>
        <v>2006</v>
      </c>
      <c r="F153" s="586">
        <f t="shared" si="67"/>
        <v>26604</v>
      </c>
      <c r="G153" s="587">
        <f t="shared" si="68"/>
        <v>25164</v>
      </c>
      <c r="H153" s="587">
        <f t="shared" si="69"/>
        <v>25164</v>
      </c>
      <c r="I153" s="588">
        <f t="shared" si="70"/>
        <v>22273</v>
      </c>
      <c r="J153" s="589">
        <f t="shared" si="71"/>
        <v>0.95953691802619823</v>
      </c>
      <c r="K153" s="590">
        <f t="shared" si="72"/>
        <v>22344</v>
      </c>
      <c r="L153" s="591">
        <f t="shared" si="80"/>
        <v>24145.787005211252</v>
      </c>
      <c r="M153" s="589">
        <f t="shared" si="82"/>
        <v>22273</v>
      </c>
      <c r="N153" s="591">
        <f t="shared" si="58"/>
        <v>560477772</v>
      </c>
      <c r="O153" s="569">
        <f t="shared" si="73"/>
        <v>2.3048799872834209E-3</v>
      </c>
      <c r="P153" s="592">
        <f t="shared" si="74"/>
        <v>0.95953691802619823</v>
      </c>
      <c r="Q153" s="571">
        <f t="shared" si="75"/>
        <v>0.82300000000000006</v>
      </c>
      <c r="R153" s="572">
        <f t="shared" si="76"/>
        <v>0.85299999999999987</v>
      </c>
      <c r="S153" s="573">
        <f t="shared" si="77"/>
        <v>1.9065382369907159E-2</v>
      </c>
      <c r="T153" s="574">
        <v>2.1</v>
      </c>
      <c r="U153" s="557">
        <f t="shared" si="78"/>
        <v>4.0000000000000009</v>
      </c>
      <c r="V153" s="575">
        <f t="shared" si="79"/>
        <v>2</v>
      </c>
      <c r="W153" s="594">
        <v>5.8000000000000003E-2</v>
      </c>
      <c r="X153" s="595">
        <f t="shared" si="47"/>
        <v>1459.5120000000002</v>
      </c>
      <c r="Y153" s="594">
        <v>6.4935064935064901E-2</v>
      </c>
      <c r="Z153" s="577">
        <f t="shared" si="86"/>
        <v>1450.9090909090901</v>
      </c>
      <c r="AA153" s="2328" t="s">
        <v>1331</v>
      </c>
      <c r="AB153" s="597">
        <f t="shared" si="54"/>
        <v>1400.4556463022527</v>
      </c>
      <c r="AC153" s="597">
        <f t="shared" si="55"/>
        <v>32507710.776000001</v>
      </c>
      <c r="AD153" s="597">
        <f t="shared" si="56"/>
        <v>1567.9082470916389</v>
      </c>
      <c r="AE153" s="610">
        <f t="shared" si="87"/>
        <v>1567.9082470916389</v>
      </c>
      <c r="AF153" s="572">
        <f>Y153*I153</f>
        <v>1446.2987012987005</v>
      </c>
      <c r="AG153" s="572">
        <f>Y153*R153</f>
        <v>5.538961038961035E-2</v>
      </c>
      <c r="AH153" s="600">
        <f>IF(X153=0,0,AG153/X153)</f>
        <v>3.7950774224268349E-5</v>
      </c>
      <c r="AI153" s="559" t="s">
        <v>606</v>
      </c>
    </row>
    <row r="154" spans="1:35" ht="14.4" hidden="1" x14ac:dyDescent="0.3">
      <c r="A154" s="560" t="s">
        <v>568</v>
      </c>
      <c r="B154" s="557" t="str">
        <f t="shared" si="53"/>
        <v>2000s</v>
      </c>
      <c r="C154" s="561">
        <v>2007</v>
      </c>
      <c r="D154" s="562">
        <f t="shared" si="65"/>
        <v>2002</v>
      </c>
      <c r="E154" s="563">
        <f t="shared" si="66"/>
        <v>2005</v>
      </c>
      <c r="F154" s="586">
        <f t="shared" si="67"/>
        <v>26604</v>
      </c>
      <c r="G154" s="587">
        <f t="shared" si="68"/>
        <v>25164</v>
      </c>
      <c r="H154" s="587">
        <f t="shared" si="69"/>
        <v>25164</v>
      </c>
      <c r="I154" s="588">
        <f t="shared" si="70"/>
        <v>22273</v>
      </c>
      <c r="J154" s="589">
        <f t="shared" si="71"/>
        <v>0.95953691802619823</v>
      </c>
      <c r="K154" s="590">
        <f t="shared" si="72"/>
        <v>22344</v>
      </c>
      <c r="L154" s="591">
        <f t="shared" si="80"/>
        <v>24145.787005211252</v>
      </c>
      <c r="M154" s="589">
        <f t="shared" si="82"/>
        <v>22273</v>
      </c>
      <c r="N154" s="591">
        <f t="shared" si="58"/>
        <v>560477772</v>
      </c>
      <c r="O154" s="569">
        <f t="shared" si="73"/>
        <v>2.3048799872834209E-3</v>
      </c>
      <c r="P154" s="592">
        <f t="shared" si="74"/>
        <v>0.95953691802619823</v>
      </c>
      <c r="Q154" s="571">
        <f t="shared" si="75"/>
        <v>0.82300000000000006</v>
      </c>
      <c r="R154" s="572">
        <f t="shared" si="76"/>
        <v>0.85299999999999987</v>
      </c>
      <c r="S154" s="573">
        <f t="shared" si="77"/>
        <v>1.9065382369907159E-2</v>
      </c>
      <c r="T154" s="574">
        <v>2.2000000000000002</v>
      </c>
      <c r="U154" s="557">
        <f t="shared" si="78"/>
        <v>5.0000000000000018</v>
      </c>
      <c r="V154" s="575">
        <f t="shared" si="79"/>
        <v>2</v>
      </c>
      <c r="W154" s="608">
        <v>9.2999999999999999E-2</v>
      </c>
      <c r="X154" s="595">
        <f t="shared" si="47"/>
        <v>2340.252</v>
      </c>
      <c r="Y154" s="605">
        <v>1.038961038961039E-2</v>
      </c>
      <c r="Z154" s="577">
        <f t="shared" si="86"/>
        <v>232.14545454545456</v>
      </c>
      <c r="AA154" s="2328" t="s">
        <v>1331</v>
      </c>
      <c r="AB154" s="597">
        <f t="shared" si="54"/>
        <v>2245.5581914846466</v>
      </c>
      <c r="AC154" s="597">
        <f t="shared" si="55"/>
        <v>52124432.795999996</v>
      </c>
      <c r="AD154" s="597">
        <f t="shared" si="56"/>
        <v>250.86531953466235</v>
      </c>
      <c r="AE154" s="610">
        <f t="shared" si="87"/>
        <v>250.86531953466235</v>
      </c>
      <c r="AF154" s="572">
        <f>Y154*I154</f>
        <v>231.4077922077922</v>
      </c>
      <c r="AG154" s="572">
        <f>Y154*R154</f>
        <v>8.8623376623376618E-3</v>
      </c>
      <c r="AH154" s="600">
        <f>IF(X154=0,0,AG154/X154)</f>
        <v>3.7869159656044142E-6</v>
      </c>
      <c r="AI154" s="559" t="s">
        <v>606</v>
      </c>
    </row>
    <row r="155" spans="1:35" ht="14.4" hidden="1" x14ac:dyDescent="0.3">
      <c r="A155" s="560" t="s">
        <v>568</v>
      </c>
      <c r="B155" s="557" t="str">
        <f t="shared" si="53"/>
        <v>2000s</v>
      </c>
      <c r="C155" s="561">
        <v>2007</v>
      </c>
      <c r="D155" s="562">
        <f t="shared" si="65"/>
        <v>2001</v>
      </c>
      <c r="E155" s="563">
        <f t="shared" si="66"/>
        <v>2004</v>
      </c>
      <c r="F155" s="586">
        <f t="shared" si="67"/>
        <v>26604</v>
      </c>
      <c r="G155" s="587">
        <f t="shared" si="68"/>
        <v>25164</v>
      </c>
      <c r="H155" s="587">
        <f t="shared" si="69"/>
        <v>25164</v>
      </c>
      <c r="I155" s="588">
        <f t="shared" si="70"/>
        <v>22273</v>
      </c>
      <c r="J155" s="589">
        <f t="shared" si="71"/>
        <v>0.95953691802619823</v>
      </c>
      <c r="K155" s="590">
        <f t="shared" si="72"/>
        <v>22344</v>
      </c>
      <c r="L155" s="591">
        <f t="shared" si="80"/>
        <v>24145.787005211252</v>
      </c>
      <c r="M155" s="589">
        <f t="shared" si="82"/>
        <v>22273</v>
      </c>
      <c r="N155" s="591">
        <f t="shared" si="58"/>
        <v>560477772</v>
      </c>
      <c r="O155" s="569">
        <f t="shared" si="73"/>
        <v>2.3048799872834209E-3</v>
      </c>
      <c r="P155" s="592">
        <f t="shared" si="74"/>
        <v>0.95953691802619823</v>
      </c>
      <c r="Q155" s="571">
        <f t="shared" si="75"/>
        <v>0.82300000000000006</v>
      </c>
      <c r="R155" s="572">
        <f t="shared" si="76"/>
        <v>0.85299999999999987</v>
      </c>
      <c r="S155" s="573">
        <f t="shared" si="77"/>
        <v>1.9065382369907159E-2</v>
      </c>
      <c r="T155" s="574">
        <v>2.2999999999999998</v>
      </c>
      <c r="U155" s="557">
        <f t="shared" si="78"/>
        <v>5.9999999999999982</v>
      </c>
      <c r="V155" s="575">
        <f t="shared" si="79"/>
        <v>2</v>
      </c>
      <c r="W155" s="594">
        <v>1.0999999999999999E-2</v>
      </c>
      <c r="X155" s="595">
        <f t="shared" ref="X155:X218" si="88">W155*G155</f>
        <v>276.80399999999997</v>
      </c>
      <c r="Y155" s="612"/>
      <c r="Z155" s="577">
        <f t="shared" si="86"/>
        <v>0</v>
      </c>
      <c r="AA155" s="2328" t="s">
        <v>1331</v>
      </c>
      <c r="AB155" s="597">
        <f t="shared" si="54"/>
        <v>265.60365705732374</v>
      </c>
      <c r="AC155" s="597">
        <f t="shared" si="55"/>
        <v>6165255.4919999996</v>
      </c>
      <c r="AD155" s="597">
        <f>IF(Y155,L155*Y155,0)</f>
        <v>0</v>
      </c>
      <c r="AE155" s="610">
        <f t="shared" si="87"/>
        <v>0</v>
      </c>
      <c r="AH155" s="600"/>
    </row>
    <row r="156" spans="1:35" ht="14.4" hidden="1" x14ac:dyDescent="0.3">
      <c r="A156" s="560" t="s">
        <v>568</v>
      </c>
      <c r="B156" s="557" t="str">
        <f t="shared" ref="B156:B219" si="89">LEFT(E156,3)*10 &amp; "s"</f>
        <v>2000s</v>
      </c>
      <c r="C156" s="561">
        <v>2008</v>
      </c>
      <c r="D156" s="562">
        <f t="shared" si="65"/>
        <v>2005</v>
      </c>
      <c r="E156" s="563">
        <f t="shared" si="66"/>
        <v>2007</v>
      </c>
      <c r="F156" s="586">
        <f t="shared" si="67"/>
        <v>214465</v>
      </c>
      <c r="G156" s="587">
        <f t="shared" si="68"/>
        <v>225383</v>
      </c>
      <c r="H156" s="587">
        <f t="shared" si="69"/>
        <v>224525</v>
      </c>
      <c r="I156" s="588">
        <f t="shared" si="70"/>
        <v>165334</v>
      </c>
      <c r="J156" s="589">
        <f t="shared" si="71"/>
        <v>0.85338522445145271</v>
      </c>
      <c r="K156" s="590">
        <f t="shared" si="72"/>
        <v>190819</v>
      </c>
      <c r="L156" s="591">
        <f t="shared" si="80"/>
        <v>192338.52204254176</v>
      </c>
      <c r="M156" s="589">
        <f t="shared" si="82"/>
        <v>165334</v>
      </c>
      <c r="N156" s="591">
        <f t="shared" si="58"/>
        <v>37263472922</v>
      </c>
      <c r="O156" s="569">
        <f t="shared" si="73"/>
        <v>3.9488337629723629E-3</v>
      </c>
      <c r="P156" s="592">
        <f t="shared" si="74"/>
        <v>0.85338522445145271</v>
      </c>
      <c r="Q156" s="571">
        <f t="shared" si="75"/>
        <v>0.87662988966900701</v>
      </c>
      <c r="R156" s="572">
        <f t="shared" si="76"/>
        <v>0.83299999999999996</v>
      </c>
      <c r="S156" s="573">
        <f t="shared" si="77"/>
        <v>9.2991871729206102E-2</v>
      </c>
      <c r="T156" s="574">
        <v>1.1000000000000001</v>
      </c>
      <c r="U156" s="557">
        <f t="shared" si="78"/>
        <v>3.0000000000000009</v>
      </c>
      <c r="V156" s="575">
        <f t="shared" si="79"/>
        <v>1</v>
      </c>
      <c r="W156" s="594">
        <v>7.3999999999999996E-2</v>
      </c>
      <c r="X156" s="595">
        <f t="shared" si="88"/>
        <v>16678.342000000001</v>
      </c>
      <c r="Y156" s="594">
        <v>4.6382189239332093E-2</v>
      </c>
      <c r="Z156" s="577">
        <f t="shared" si="86"/>
        <v>8850.6029684601108</v>
      </c>
      <c r="AA156" s="2328" t="s">
        <v>1331</v>
      </c>
      <c r="AB156" s="597">
        <f t="shared" ref="AB156:AB219" si="90">L156*W156</f>
        <v>14233.050631148089</v>
      </c>
      <c r="AC156" s="597">
        <f t="shared" ref="AC156:AC219" si="91">IF(N156,N156*W156,"")</f>
        <v>2757496996.2279997</v>
      </c>
      <c r="AD156" s="597">
        <f t="shared" ref="AD156:AD219" si="92">IF(Y156,L156*Y156,"")</f>
        <v>8921.0817273906196</v>
      </c>
      <c r="AE156" s="610">
        <f t="shared" si="87"/>
        <v>8921.0817273906196</v>
      </c>
      <c r="AF156" s="572">
        <f t="shared" ref="AF156:AF219" si="93">Y156*I156</f>
        <v>7668.5528756957319</v>
      </c>
      <c r="AG156" s="599">
        <f t="shared" ref="AG156:AG219" si="94">Y156*R156</f>
        <v>3.8636363636363628E-2</v>
      </c>
      <c r="AH156" s="600">
        <f t="shared" ref="AH156:AH219" si="95">IF(X156=0,0,AG156/X156)</f>
        <v>2.3165590222555471E-6</v>
      </c>
      <c r="AI156" s="559" t="s">
        <v>606</v>
      </c>
    </row>
    <row r="157" spans="1:35" ht="14.4" hidden="1" x14ac:dyDescent="0.3">
      <c r="A157" s="560" t="s">
        <v>568</v>
      </c>
      <c r="B157" s="557" t="str">
        <f t="shared" si="89"/>
        <v>2000s</v>
      </c>
      <c r="C157" s="561">
        <v>2008</v>
      </c>
      <c r="D157" s="562">
        <f t="shared" si="65"/>
        <v>2004</v>
      </c>
      <c r="E157" s="563">
        <f t="shared" si="66"/>
        <v>2006</v>
      </c>
      <c r="F157" s="586">
        <f t="shared" si="67"/>
        <v>214465</v>
      </c>
      <c r="G157" s="587">
        <f t="shared" si="68"/>
        <v>225383</v>
      </c>
      <c r="H157" s="587">
        <f t="shared" si="69"/>
        <v>224525</v>
      </c>
      <c r="I157" s="2122">
        <f t="shared" si="70"/>
        <v>165334</v>
      </c>
      <c r="J157" s="2126">
        <f t="shared" si="71"/>
        <v>0.85338522445145271</v>
      </c>
      <c r="K157" s="590">
        <f t="shared" si="72"/>
        <v>190819</v>
      </c>
      <c r="L157" s="591">
        <f t="shared" si="80"/>
        <v>192338.52204254176</v>
      </c>
      <c r="M157" s="589">
        <f t="shared" si="82"/>
        <v>165334</v>
      </c>
      <c r="N157" s="591">
        <f t="shared" si="58"/>
        <v>37263472922</v>
      </c>
      <c r="O157" s="569">
        <f t="shared" si="73"/>
        <v>3.9488337629723629E-3</v>
      </c>
      <c r="P157" s="592">
        <f t="shared" si="74"/>
        <v>0.85338522445145271</v>
      </c>
      <c r="Q157" s="571">
        <f t="shared" si="75"/>
        <v>0.87662988966900701</v>
      </c>
      <c r="R157" s="572">
        <f t="shared" si="76"/>
        <v>0.83299999999999996</v>
      </c>
      <c r="S157" s="573">
        <f t="shared" si="77"/>
        <v>9.2991871729206102E-2</v>
      </c>
      <c r="T157" s="574">
        <v>1.2</v>
      </c>
      <c r="U157" s="557">
        <f t="shared" si="78"/>
        <v>3.9999999999999996</v>
      </c>
      <c r="V157" s="575">
        <f t="shared" si="79"/>
        <v>1</v>
      </c>
      <c r="W157" s="608">
        <v>0.86399999999999999</v>
      </c>
      <c r="X157" s="595">
        <f t="shared" si="88"/>
        <v>194730.91200000001</v>
      </c>
      <c r="Y157" s="608">
        <v>0.94063079777365488</v>
      </c>
      <c r="Z157" s="577">
        <f t="shared" si="86"/>
        <v>179490.22820037106</v>
      </c>
      <c r="AA157" s="2328" t="s">
        <v>1331</v>
      </c>
      <c r="AB157" s="597">
        <f t="shared" si="90"/>
        <v>166180.48304475608</v>
      </c>
      <c r="AC157" s="597">
        <f t="shared" si="91"/>
        <v>32195640604.607998</v>
      </c>
      <c r="AD157" s="597">
        <f t="shared" si="92"/>
        <v>180919.53743148176</v>
      </c>
      <c r="AE157" s="610">
        <f t="shared" si="87"/>
        <v>180919.53743148176</v>
      </c>
      <c r="AF157" s="572">
        <f t="shared" si="93"/>
        <v>155518.25231910945</v>
      </c>
      <c r="AG157" s="572">
        <f t="shared" si="94"/>
        <v>0.78354545454545443</v>
      </c>
      <c r="AH157" s="600">
        <f t="shared" si="95"/>
        <v>4.0237343239344266E-6</v>
      </c>
      <c r="AI157" s="559" t="s">
        <v>606</v>
      </c>
    </row>
    <row r="158" spans="1:35" ht="14.4" hidden="1" x14ac:dyDescent="0.3">
      <c r="A158" s="560" t="s">
        <v>568</v>
      </c>
      <c r="B158" s="557" t="str">
        <f t="shared" si="89"/>
        <v>2000s</v>
      </c>
      <c r="C158" s="561">
        <v>2008</v>
      </c>
      <c r="D158" s="562">
        <f t="shared" si="65"/>
        <v>2003</v>
      </c>
      <c r="E158" s="563">
        <f t="shared" si="66"/>
        <v>2005</v>
      </c>
      <c r="F158" s="586">
        <f t="shared" si="67"/>
        <v>214465</v>
      </c>
      <c r="G158" s="587">
        <f t="shared" si="68"/>
        <v>225383</v>
      </c>
      <c r="H158" s="587">
        <f t="shared" si="69"/>
        <v>224525</v>
      </c>
      <c r="I158" s="588">
        <f t="shared" si="70"/>
        <v>165334</v>
      </c>
      <c r="J158" s="589">
        <f t="shared" si="71"/>
        <v>0.85338522445145271</v>
      </c>
      <c r="K158" s="590">
        <f t="shared" si="72"/>
        <v>190819</v>
      </c>
      <c r="L158" s="591">
        <f t="shared" si="80"/>
        <v>192338.52204254176</v>
      </c>
      <c r="M158" s="589">
        <f t="shared" si="82"/>
        <v>165334</v>
      </c>
      <c r="N158" s="591">
        <f t="shared" si="58"/>
        <v>37263472922</v>
      </c>
      <c r="O158" s="569">
        <f t="shared" si="73"/>
        <v>3.9488337629723629E-3</v>
      </c>
      <c r="P158" s="592">
        <f t="shared" si="74"/>
        <v>0.85338522445145271</v>
      </c>
      <c r="Q158" s="571">
        <f t="shared" si="75"/>
        <v>0.87662988966900701</v>
      </c>
      <c r="R158" s="572">
        <f t="shared" si="76"/>
        <v>0.83299999999999996</v>
      </c>
      <c r="S158" s="573">
        <f t="shared" si="77"/>
        <v>9.2991871729206102E-2</v>
      </c>
      <c r="T158" s="574">
        <v>1.3</v>
      </c>
      <c r="U158" s="557">
        <f t="shared" si="78"/>
        <v>5</v>
      </c>
      <c r="V158" s="575">
        <f t="shared" si="79"/>
        <v>1</v>
      </c>
      <c r="W158" s="594">
        <v>7.0000000000000001E-3</v>
      </c>
      <c r="X158" s="595">
        <f t="shared" si="88"/>
        <v>1577.681</v>
      </c>
      <c r="Y158" s="594">
        <v>9.2764378478664197E-3</v>
      </c>
      <c r="Z158" s="577">
        <f t="shared" si="86"/>
        <v>1770.1205936920223</v>
      </c>
      <c r="AA158" s="2328" t="s">
        <v>1331</v>
      </c>
      <c r="AB158" s="597">
        <f t="shared" si="90"/>
        <v>1346.3696542977923</v>
      </c>
      <c r="AC158" s="597">
        <f t="shared" si="91"/>
        <v>260844310.454</v>
      </c>
      <c r="AD158" s="597">
        <f t="shared" si="92"/>
        <v>1784.2163454781241</v>
      </c>
      <c r="AE158" s="610">
        <f t="shared" si="87"/>
        <v>1784.2163454781241</v>
      </c>
      <c r="AF158" s="572">
        <f t="shared" si="93"/>
        <v>1533.7105751391466</v>
      </c>
      <c r="AG158" s="572">
        <f t="shared" si="94"/>
        <v>7.7272727272727276E-3</v>
      </c>
      <c r="AH158" s="600">
        <f t="shared" si="95"/>
        <v>4.8978676470545864E-6</v>
      </c>
      <c r="AI158" s="559" t="s">
        <v>606</v>
      </c>
    </row>
    <row r="159" spans="1:35" ht="14.4" hidden="1" x14ac:dyDescent="0.3">
      <c r="A159" s="560" t="s">
        <v>568</v>
      </c>
      <c r="B159" s="557" t="str">
        <f t="shared" si="89"/>
        <v>2000s</v>
      </c>
      <c r="C159" s="561">
        <v>2008</v>
      </c>
      <c r="D159" s="562">
        <f t="shared" si="65"/>
        <v>2004</v>
      </c>
      <c r="E159" s="563">
        <f t="shared" si="66"/>
        <v>2007</v>
      </c>
      <c r="F159" s="586">
        <f t="shared" si="67"/>
        <v>214465</v>
      </c>
      <c r="G159" s="587">
        <f t="shared" si="68"/>
        <v>225383</v>
      </c>
      <c r="H159" s="587">
        <f t="shared" si="69"/>
        <v>224525</v>
      </c>
      <c r="I159" s="2122">
        <f t="shared" si="70"/>
        <v>165334</v>
      </c>
      <c r="J159" s="2126">
        <f t="shared" si="71"/>
        <v>0.85338522445145271</v>
      </c>
      <c r="K159" s="590">
        <f t="shared" si="72"/>
        <v>190819</v>
      </c>
      <c r="L159" s="591">
        <f t="shared" si="80"/>
        <v>192338.52204254176</v>
      </c>
      <c r="M159" s="589">
        <f t="shared" si="82"/>
        <v>165334</v>
      </c>
      <c r="N159" s="591">
        <f t="shared" si="58"/>
        <v>37263472922</v>
      </c>
      <c r="O159" s="569">
        <f t="shared" si="73"/>
        <v>3.9488337629723629E-3</v>
      </c>
      <c r="P159" s="592">
        <f t="shared" si="74"/>
        <v>0.85338522445145271</v>
      </c>
      <c r="Q159" s="571">
        <f t="shared" si="75"/>
        <v>0.87662988966900701</v>
      </c>
      <c r="R159" s="572">
        <f t="shared" si="76"/>
        <v>0.83299999999999996</v>
      </c>
      <c r="S159" s="573">
        <f t="shared" si="77"/>
        <v>9.2991871729206102E-2</v>
      </c>
      <c r="T159" s="574">
        <v>2.1</v>
      </c>
      <c r="U159" s="557">
        <f t="shared" si="78"/>
        <v>4.0000000000000009</v>
      </c>
      <c r="V159" s="575">
        <f t="shared" si="79"/>
        <v>2</v>
      </c>
      <c r="W159" s="594">
        <v>2.3E-2</v>
      </c>
      <c r="X159" s="595">
        <f t="shared" si="88"/>
        <v>5183.8090000000002</v>
      </c>
      <c r="Y159" s="594">
        <v>0</v>
      </c>
      <c r="Z159" s="577">
        <f t="shared" si="86"/>
        <v>0</v>
      </c>
      <c r="AA159" s="2328" t="s">
        <v>1331</v>
      </c>
      <c r="AB159" s="597">
        <f t="shared" si="90"/>
        <v>4423.7860069784601</v>
      </c>
      <c r="AC159" s="597">
        <f t="shared" si="91"/>
        <v>857059877.20599997</v>
      </c>
      <c r="AD159" s="597">
        <f>IF(Y159,L159*Y159,0)</f>
        <v>0</v>
      </c>
      <c r="AE159" s="610">
        <f t="shared" si="87"/>
        <v>0</v>
      </c>
      <c r="AF159" s="572">
        <f t="shared" si="93"/>
        <v>0</v>
      </c>
      <c r="AG159" s="572">
        <f t="shared" si="94"/>
        <v>0</v>
      </c>
      <c r="AH159" s="600">
        <f t="shared" si="95"/>
        <v>0</v>
      </c>
      <c r="AI159" s="559" t="s">
        <v>606</v>
      </c>
    </row>
    <row r="160" spans="1:35" ht="14.4" hidden="1" x14ac:dyDescent="0.3">
      <c r="A160" s="560" t="s">
        <v>568</v>
      </c>
      <c r="B160" s="557" t="str">
        <f t="shared" si="89"/>
        <v>2000s</v>
      </c>
      <c r="C160" s="561">
        <v>2008</v>
      </c>
      <c r="D160" s="562">
        <f t="shared" si="65"/>
        <v>2003</v>
      </c>
      <c r="E160" s="563">
        <f t="shared" si="66"/>
        <v>2006</v>
      </c>
      <c r="F160" s="586">
        <f t="shared" si="67"/>
        <v>214465</v>
      </c>
      <c r="G160" s="587">
        <f t="shared" si="68"/>
        <v>225383</v>
      </c>
      <c r="H160" s="587">
        <f t="shared" si="69"/>
        <v>224525</v>
      </c>
      <c r="I160" s="588">
        <f t="shared" si="70"/>
        <v>165334</v>
      </c>
      <c r="J160" s="589">
        <f t="shared" si="71"/>
        <v>0.85338522445145271</v>
      </c>
      <c r="K160" s="590">
        <f t="shared" si="72"/>
        <v>190819</v>
      </c>
      <c r="L160" s="591">
        <f t="shared" si="80"/>
        <v>192338.52204254176</v>
      </c>
      <c r="M160" s="589">
        <f t="shared" si="82"/>
        <v>165334</v>
      </c>
      <c r="N160" s="591">
        <f t="shared" si="58"/>
        <v>37263472922</v>
      </c>
      <c r="O160" s="569">
        <f t="shared" si="73"/>
        <v>3.9488337629723629E-3</v>
      </c>
      <c r="P160" s="592">
        <f t="shared" si="74"/>
        <v>0.85338522445145271</v>
      </c>
      <c r="Q160" s="571">
        <f t="shared" si="75"/>
        <v>0.87662988966900701</v>
      </c>
      <c r="R160" s="572">
        <f t="shared" si="76"/>
        <v>0.83299999999999996</v>
      </c>
      <c r="S160" s="573">
        <f t="shared" si="77"/>
        <v>9.2991871729206102E-2</v>
      </c>
      <c r="T160" s="574">
        <v>2.2000000000000002</v>
      </c>
      <c r="U160" s="557">
        <f t="shared" si="78"/>
        <v>5.0000000000000018</v>
      </c>
      <c r="V160" s="575">
        <f t="shared" si="79"/>
        <v>2</v>
      </c>
      <c r="W160" s="608">
        <v>3.2000000000000001E-2</v>
      </c>
      <c r="X160" s="595">
        <f t="shared" si="88"/>
        <v>7212.2560000000003</v>
      </c>
      <c r="Y160" s="605">
        <v>3.7105751391465678E-3</v>
      </c>
      <c r="Z160" s="577">
        <f t="shared" si="86"/>
        <v>708.04823747680894</v>
      </c>
      <c r="AA160" s="2328" t="s">
        <v>1331</v>
      </c>
      <c r="AB160" s="597">
        <f t="shared" si="90"/>
        <v>6154.8327053613366</v>
      </c>
      <c r="AC160" s="597">
        <f t="shared" si="91"/>
        <v>1192431133.5039999</v>
      </c>
      <c r="AD160" s="597">
        <f t="shared" ref="AD160:AD166" si="96">IF(Y160,L160*Y160,0)</f>
        <v>713.68653819124961</v>
      </c>
      <c r="AE160" s="610">
        <f t="shared" si="87"/>
        <v>713.68653819124961</v>
      </c>
      <c r="AF160" s="572">
        <f t="shared" si="93"/>
        <v>613.4842300556586</v>
      </c>
      <c r="AG160" s="572">
        <f t="shared" si="94"/>
        <v>3.0909090909090908E-3</v>
      </c>
      <c r="AH160" s="600">
        <f t="shared" si="95"/>
        <v>4.285634191172763E-7</v>
      </c>
      <c r="AI160" s="559" t="s">
        <v>606</v>
      </c>
    </row>
    <row r="161" spans="1:35" ht="14.4" hidden="1" x14ac:dyDescent="0.3">
      <c r="A161" s="560" t="s">
        <v>568</v>
      </c>
      <c r="B161" s="557" t="str">
        <f t="shared" si="89"/>
        <v>2000s</v>
      </c>
      <c r="C161" s="561">
        <v>2009</v>
      </c>
      <c r="D161" s="562">
        <f t="shared" si="65"/>
        <v>2006</v>
      </c>
      <c r="E161" s="563">
        <f t="shared" si="66"/>
        <v>2008</v>
      </c>
      <c r="F161" s="586">
        <f t="shared" si="67"/>
        <v>179732</v>
      </c>
      <c r="G161" s="587">
        <f t="shared" si="68"/>
        <v>187614</v>
      </c>
      <c r="H161" s="587">
        <f t="shared" si="69"/>
        <v>186485</v>
      </c>
      <c r="I161" s="588">
        <f t="shared" si="70"/>
        <v>134937</v>
      </c>
      <c r="J161" s="589">
        <f t="shared" si="71"/>
        <v>0.82869864275624883</v>
      </c>
      <c r="K161" s="590">
        <f t="shared" si="72"/>
        <v>154546</v>
      </c>
      <c r="L161" s="591">
        <f t="shared" si="80"/>
        <v>155475.46716207085</v>
      </c>
      <c r="M161" s="589">
        <f t="shared" si="82"/>
        <v>134937</v>
      </c>
      <c r="N161" s="591">
        <f t="shared" si="58"/>
        <v>25316070318</v>
      </c>
      <c r="O161" s="569">
        <f t="shared" si="73"/>
        <v>7.5367509887321838E-3</v>
      </c>
      <c r="P161" s="592">
        <f t="shared" si="74"/>
        <v>0.82869864275624883</v>
      </c>
      <c r="Q161" s="571">
        <f t="shared" si="75"/>
        <v>0.84521802685402403</v>
      </c>
      <c r="R161" s="572">
        <f t="shared" si="76"/>
        <v>0.82599999999999996</v>
      </c>
      <c r="S161" s="573">
        <f t="shared" si="77"/>
        <v>6.7083143416360569E-2</v>
      </c>
      <c r="T161" s="602">
        <v>1.1000000000000001</v>
      </c>
      <c r="U161" s="557">
        <f t="shared" si="78"/>
        <v>3.0000000000000009</v>
      </c>
      <c r="V161" s="575">
        <f t="shared" si="79"/>
        <v>1</v>
      </c>
      <c r="W161" s="608">
        <v>0.125</v>
      </c>
      <c r="X161" s="595">
        <f t="shared" si="88"/>
        <v>23451.75</v>
      </c>
      <c r="Y161" s="608">
        <v>3.4979423868312758E-2</v>
      </c>
      <c r="Z161" s="577">
        <f t="shared" si="86"/>
        <v>5405.9300411522636</v>
      </c>
      <c r="AA161" s="2328" t="s">
        <v>1331</v>
      </c>
      <c r="AB161" s="597">
        <f t="shared" si="90"/>
        <v>19434.433395258857</v>
      </c>
      <c r="AC161" s="597">
        <f t="shared" si="91"/>
        <v>3164508789.75</v>
      </c>
      <c r="AD161" s="597">
        <f t="shared" si="96"/>
        <v>5438.4422669860178</v>
      </c>
      <c r="AE161" s="610">
        <f t="shared" si="87"/>
        <v>5438.4422669860178</v>
      </c>
      <c r="AF161" s="572">
        <f t="shared" si="93"/>
        <v>4720.0185185185182</v>
      </c>
      <c r="AG161" s="572">
        <f t="shared" si="94"/>
        <v>2.8893004115226335E-2</v>
      </c>
      <c r="AH161" s="600">
        <f t="shared" si="95"/>
        <v>1.2320191079653473E-6</v>
      </c>
      <c r="AI161" s="559" t="s">
        <v>606</v>
      </c>
    </row>
    <row r="162" spans="1:35" ht="14.4" hidden="1" x14ac:dyDescent="0.3">
      <c r="A162" s="560" t="s">
        <v>568</v>
      </c>
      <c r="B162" s="557" t="str">
        <f t="shared" si="89"/>
        <v>2000s</v>
      </c>
      <c r="C162" s="561">
        <v>2009</v>
      </c>
      <c r="D162" s="562">
        <f t="shared" si="65"/>
        <v>2005</v>
      </c>
      <c r="E162" s="563">
        <f t="shared" si="66"/>
        <v>2007</v>
      </c>
      <c r="F162" s="586">
        <f t="shared" si="67"/>
        <v>179732</v>
      </c>
      <c r="G162" s="587">
        <f t="shared" si="68"/>
        <v>187614</v>
      </c>
      <c r="H162" s="587">
        <f t="shared" si="69"/>
        <v>186485</v>
      </c>
      <c r="I162" s="588">
        <f t="shared" si="70"/>
        <v>134937</v>
      </c>
      <c r="J162" s="589">
        <f t="shared" si="71"/>
        <v>0.82869864275624883</v>
      </c>
      <c r="K162" s="590">
        <f t="shared" si="72"/>
        <v>154546</v>
      </c>
      <c r="L162" s="591">
        <f t="shared" si="80"/>
        <v>155475.46716207085</v>
      </c>
      <c r="M162" s="589">
        <f t="shared" si="82"/>
        <v>134937</v>
      </c>
      <c r="N162" s="591">
        <f t="shared" si="58"/>
        <v>25316070318</v>
      </c>
      <c r="O162" s="569">
        <f t="shared" si="73"/>
        <v>7.5367509887321838E-3</v>
      </c>
      <c r="P162" s="592">
        <f t="shared" si="74"/>
        <v>0.82869864275624883</v>
      </c>
      <c r="Q162" s="571">
        <f t="shared" si="75"/>
        <v>0.84521802685402403</v>
      </c>
      <c r="R162" s="572">
        <f t="shared" si="76"/>
        <v>0.82599999999999996</v>
      </c>
      <c r="S162" s="573">
        <f t="shared" si="77"/>
        <v>6.7083143416360569E-2</v>
      </c>
      <c r="T162" s="574">
        <v>1.2</v>
      </c>
      <c r="U162" s="557">
        <f t="shared" si="78"/>
        <v>3.9999999999999996</v>
      </c>
      <c r="V162" s="575">
        <f t="shared" si="79"/>
        <v>1</v>
      </c>
      <c r="W162" s="608">
        <v>0.79200000000000004</v>
      </c>
      <c r="X162" s="595">
        <f t="shared" si="88"/>
        <v>148590.288</v>
      </c>
      <c r="Y162" s="608">
        <v>0.87860082304526754</v>
      </c>
      <c r="Z162" s="577">
        <f t="shared" si="86"/>
        <v>135784.24279835392</v>
      </c>
      <c r="AA162" s="2328" t="s">
        <v>1331</v>
      </c>
      <c r="AB162" s="597">
        <f t="shared" si="90"/>
        <v>123136.56999236012</v>
      </c>
      <c r="AC162" s="597">
        <f t="shared" si="91"/>
        <v>20050327691.856003</v>
      </c>
      <c r="AD162" s="597">
        <f t="shared" si="96"/>
        <v>136600.87341194291</v>
      </c>
      <c r="AE162" s="610">
        <f t="shared" si="87"/>
        <v>136600.87341194291</v>
      </c>
      <c r="AF162" s="572">
        <f t="shared" si="93"/>
        <v>118555.75925925927</v>
      </c>
      <c r="AG162" s="572">
        <f t="shared" si="94"/>
        <v>0.72572427983539101</v>
      </c>
      <c r="AH162" s="600">
        <f t="shared" si="95"/>
        <v>4.8840626773358905E-6</v>
      </c>
      <c r="AI162" s="559" t="s">
        <v>606</v>
      </c>
    </row>
    <row r="163" spans="1:35" ht="14.4" hidden="1" x14ac:dyDescent="0.3">
      <c r="A163" s="560" t="s">
        <v>568</v>
      </c>
      <c r="B163" s="557" t="str">
        <f t="shared" si="89"/>
        <v>2000s</v>
      </c>
      <c r="C163" s="561">
        <v>2009</v>
      </c>
      <c r="D163" s="562">
        <f t="shared" si="65"/>
        <v>2004</v>
      </c>
      <c r="E163" s="563">
        <f t="shared" si="66"/>
        <v>2006</v>
      </c>
      <c r="F163" s="586">
        <f t="shared" si="67"/>
        <v>179732</v>
      </c>
      <c r="G163" s="587">
        <f t="shared" si="68"/>
        <v>187614</v>
      </c>
      <c r="H163" s="587">
        <f t="shared" si="69"/>
        <v>186485</v>
      </c>
      <c r="I163" s="2122">
        <f t="shared" si="70"/>
        <v>134937</v>
      </c>
      <c r="J163" s="2126">
        <f t="shared" si="71"/>
        <v>0.82869864275624883</v>
      </c>
      <c r="K163" s="590">
        <f t="shared" si="72"/>
        <v>154546</v>
      </c>
      <c r="L163" s="591">
        <f t="shared" si="80"/>
        <v>155475.46716207085</v>
      </c>
      <c r="M163" s="589">
        <f t="shared" si="82"/>
        <v>134937</v>
      </c>
      <c r="N163" s="591">
        <f t="shared" si="58"/>
        <v>25316070318</v>
      </c>
      <c r="O163" s="569">
        <f t="shared" si="73"/>
        <v>7.5367509887321838E-3</v>
      </c>
      <c r="P163" s="592">
        <f t="shared" si="74"/>
        <v>0.82869864275624883</v>
      </c>
      <c r="Q163" s="571">
        <f t="shared" si="75"/>
        <v>0.84521802685402403</v>
      </c>
      <c r="R163" s="572">
        <f t="shared" si="76"/>
        <v>0.82599999999999996</v>
      </c>
      <c r="S163" s="573">
        <f t="shared" si="77"/>
        <v>6.7083143416360569E-2</v>
      </c>
      <c r="T163" s="574">
        <v>1.3</v>
      </c>
      <c r="U163" s="557">
        <f t="shared" si="78"/>
        <v>5</v>
      </c>
      <c r="V163" s="575">
        <f t="shared" si="79"/>
        <v>1</v>
      </c>
      <c r="W163" s="594">
        <v>2.5999999999999999E-2</v>
      </c>
      <c r="X163" s="595">
        <f t="shared" si="88"/>
        <v>4877.9639999999999</v>
      </c>
      <c r="Y163" s="594">
        <v>5.3497942386831275E-2</v>
      </c>
      <c r="Z163" s="577">
        <f t="shared" si="86"/>
        <v>8267.8930041152271</v>
      </c>
      <c r="AA163" s="2328" t="s">
        <v>1331</v>
      </c>
      <c r="AB163" s="597">
        <f t="shared" si="90"/>
        <v>4042.3621462138422</v>
      </c>
      <c r="AC163" s="597">
        <f t="shared" si="91"/>
        <v>658217828.26800001</v>
      </c>
      <c r="AD163" s="597">
        <f t="shared" si="96"/>
        <v>8317.6175848021448</v>
      </c>
      <c r="AE163" s="610">
        <f t="shared" si="87"/>
        <v>8317.6175848021448</v>
      </c>
      <c r="AF163" s="572">
        <f t="shared" si="93"/>
        <v>7218.8518518518522</v>
      </c>
      <c r="AG163" s="572">
        <f t="shared" si="94"/>
        <v>4.4189300411522629E-2</v>
      </c>
      <c r="AH163" s="600">
        <f t="shared" si="95"/>
        <v>9.0589640291569652E-6</v>
      </c>
      <c r="AI163" s="559" t="s">
        <v>606</v>
      </c>
    </row>
    <row r="164" spans="1:35" ht="14.4" hidden="1" x14ac:dyDescent="0.3">
      <c r="A164" s="560" t="s">
        <v>568</v>
      </c>
      <c r="B164" s="557" t="str">
        <f t="shared" si="89"/>
        <v>2000s</v>
      </c>
      <c r="C164" s="561">
        <v>2009</v>
      </c>
      <c r="D164" s="562">
        <f t="shared" si="65"/>
        <v>2005</v>
      </c>
      <c r="E164" s="563">
        <f t="shared" si="66"/>
        <v>2008</v>
      </c>
      <c r="F164" s="586">
        <f t="shared" si="67"/>
        <v>179732</v>
      </c>
      <c r="G164" s="587">
        <f t="shared" si="68"/>
        <v>187614</v>
      </c>
      <c r="H164" s="587">
        <f t="shared" si="69"/>
        <v>186485</v>
      </c>
      <c r="I164" s="588">
        <f t="shared" si="70"/>
        <v>134937</v>
      </c>
      <c r="J164" s="589">
        <f t="shared" si="71"/>
        <v>0.82869864275624883</v>
      </c>
      <c r="K164" s="590">
        <f t="shared" si="72"/>
        <v>154546</v>
      </c>
      <c r="L164" s="591">
        <f t="shared" si="80"/>
        <v>155475.46716207085</v>
      </c>
      <c r="M164" s="589">
        <f t="shared" si="82"/>
        <v>134937</v>
      </c>
      <c r="N164" s="591">
        <f t="shared" si="58"/>
        <v>25316070318</v>
      </c>
      <c r="O164" s="569">
        <f t="shared" si="73"/>
        <v>7.5367509887321838E-3</v>
      </c>
      <c r="P164" s="592">
        <f t="shared" si="74"/>
        <v>0.82869864275624883</v>
      </c>
      <c r="Q164" s="571">
        <f t="shared" si="75"/>
        <v>0.84521802685402403</v>
      </c>
      <c r="R164" s="572">
        <f t="shared" si="76"/>
        <v>0.82599999999999996</v>
      </c>
      <c r="S164" s="573">
        <f t="shared" si="77"/>
        <v>6.7083143416360569E-2</v>
      </c>
      <c r="T164" s="574">
        <v>2.1</v>
      </c>
      <c r="U164" s="557">
        <f t="shared" si="78"/>
        <v>4.0000000000000009</v>
      </c>
      <c r="V164" s="575">
        <f t="shared" si="79"/>
        <v>2</v>
      </c>
      <c r="W164" s="594">
        <v>0.01</v>
      </c>
      <c r="X164" s="595">
        <f t="shared" si="88"/>
        <v>1876.14</v>
      </c>
      <c r="Y164" s="594">
        <v>0</v>
      </c>
      <c r="Z164" s="577">
        <f t="shared" si="86"/>
        <v>0</v>
      </c>
      <c r="AA164" s="2328" t="s">
        <v>1331</v>
      </c>
      <c r="AB164" s="597">
        <f t="shared" si="90"/>
        <v>1554.7546716207087</v>
      </c>
      <c r="AC164" s="597">
        <f t="shared" si="91"/>
        <v>253160703.18000001</v>
      </c>
      <c r="AD164" s="597">
        <f t="shared" si="96"/>
        <v>0</v>
      </c>
      <c r="AE164" s="610">
        <f t="shared" si="87"/>
        <v>0</v>
      </c>
      <c r="AF164" s="572">
        <f t="shared" si="93"/>
        <v>0</v>
      </c>
      <c r="AG164" s="572">
        <f t="shared" si="94"/>
        <v>0</v>
      </c>
      <c r="AH164" s="600">
        <f t="shared" si="95"/>
        <v>0</v>
      </c>
      <c r="AI164" s="559" t="s">
        <v>606</v>
      </c>
    </row>
    <row r="165" spans="1:35" ht="14.4" hidden="1" x14ac:dyDescent="0.3">
      <c r="A165" s="560" t="s">
        <v>568</v>
      </c>
      <c r="B165" s="557" t="str">
        <f t="shared" si="89"/>
        <v>2000s</v>
      </c>
      <c r="C165" s="561">
        <v>2009</v>
      </c>
      <c r="D165" s="562">
        <f t="shared" si="65"/>
        <v>2004</v>
      </c>
      <c r="E165" s="563">
        <f t="shared" si="66"/>
        <v>2007</v>
      </c>
      <c r="F165" s="586">
        <f t="shared" si="67"/>
        <v>179732</v>
      </c>
      <c r="G165" s="587">
        <f t="shared" si="68"/>
        <v>187614</v>
      </c>
      <c r="H165" s="587">
        <f t="shared" si="69"/>
        <v>186485</v>
      </c>
      <c r="I165" s="2122">
        <f t="shared" si="70"/>
        <v>134937</v>
      </c>
      <c r="J165" s="2126">
        <f t="shared" si="71"/>
        <v>0.82869864275624883</v>
      </c>
      <c r="K165" s="590">
        <f t="shared" si="72"/>
        <v>154546</v>
      </c>
      <c r="L165" s="591">
        <f t="shared" si="80"/>
        <v>155475.46716207085</v>
      </c>
      <c r="M165" s="589">
        <f t="shared" si="82"/>
        <v>134937</v>
      </c>
      <c r="N165" s="591">
        <f t="shared" si="58"/>
        <v>25316070318</v>
      </c>
      <c r="O165" s="569">
        <f t="shared" si="73"/>
        <v>7.5367509887321838E-3</v>
      </c>
      <c r="P165" s="592">
        <f t="shared" si="74"/>
        <v>0.82869864275624883</v>
      </c>
      <c r="Q165" s="571">
        <f t="shared" si="75"/>
        <v>0.84521802685402403</v>
      </c>
      <c r="R165" s="572">
        <f t="shared" si="76"/>
        <v>0.82599999999999996</v>
      </c>
      <c r="S165" s="573">
        <f t="shared" si="77"/>
        <v>6.7083143416360569E-2</v>
      </c>
      <c r="T165" s="574">
        <v>2.2000000000000002</v>
      </c>
      <c r="U165" s="557">
        <f t="shared" si="78"/>
        <v>5.0000000000000018</v>
      </c>
      <c r="V165" s="575">
        <f t="shared" si="79"/>
        <v>2</v>
      </c>
      <c r="W165" s="594">
        <v>4.5999999999999999E-2</v>
      </c>
      <c r="X165" s="595">
        <f t="shared" si="88"/>
        <v>8630.2440000000006</v>
      </c>
      <c r="Y165" s="594">
        <v>3.292181069958848E-2</v>
      </c>
      <c r="Z165" s="577">
        <f t="shared" si="86"/>
        <v>5087.9341563786011</v>
      </c>
      <c r="AA165" s="2328" t="s">
        <v>1331</v>
      </c>
      <c r="AB165" s="597">
        <f t="shared" si="90"/>
        <v>7151.8714894552595</v>
      </c>
      <c r="AC165" s="597">
        <f t="shared" si="91"/>
        <v>1164539234.628</v>
      </c>
      <c r="AD165" s="597">
        <f t="shared" si="96"/>
        <v>5118.5338983397814</v>
      </c>
      <c r="AE165" s="610">
        <f t="shared" si="87"/>
        <v>5118.5338983397814</v>
      </c>
      <c r="AF165" s="572">
        <f t="shared" si="93"/>
        <v>4442.3703703703704</v>
      </c>
      <c r="AG165" s="572">
        <f t="shared" si="94"/>
        <v>2.7193415637860083E-2</v>
      </c>
      <c r="AH165" s="600">
        <f t="shared" si="95"/>
        <v>3.1509440101415536E-6</v>
      </c>
      <c r="AI165" s="559" t="s">
        <v>606</v>
      </c>
    </row>
    <row r="166" spans="1:35" ht="14.4" hidden="1" x14ac:dyDescent="0.3">
      <c r="A166" s="560" t="s">
        <v>568</v>
      </c>
      <c r="B166" s="557" t="str">
        <f t="shared" si="89"/>
        <v>2000s</v>
      </c>
      <c r="C166" s="561">
        <v>2009</v>
      </c>
      <c r="D166" s="562">
        <f t="shared" si="65"/>
        <v>2003</v>
      </c>
      <c r="E166" s="563">
        <f t="shared" si="66"/>
        <v>2006</v>
      </c>
      <c r="F166" s="586">
        <f t="shared" si="67"/>
        <v>179732</v>
      </c>
      <c r="G166" s="587">
        <f t="shared" si="68"/>
        <v>187614</v>
      </c>
      <c r="H166" s="587">
        <f t="shared" si="69"/>
        <v>186485</v>
      </c>
      <c r="I166" s="2122">
        <f t="shared" si="70"/>
        <v>134937</v>
      </c>
      <c r="J166" s="2126">
        <f t="shared" si="71"/>
        <v>0.82869864275624883</v>
      </c>
      <c r="K166" s="590">
        <f t="shared" si="72"/>
        <v>154546</v>
      </c>
      <c r="L166" s="591">
        <f t="shared" si="80"/>
        <v>155475.46716207085</v>
      </c>
      <c r="M166" s="589">
        <f t="shared" si="82"/>
        <v>134937</v>
      </c>
      <c r="N166" s="591">
        <f t="shared" si="58"/>
        <v>25316070318</v>
      </c>
      <c r="O166" s="569">
        <f t="shared" si="73"/>
        <v>7.5367509887321838E-3</v>
      </c>
      <c r="P166" s="592">
        <f t="shared" si="74"/>
        <v>0.82869864275624883</v>
      </c>
      <c r="Q166" s="571">
        <f t="shared" si="75"/>
        <v>0.84521802685402403</v>
      </c>
      <c r="R166" s="572">
        <f t="shared" si="76"/>
        <v>0.82599999999999996</v>
      </c>
      <c r="S166" s="573">
        <f t="shared" si="77"/>
        <v>6.7083143416360569E-2</v>
      </c>
      <c r="T166" s="574">
        <v>2.2999999999999998</v>
      </c>
      <c r="U166" s="557">
        <f t="shared" si="78"/>
        <v>5.9999999999999982</v>
      </c>
      <c r="V166" s="575">
        <f t="shared" si="79"/>
        <v>2</v>
      </c>
      <c r="W166" s="594">
        <v>1E-3</v>
      </c>
      <c r="X166" s="595">
        <f t="shared" si="88"/>
        <v>187.614</v>
      </c>
      <c r="Y166" s="594">
        <v>0</v>
      </c>
      <c r="Z166" s="577">
        <f t="shared" si="86"/>
        <v>0</v>
      </c>
      <c r="AA166" s="2328" t="s">
        <v>1331</v>
      </c>
      <c r="AB166" s="597">
        <f t="shared" si="90"/>
        <v>155.47546716207086</v>
      </c>
      <c r="AC166" s="597">
        <f t="shared" si="91"/>
        <v>25316070.318</v>
      </c>
      <c r="AD166" s="597">
        <f t="shared" si="96"/>
        <v>0</v>
      </c>
      <c r="AE166" s="610">
        <f t="shared" si="87"/>
        <v>0</v>
      </c>
      <c r="AF166" s="572">
        <f t="shared" si="93"/>
        <v>0</v>
      </c>
      <c r="AG166" s="572">
        <f t="shared" si="94"/>
        <v>0</v>
      </c>
      <c r="AH166" s="600">
        <f t="shared" si="95"/>
        <v>0</v>
      </c>
    </row>
    <row r="167" spans="1:35" ht="14.4" hidden="1" x14ac:dyDescent="0.3">
      <c r="A167" s="560" t="s">
        <v>568</v>
      </c>
      <c r="B167" s="557" t="str">
        <f t="shared" si="89"/>
        <v>2000s</v>
      </c>
      <c r="C167" s="561">
        <v>2010</v>
      </c>
      <c r="D167" s="562">
        <f t="shared" si="65"/>
        <v>2007</v>
      </c>
      <c r="E167" s="563">
        <f t="shared" si="66"/>
        <v>2009</v>
      </c>
      <c r="F167" s="586">
        <f t="shared" si="67"/>
        <v>392193</v>
      </c>
      <c r="G167" s="587">
        <f t="shared" si="68"/>
        <v>409950</v>
      </c>
      <c r="H167" s="587">
        <f t="shared" si="69"/>
        <v>408346</v>
      </c>
      <c r="I167" s="2122">
        <f t="shared" si="70"/>
        <v>291764</v>
      </c>
      <c r="J167" s="2126">
        <f t="shared" si="71"/>
        <v>0.86241612722059646</v>
      </c>
      <c r="K167" s="590">
        <f t="shared" si="72"/>
        <v>355037</v>
      </c>
      <c r="L167" s="591">
        <f t="shared" si="80"/>
        <v>353547.49135408353</v>
      </c>
      <c r="M167" s="589">
        <f t="shared" si="82"/>
        <v>291764</v>
      </c>
      <c r="N167" s="591">
        <f t="shared" si="58"/>
        <v>119608651800</v>
      </c>
      <c r="O167" s="569">
        <f t="shared" si="73"/>
        <v>4.539577997316746E-3</v>
      </c>
      <c r="P167" s="592">
        <f t="shared" si="74"/>
        <v>0.86241612722059646</v>
      </c>
      <c r="Q167" s="571">
        <f t="shared" si="75"/>
        <v>0.87268949753590441</v>
      </c>
      <c r="R167" s="572">
        <f t="shared" si="76"/>
        <v>0.81799999999999995</v>
      </c>
      <c r="S167" s="573">
        <f t="shared" si="77"/>
        <v>0.10297639746685409</v>
      </c>
      <c r="T167" s="574">
        <v>1.1000000000000001</v>
      </c>
      <c r="U167" s="557">
        <f t="shared" si="78"/>
        <v>3.0000000000000009</v>
      </c>
      <c r="V167" s="575">
        <f t="shared" si="79"/>
        <v>1</v>
      </c>
      <c r="W167" s="594">
        <v>1.7999999999999999E-2</v>
      </c>
      <c r="X167" s="595">
        <f t="shared" si="88"/>
        <v>7379.0999999999995</v>
      </c>
      <c r="Y167" s="594">
        <v>8.8183421516754845E-3</v>
      </c>
      <c r="Z167" s="577">
        <f t="shared" si="86"/>
        <v>3130.8377425044091</v>
      </c>
      <c r="AA167" s="2328" t="s">
        <v>1331</v>
      </c>
      <c r="AB167" s="597">
        <f t="shared" si="90"/>
        <v>6363.8548443735026</v>
      </c>
      <c r="AC167" s="597">
        <f t="shared" si="91"/>
        <v>2152955732.3999996</v>
      </c>
      <c r="AD167" s="597">
        <f t="shared" si="92"/>
        <v>3117.7027456268388</v>
      </c>
      <c r="AE167" s="610">
        <f t="shared" si="87"/>
        <v>3117.7027456268388</v>
      </c>
      <c r="AF167" s="572">
        <f t="shared" si="93"/>
        <v>2572.8747795414461</v>
      </c>
      <c r="AG167" s="599">
        <f t="shared" si="94"/>
        <v>7.2134038800705461E-3</v>
      </c>
      <c r="AH167" s="600">
        <f t="shared" si="95"/>
        <v>9.7754521284039333E-7</v>
      </c>
      <c r="AI167" s="559" t="s">
        <v>606</v>
      </c>
    </row>
    <row r="168" spans="1:35" ht="14.4" hidden="1" x14ac:dyDescent="0.3">
      <c r="A168" s="560" t="s">
        <v>568</v>
      </c>
      <c r="B168" s="557" t="str">
        <f t="shared" si="89"/>
        <v>2000s</v>
      </c>
      <c r="C168" s="561">
        <v>2010</v>
      </c>
      <c r="D168" s="562">
        <f t="shared" si="65"/>
        <v>2006</v>
      </c>
      <c r="E168" s="563">
        <f t="shared" si="66"/>
        <v>2008</v>
      </c>
      <c r="F168" s="586">
        <f t="shared" si="67"/>
        <v>392193</v>
      </c>
      <c r="G168" s="587">
        <f t="shared" si="68"/>
        <v>409950</v>
      </c>
      <c r="H168" s="587">
        <f t="shared" si="69"/>
        <v>408346</v>
      </c>
      <c r="I168" s="2122">
        <f t="shared" si="70"/>
        <v>291764</v>
      </c>
      <c r="J168" s="2126">
        <f t="shared" si="71"/>
        <v>0.86241612722059646</v>
      </c>
      <c r="K168" s="590">
        <f t="shared" si="72"/>
        <v>355037</v>
      </c>
      <c r="L168" s="591">
        <f t="shared" si="80"/>
        <v>353547.49135408353</v>
      </c>
      <c r="M168" s="589">
        <f t="shared" si="82"/>
        <v>291764</v>
      </c>
      <c r="N168" s="591">
        <f t="shared" si="58"/>
        <v>119608651800</v>
      </c>
      <c r="O168" s="569">
        <f t="shared" si="73"/>
        <v>4.539577997316746E-3</v>
      </c>
      <c r="P168" s="592">
        <f t="shared" si="74"/>
        <v>0.86241612722059646</v>
      </c>
      <c r="Q168" s="571">
        <f t="shared" si="75"/>
        <v>0.87268949753590441</v>
      </c>
      <c r="R168" s="572">
        <f t="shared" si="76"/>
        <v>0.81799999999999995</v>
      </c>
      <c r="S168" s="573">
        <f t="shared" si="77"/>
        <v>0.10297639746685409</v>
      </c>
      <c r="T168" s="574">
        <v>1.2</v>
      </c>
      <c r="U168" s="557">
        <f t="shared" si="78"/>
        <v>3.9999999999999996</v>
      </c>
      <c r="V168" s="575">
        <f t="shared" si="79"/>
        <v>1</v>
      </c>
      <c r="W168" s="608">
        <v>0.95399999999999996</v>
      </c>
      <c r="X168" s="595">
        <f t="shared" si="88"/>
        <v>391092.3</v>
      </c>
      <c r="Y168" s="608">
        <v>0.89400000000000002</v>
      </c>
      <c r="Z168" s="577">
        <f t="shared" si="86"/>
        <v>317403.07799999998</v>
      </c>
      <c r="AA168" s="2328" t="s">
        <v>1331</v>
      </c>
      <c r="AB168" s="597">
        <f t="shared" si="90"/>
        <v>337284.3067517957</v>
      </c>
      <c r="AC168" s="597">
        <f t="shared" si="91"/>
        <v>114106653817.2</v>
      </c>
      <c r="AD168" s="597">
        <f t="shared" si="92"/>
        <v>316071.45727055066</v>
      </c>
      <c r="AE168" s="610">
        <f t="shared" si="87"/>
        <v>316071.45727055066</v>
      </c>
      <c r="AF168" s="572">
        <f t="shared" si="93"/>
        <v>260837.016</v>
      </c>
      <c r="AG168" s="572">
        <f t="shared" si="94"/>
        <v>0.73129199999999994</v>
      </c>
      <c r="AH168" s="600">
        <f t="shared" si="95"/>
        <v>1.8698706162202631E-6</v>
      </c>
      <c r="AI168" s="559" t="s">
        <v>606</v>
      </c>
    </row>
    <row r="169" spans="1:35" ht="14.4" hidden="1" x14ac:dyDescent="0.3">
      <c r="A169" s="560" t="s">
        <v>568</v>
      </c>
      <c r="B169" s="557" t="str">
        <f t="shared" si="89"/>
        <v>2000s</v>
      </c>
      <c r="C169" s="561">
        <v>2010</v>
      </c>
      <c r="D169" s="562">
        <f t="shared" si="65"/>
        <v>2005</v>
      </c>
      <c r="E169" s="563">
        <f t="shared" si="66"/>
        <v>2007</v>
      </c>
      <c r="F169" s="586">
        <f t="shared" si="67"/>
        <v>392193</v>
      </c>
      <c r="G169" s="587">
        <f t="shared" si="68"/>
        <v>409950</v>
      </c>
      <c r="H169" s="587">
        <f t="shared" si="69"/>
        <v>408346</v>
      </c>
      <c r="I169" s="2122">
        <f t="shared" si="70"/>
        <v>291764</v>
      </c>
      <c r="J169" s="2126">
        <f t="shared" si="71"/>
        <v>0.86241612722059646</v>
      </c>
      <c r="K169" s="590">
        <f t="shared" si="72"/>
        <v>355037</v>
      </c>
      <c r="L169" s="591">
        <f t="shared" si="80"/>
        <v>353547.49135408353</v>
      </c>
      <c r="M169" s="589">
        <f t="shared" ref="M169:M200" si="97">VLOOKUP($C169,SockeyeReturnsData,12)</f>
        <v>291764</v>
      </c>
      <c r="N169" s="591">
        <f t="shared" ref="N169:N234" si="98">IF(M169,M169*G169,J169*G169)</f>
        <v>119608651800</v>
      </c>
      <c r="O169" s="569">
        <f t="shared" si="73"/>
        <v>4.539577997316746E-3</v>
      </c>
      <c r="P169" s="592">
        <f t="shared" si="74"/>
        <v>0.86241612722059646</v>
      </c>
      <c r="Q169" s="571">
        <f t="shared" si="75"/>
        <v>0.87268949753590441</v>
      </c>
      <c r="R169" s="572">
        <f t="shared" si="76"/>
        <v>0.81799999999999995</v>
      </c>
      <c r="S169" s="573">
        <f t="shared" si="77"/>
        <v>0.10297639746685409</v>
      </c>
      <c r="T169" s="574">
        <v>1.3</v>
      </c>
      <c r="U169" s="557">
        <f t="shared" si="78"/>
        <v>5</v>
      </c>
      <c r="V169" s="575">
        <f t="shared" si="79"/>
        <v>1</v>
      </c>
      <c r="W169" s="608">
        <v>5.0000000000000001E-3</v>
      </c>
      <c r="X169" s="595">
        <f t="shared" si="88"/>
        <v>2049.75</v>
      </c>
      <c r="Y169" s="608">
        <v>7.3999999999999996E-2</v>
      </c>
      <c r="Z169" s="577">
        <f t="shared" si="86"/>
        <v>26272.737999999998</v>
      </c>
      <c r="AA169" s="2328" t="s">
        <v>1331</v>
      </c>
      <c r="AB169" s="597">
        <f t="shared" si="90"/>
        <v>1767.7374567704176</v>
      </c>
      <c r="AC169" s="597">
        <f t="shared" si="91"/>
        <v>598043259</v>
      </c>
      <c r="AD169" s="597">
        <f t="shared" si="92"/>
        <v>26162.514360202178</v>
      </c>
      <c r="AE169" s="610">
        <f t="shared" si="87"/>
        <v>26162.514360202178</v>
      </c>
      <c r="AF169" s="572">
        <f t="shared" si="93"/>
        <v>21590.536</v>
      </c>
      <c r="AG169" s="572">
        <f t="shared" si="94"/>
        <v>6.0531999999999996E-2</v>
      </c>
      <c r="AH169" s="600">
        <f t="shared" si="95"/>
        <v>2.95314062690572E-5</v>
      </c>
      <c r="AI169" s="559" t="s">
        <v>606</v>
      </c>
    </row>
    <row r="170" spans="1:35" ht="14.4" hidden="1" x14ac:dyDescent="0.3">
      <c r="A170" s="560" t="s">
        <v>568</v>
      </c>
      <c r="B170" s="557" t="str">
        <f t="shared" si="89"/>
        <v>2000s</v>
      </c>
      <c r="C170" s="561">
        <v>2010</v>
      </c>
      <c r="D170" s="562">
        <f t="shared" si="65"/>
        <v>2006</v>
      </c>
      <c r="E170" s="563">
        <f t="shared" si="66"/>
        <v>2009</v>
      </c>
      <c r="F170" s="586">
        <f t="shared" si="67"/>
        <v>392193</v>
      </c>
      <c r="G170" s="587">
        <f t="shared" si="68"/>
        <v>409950</v>
      </c>
      <c r="H170" s="587">
        <f t="shared" si="69"/>
        <v>408346</v>
      </c>
      <c r="I170" s="2122">
        <f t="shared" si="70"/>
        <v>291764</v>
      </c>
      <c r="J170" s="2126">
        <f t="shared" si="71"/>
        <v>0.86241612722059646</v>
      </c>
      <c r="K170" s="590">
        <f t="shared" si="72"/>
        <v>355037</v>
      </c>
      <c r="L170" s="591">
        <f t="shared" si="80"/>
        <v>353547.49135408353</v>
      </c>
      <c r="M170" s="589">
        <f t="shared" si="97"/>
        <v>291764</v>
      </c>
      <c r="N170" s="591">
        <f t="shared" si="98"/>
        <v>119608651800</v>
      </c>
      <c r="O170" s="569">
        <f t="shared" si="73"/>
        <v>4.539577997316746E-3</v>
      </c>
      <c r="P170" s="592">
        <f t="shared" si="74"/>
        <v>0.86241612722059646</v>
      </c>
      <c r="Q170" s="571">
        <f t="shared" si="75"/>
        <v>0.87268949753590441</v>
      </c>
      <c r="R170" s="572">
        <f t="shared" si="76"/>
        <v>0.81799999999999995</v>
      </c>
      <c r="S170" s="573">
        <f t="shared" si="77"/>
        <v>0.10297639746685409</v>
      </c>
      <c r="T170" s="574">
        <v>2.1</v>
      </c>
      <c r="U170" s="557">
        <f t="shared" si="78"/>
        <v>4.0000000000000009</v>
      </c>
      <c r="V170" s="575">
        <f t="shared" si="79"/>
        <v>2</v>
      </c>
      <c r="W170" s="594">
        <v>6.0000000000000001E-3</v>
      </c>
      <c r="X170" s="595">
        <f t="shared" si="88"/>
        <v>2459.7000000000003</v>
      </c>
      <c r="Y170" s="594">
        <v>1.7000000000000001E-2</v>
      </c>
      <c r="Z170" s="577">
        <f t="shared" si="86"/>
        <v>6035.6290000000008</v>
      </c>
      <c r="AA170" s="2328" t="s">
        <v>1331</v>
      </c>
      <c r="AB170" s="597">
        <f t="shared" si="90"/>
        <v>2121.2849481245012</v>
      </c>
      <c r="AC170" s="597">
        <f t="shared" si="91"/>
        <v>717651910.80000007</v>
      </c>
      <c r="AD170" s="597">
        <f t="shared" si="92"/>
        <v>6010.3073530194206</v>
      </c>
      <c r="AE170" s="610">
        <f t="shared" si="87"/>
        <v>6010.3073530194206</v>
      </c>
      <c r="AF170" s="572">
        <f t="shared" si="93"/>
        <v>4959.9880000000003</v>
      </c>
      <c r="AG170" s="572">
        <f t="shared" si="94"/>
        <v>1.3906E-2</v>
      </c>
      <c r="AH170" s="600">
        <f t="shared" si="95"/>
        <v>5.6535349839411304E-6</v>
      </c>
      <c r="AI170" s="559" t="s">
        <v>606</v>
      </c>
    </row>
    <row r="171" spans="1:35" ht="14.4" hidden="1" x14ac:dyDescent="0.3">
      <c r="A171" s="560" t="s">
        <v>568</v>
      </c>
      <c r="B171" s="557" t="str">
        <f t="shared" si="89"/>
        <v>2000s</v>
      </c>
      <c r="C171" s="561">
        <v>2010</v>
      </c>
      <c r="D171" s="562">
        <f t="shared" si="65"/>
        <v>2005</v>
      </c>
      <c r="E171" s="563">
        <f t="shared" si="66"/>
        <v>2008</v>
      </c>
      <c r="F171" s="586">
        <f t="shared" si="67"/>
        <v>392193</v>
      </c>
      <c r="G171" s="587">
        <f t="shared" si="68"/>
        <v>409950</v>
      </c>
      <c r="H171" s="587">
        <f t="shared" si="69"/>
        <v>408346</v>
      </c>
      <c r="I171" s="2122">
        <f t="shared" si="70"/>
        <v>291764</v>
      </c>
      <c r="J171" s="2126">
        <f t="shared" si="71"/>
        <v>0.86241612722059646</v>
      </c>
      <c r="K171" s="590">
        <f t="shared" si="72"/>
        <v>355037</v>
      </c>
      <c r="L171" s="591">
        <f t="shared" si="80"/>
        <v>353547.49135408353</v>
      </c>
      <c r="M171" s="589">
        <f t="shared" si="97"/>
        <v>291764</v>
      </c>
      <c r="N171" s="591">
        <f t="shared" si="98"/>
        <v>119608651800</v>
      </c>
      <c r="O171" s="569">
        <f t="shared" si="73"/>
        <v>4.539577997316746E-3</v>
      </c>
      <c r="P171" s="592">
        <f t="shared" si="74"/>
        <v>0.86241612722059646</v>
      </c>
      <c r="Q171" s="571">
        <f t="shared" si="75"/>
        <v>0.87268949753590441</v>
      </c>
      <c r="R171" s="572">
        <f t="shared" si="76"/>
        <v>0.81799999999999995</v>
      </c>
      <c r="S171" s="573">
        <f t="shared" si="77"/>
        <v>0.10297639746685409</v>
      </c>
      <c r="T171" s="574">
        <v>2.2000000000000002</v>
      </c>
      <c r="U171" s="557">
        <f t="shared" si="78"/>
        <v>5.0000000000000018</v>
      </c>
      <c r="V171" s="575">
        <f t="shared" si="79"/>
        <v>2</v>
      </c>
      <c r="W171" s="594">
        <v>1.6E-2</v>
      </c>
      <c r="X171" s="595">
        <f t="shared" si="88"/>
        <v>6559.2</v>
      </c>
      <c r="Y171" s="594">
        <v>6.0000000000000001E-3</v>
      </c>
      <c r="Z171" s="577">
        <f t="shared" si="86"/>
        <v>2130.2220000000002</v>
      </c>
      <c r="AA171" s="2328" t="s">
        <v>1331</v>
      </c>
      <c r="AB171" s="597">
        <f t="shared" si="90"/>
        <v>5656.7598616653368</v>
      </c>
      <c r="AC171" s="597">
        <f t="shared" si="91"/>
        <v>1913738428.8</v>
      </c>
      <c r="AD171" s="597">
        <f t="shared" si="92"/>
        <v>2121.2849481245012</v>
      </c>
      <c r="AE171" s="610">
        <f t="shared" si="87"/>
        <v>2121.2849481245012</v>
      </c>
      <c r="AF171" s="572">
        <f t="shared" si="93"/>
        <v>1750.5840000000001</v>
      </c>
      <c r="AG171" s="572">
        <f t="shared" si="94"/>
        <v>4.908E-3</v>
      </c>
      <c r="AH171" s="600">
        <f t="shared" si="95"/>
        <v>7.4826198316867915E-7</v>
      </c>
      <c r="AI171" s="559" t="s">
        <v>606</v>
      </c>
    </row>
    <row r="172" spans="1:35" ht="14.4" hidden="1" x14ac:dyDescent="0.3">
      <c r="A172" s="560" t="s">
        <v>568</v>
      </c>
      <c r="B172" s="557" t="str">
        <f t="shared" si="89"/>
        <v>2010s</v>
      </c>
      <c r="C172" s="561">
        <v>2011</v>
      </c>
      <c r="D172" s="562">
        <f t="shared" si="65"/>
        <v>2008</v>
      </c>
      <c r="E172" s="563">
        <f t="shared" si="66"/>
        <v>2010</v>
      </c>
      <c r="F172" s="586">
        <f t="shared" si="67"/>
        <v>187365</v>
      </c>
      <c r="G172" s="587">
        <f t="shared" si="68"/>
        <v>196529</v>
      </c>
      <c r="H172" s="587">
        <f t="shared" si="69"/>
        <v>194960</v>
      </c>
      <c r="I172" s="2122">
        <f t="shared" si="70"/>
        <v>111508</v>
      </c>
      <c r="J172" s="2126">
        <f t="shared" si="71"/>
        <v>0.76317320393399535</v>
      </c>
      <c r="K172" s="590">
        <f t="shared" si="72"/>
        <v>171572</v>
      </c>
      <c r="L172" s="591">
        <f t="shared" si="80"/>
        <v>149985.66659594417</v>
      </c>
      <c r="M172" s="589">
        <f t="shared" si="97"/>
        <v>111508</v>
      </c>
      <c r="N172" s="591">
        <f t="shared" si="98"/>
        <v>21914555732</v>
      </c>
      <c r="O172" s="569">
        <f t="shared" si="73"/>
        <v>7.9428481292837198E-3</v>
      </c>
      <c r="P172" s="592">
        <f t="shared" si="74"/>
        <v>0.76317320393399535</v>
      </c>
      <c r="Q172" s="593">
        <f t="shared" si="75"/>
        <v>0.85363401434282982</v>
      </c>
      <c r="R172" s="572">
        <f t="shared" si="76"/>
        <v>0.7679999999999999</v>
      </c>
      <c r="S172" s="573">
        <f t="shared" si="77"/>
        <v>0.17662597455888387</v>
      </c>
      <c r="T172" s="602">
        <v>1.1000000000000001</v>
      </c>
      <c r="U172" s="557">
        <f t="shared" si="78"/>
        <v>3.0000000000000009</v>
      </c>
      <c r="V172" s="575">
        <f t="shared" si="79"/>
        <v>1</v>
      </c>
      <c r="W172" s="608">
        <v>0.26100000000000001</v>
      </c>
      <c r="X172" s="595">
        <f t="shared" si="88"/>
        <v>51294.069000000003</v>
      </c>
      <c r="Y172" s="608">
        <v>0.182</v>
      </c>
      <c r="Z172" s="577">
        <f t="shared" si="86"/>
        <v>31226.103999999999</v>
      </c>
      <c r="AA172" s="2328" t="s">
        <v>1331</v>
      </c>
      <c r="AB172" s="597">
        <f t="shared" si="90"/>
        <v>39146.258981541432</v>
      </c>
      <c r="AC172" s="597">
        <f t="shared" si="91"/>
        <v>5719699046.052</v>
      </c>
      <c r="AD172" s="597">
        <f t="shared" si="92"/>
        <v>27297.39132046184</v>
      </c>
      <c r="AE172" s="610">
        <f t="shared" si="87"/>
        <v>27297.39132046184</v>
      </c>
      <c r="AF172" s="572">
        <f t="shared" si="93"/>
        <v>20294.455999999998</v>
      </c>
      <c r="AG172" s="572">
        <f t="shared" si="94"/>
        <v>0.13977599999999998</v>
      </c>
      <c r="AH172" s="600">
        <f t="shared" si="95"/>
        <v>2.724993410056823E-6</v>
      </c>
      <c r="AI172" s="559" t="s">
        <v>606</v>
      </c>
    </row>
    <row r="173" spans="1:35" ht="14.4" hidden="1" x14ac:dyDescent="0.3">
      <c r="A173" s="560" t="s">
        <v>568</v>
      </c>
      <c r="B173" s="557" t="str">
        <f t="shared" si="89"/>
        <v>2000s</v>
      </c>
      <c r="C173" s="561">
        <v>2011</v>
      </c>
      <c r="D173" s="562">
        <f t="shared" si="65"/>
        <v>2007</v>
      </c>
      <c r="E173" s="563">
        <f t="shared" si="66"/>
        <v>2009</v>
      </c>
      <c r="F173" s="586">
        <f t="shared" si="67"/>
        <v>187365</v>
      </c>
      <c r="G173" s="587">
        <f t="shared" si="68"/>
        <v>196529</v>
      </c>
      <c r="H173" s="587">
        <f t="shared" si="69"/>
        <v>194960</v>
      </c>
      <c r="I173" s="2122">
        <f t="shared" si="70"/>
        <v>111508</v>
      </c>
      <c r="J173" s="2126">
        <f t="shared" si="71"/>
        <v>0.76317320393399535</v>
      </c>
      <c r="K173" s="590">
        <f t="shared" si="72"/>
        <v>171572</v>
      </c>
      <c r="L173" s="591">
        <f t="shared" si="80"/>
        <v>149985.66659594417</v>
      </c>
      <c r="M173" s="589">
        <f t="shared" si="97"/>
        <v>111508</v>
      </c>
      <c r="N173" s="591">
        <f t="shared" si="98"/>
        <v>21914555732</v>
      </c>
      <c r="O173" s="569">
        <f t="shared" si="73"/>
        <v>7.9428481292837198E-3</v>
      </c>
      <c r="P173" s="592">
        <f t="shared" si="74"/>
        <v>0.76317320393399535</v>
      </c>
      <c r="Q173" s="593">
        <f t="shared" si="75"/>
        <v>0.85363401434282982</v>
      </c>
      <c r="R173" s="572">
        <f t="shared" si="76"/>
        <v>0.7679999999999999</v>
      </c>
      <c r="S173" s="573">
        <f t="shared" si="77"/>
        <v>0.17662597455888387</v>
      </c>
      <c r="T173" s="574">
        <v>1.2</v>
      </c>
      <c r="U173" s="557">
        <f t="shared" si="78"/>
        <v>3.9999999999999996</v>
      </c>
      <c r="V173" s="575">
        <f t="shared" si="79"/>
        <v>1</v>
      </c>
      <c r="W173" s="608">
        <v>0.59199999999999997</v>
      </c>
      <c r="X173" s="595">
        <f t="shared" si="88"/>
        <v>116345.16799999999</v>
      </c>
      <c r="Y173" s="608">
        <v>0.66400000000000003</v>
      </c>
      <c r="Z173" s="577">
        <f t="shared" si="86"/>
        <v>113923.808</v>
      </c>
      <c r="AA173" s="2328" t="s">
        <v>1331</v>
      </c>
      <c r="AB173" s="597">
        <f t="shared" si="90"/>
        <v>88791.514624798947</v>
      </c>
      <c r="AC173" s="597">
        <f t="shared" si="91"/>
        <v>12973416993.344</v>
      </c>
      <c r="AD173" s="597">
        <f t="shared" si="92"/>
        <v>99590.482619706934</v>
      </c>
      <c r="AE173" s="610">
        <f t="shared" si="87"/>
        <v>99590.482619706934</v>
      </c>
      <c r="AF173" s="572">
        <f t="shared" si="93"/>
        <v>74041.312000000005</v>
      </c>
      <c r="AG173" s="572">
        <f t="shared" si="94"/>
        <v>0.50995199999999996</v>
      </c>
      <c r="AH173" s="600">
        <f t="shared" si="95"/>
        <v>4.3830956520686786E-6</v>
      </c>
      <c r="AI173" s="559" t="s">
        <v>606</v>
      </c>
    </row>
    <row r="174" spans="1:35" ht="14.4" hidden="1" x14ac:dyDescent="0.3">
      <c r="A174" s="560" t="s">
        <v>568</v>
      </c>
      <c r="B174" s="557" t="str">
        <f t="shared" si="89"/>
        <v>2000s</v>
      </c>
      <c r="C174" s="561">
        <v>2011</v>
      </c>
      <c r="D174" s="562">
        <f t="shared" si="65"/>
        <v>2006</v>
      </c>
      <c r="E174" s="563">
        <f t="shared" si="66"/>
        <v>2008</v>
      </c>
      <c r="F174" s="586">
        <f t="shared" si="67"/>
        <v>187365</v>
      </c>
      <c r="G174" s="587">
        <f t="shared" si="68"/>
        <v>196529</v>
      </c>
      <c r="H174" s="587">
        <f t="shared" si="69"/>
        <v>194960</v>
      </c>
      <c r="I174" s="2122">
        <f t="shared" si="70"/>
        <v>111508</v>
      </c>
      <c r="J174" s="2126">
        <f t="shared" si="71"/>
        <v>0.76317320393399535</v>
      </c>
      <c r="K174" s="590">
        <f t="shared" si="72"/>
        <v>171572</v>
      </c>
      <c r="L174" s="591">
        <f t="shared" si="80"/>
        <v>149985.66659594417</v>
      </c>
      <c r="M174" s="589">
        <f t="shared" si="97"/>
        <v>111508</v>
      </c>
      <c r="N174" s="591">
        <f t="shared" si="98"/>
        <v>21914555732</v>
      </c>
      <c r="O174" s="569">
        <f t="shared" si="73"/>
        <v>7.9428481292837198E-3</v>
      </c>
      <c r="P174" s="592">
        <f t="shared" si="74"/>
        <v>0.76317320393399535</v>
      </c>
      <c r="Q174" s="593">
        <f t="shared" si="75"/>
        <v>0.85363401434282982</v>
      </c>
      <c r="R174" s="572">
        <f t="shared" si="76"/>
        <v>0.7679999999999999</v>
      </c>
      <c r="S174" s="573">
        <f t="shared" si="77"/>
        <v>0.17662597455888387</v>
      </c>
      <c r="T174" s="574">
        <v>1.3</v>
      </c>
      <c r="U174" s="557">
        <f t="shared" si="78"/>
        <v>5</v>
      </c>
      <c r="V174" s="575">
        <f t="shared" si="79"/>
        <v>1</v>
      </c>
      <c r="W174" s="594">
        <v>7.6999999999999999E-2</v>
      </c>
      <c r="X174" s="595">
        <f t="shared" si="88"/>
        <v>15132.733</v>
      </c>
      <c r="Y174" s="594">
        <v>7.0999999999999994E-2</v>
      </c>
      <c r="Z174" s="577">
        <f t="shared" si="86"/>
        <v>12181.611999999999</v>
      </c>
      <c r="AA174" s="2328" t="s">
        <v>1331</v>
      </c>
      <c r="AB174" s="597">
        <f t="shared" si="90"/>
        <v>11548.896327887702</v>
      </c>
      <c r="AC174" s="597">
        <f t="shared" si="91"/>
        <v>1687420791.3640001</v>
      </c>
      <c r="AD174" s="597">
        <f t="shared" si="92"/>
        <v>10648.982328312035</v>
      </c>
      <c r="AE174" s="610">
        <f t="shared" si="87"/>
        <v>10648.982328312035</v>
      </c>
      <c r="AF174" s="572">
        <f t="shared" si="93"/>
        <v>7917.0679999999993</v>
      </c>
      <c r="AG174" s="572">
        <f t="shared" si="94"/>
        <v>5.4527999999999986E-2</v>
      </c>
      <c r="AH174" s="600">
        <f t="shared" si="95"/>
        <v>3.6033147482348352E-6</v>
      </c>
      <c r="AI174" s="559" t="s">
        <v>606</v>
      </c>
    </row>
    <row r="175" spans="1:35" ht="14.4" hidden="1" x14ac:dyDescent="0.3">
      <c r="A175" s="560" t="s">
        <v>568</v>
      </c>
      <c r="B175" s="557" t="str">
        <f t="shared" si="89"/>
        <v>2010s</v>
      </c>
      <c r="C175" s="561">
        <v>2011</v>
      </c>
      <c r="D175" s="562">
        <f t="shared" si="65"/>
        <v>2007</v>
      </c>
      <c r="E175" s="563">
        <f t="shared" si="66"/>
        <v>2010</v>
      </c>
      <c r="F175" s="586">
        <f t="shared" si="67"/>
        <v>187365</v>
      </c>
      <c r="G175" s="587">
        <f t="shared" si="68"/>
        <v>196529</v>
      </c>
      <c r="H175" s="587">
        <f t="shared" si="69"/>
        <v>194960</v>
      </c>
      <c r="I175" s="2122">
        <f t="shared" si="70"/>
        <v>111508</v>
      </c>
      <c r="J175" s="2126">
        <f t="shared" si="71"/>
        <v>0.76317320393399535</v>
      </c>
      <c r="K175" s="590">
        <f t="shared" si="72"/>
        <v>171572</v>
      </c>
      <c r="L175" s="591">
        <f t="shared" si="80"/>
        <v>149985.66659594417</v>
      </c>
      <c r="M175" s="589">
        <f t="shared" si="97"/>
        <v>111508</v>
      </c>
      <c r="N175" s="591">
        <f t="shared" si="98"/>
        <v>21914555732</v>
      </c>
      <c r="O175" s="569">
        <f t="shared" si="73"/>
        <v>7.9428481292837198E-3</v>
      </c>
      <c r="P175" s="592">
        <f t="shared" si="74"/>
        <v>0.76317320393399535</v>
      </c>
      <c r="Q175" s="593">
        <f t="shared" si="75"/>
        <v>0.85363401434282982</v>
      </c>
      <c r="R175" s="572">
        <f t="shared" si="76"/>
        <v>0.7679999999999999</v>
      </c>
      <c r="S175" s="573">
        <f t="shared" si="77"/>
        <v>0.17662597455888387</v>
      </c>
      <c r="T175" s="574">
        <v>2.1</v>
      </c>
      <c r="U175" s="557">
        <f t="shared" si="78"/>
        <v>4.0000000000000009</v>
      </c>
      <c r="V175" s="575">
        <f t="shared" si="79"/>
        <v>2</v>
      </c>
      <c r="W175" s="594">
        <v>3.1E-2</v>
      </c>
      <c r="X175" s="595">
        <f t="shared" si="88"/>
        <v>6092.3990000000003</v>
      </c>
      <c r="Y175" s="594">
        <v>4.2999999999999997E-2</v>
      </c>
      <c r="Z175" s="577">
        <f t="shared" si="86"/>
        <v>7377.5959999999995</v>
      </c>
      <c r="AA175" s="2328" t="s">
        <v>1331</v>
      </c>
      <c r="AB175" s="597">
        <f t="shared" si="90"/>
        <v>4649.5556644742692</v>
      </c>
      <c r="AC175" s="597">
        <f t="shared" si="91"/>
        <v>679351227.69200003</v>
      </c>
      <c r="AD175" s="597">
        <f t="shared" si="92"/>
        <v>6449.3836636255992</v>
      </c>
      <c r="AE175" s="610">
        <f t="shared" si="87"/>
        <v>6449.3836636255992</v>
      </c>
      <c r="AF175" s="572">
        <f t="shared" si="93"/>
        <v>4794.8440000000001</v>
      </c>
      <c r="AG175" s="572">
        <f t="shared" si="94"/>
        <v>3.3023999999999991E-2</v>
      </c>
      <c r="AH175" s="600">
        <f t="shared" si="95"/>
        <v>5.4205248211747109E-6</v>
      </c>
      <c r="AI175" s="559" t="s">
        <v>606</v>
      </c>
    </row>
    <row r="176" spans="1:35" ht="14.4" hidden="1" x14ac:dyDescent="0.3">
      <c r="A176" s="560" t="s">
        <v>568</v>
      </c>
      <c r="B176" s="557" t="str">
        <f t="shared" si="89"/>
        <v>2000s</v>
      </c>
      <c r="C176" s="561">
        <v>2011</v>
      </c>
      <c r="D176" s="562">
        <f t="shared" si="65"/>
        <v>2006</v>
      </c>
      <c r="E176" s="563">
        <f t="shared" si="66"/>
        <v>2009</v>
      </c>
      <c r="F176" s="586">
        <f t="shared" si="67"/>
        <v>187365</v>
      </c>
      <c r="G176" s="587">
        <f t="shared" si="68"/>
        <v>196529</v>
      </c>
      <c r="H176" s="587">
        <f t="shared" si="69"/>
        <v>194960</v>
      </c>
      <c r="I176" s="2122">
        <f t="shared" si="70"/>
        <v>111508</v>
      </c>
      <c r="J176" s="2126">
        <f t="shared" si="71"/>
        <v>0.76317320393399535</v>
      </c>
      <c r="K176" s="590">
        <f t="shared" si="72"/>
        <v>171572</v>
      </c>
      <c r="L176" s="591">
        <f t="shared" si="80"/>
        <v>149985.66659594417</v>
      </c>
      <c r="M176" s="589">
        <f t="shared" si="97"/>
        <v>111508</v>
      </c>
      <c r="N176" s="591">
        <f t="shared" si="98"/>
        <v>21914555732</v>
      </c>
      <c r="O176" s="569">
        <f t="shared" si="73"/>
        <v>7.9428481292837198E-3</v>
      </c>
      <c r="P176" s="592">
        <f t="shared" si="74"/>
        <v>0.76317320393399535</v>
      </c>
      <c r="Q176" s="593">
        <f t="shared" si="75"/>
        <v>0.85363401434282982</v>
      </c>
      <c r="R176" s="572">
        <f t="shared" si="76"/>
        <v>0.7679999999999999</v>
      </c>
      <c r="S176" s="573">
        <f t="shared" si="77"/>
        <v>0.17662597455888387</v>
      </c>
      <c r="T176" s="574">
        <v>2.2000000000000002</v>
      </c>
      <c r="U176" s="557">
        <f t="shared" si="78"/>
        <v>5.0000000000000018</v>
      </c>
      <c r="V176" s="575">
        <f t="shared" si="79"/>
        <v>2</v>
      </c>
      <c r="W176" s="594">
        <v>3.6999999999999998E-2</v>
      </c>
      <c r="X176" s="595">
        <f t="shared" si="88"/>
        <v>7271.5729999999994</v>
      </c>
      <c r="Y176" s="594">
        <v>0.04</v>
      </c>
      <c r="Z176" s="577">
        <f t="shared" si="86"/>
        <v>6862.88</v>
      </c>
      <c r="AA176" s="2328" t="s">
        <v>1331</v>
      </c>
      <c r="AB176" s="597">
        <f t="shared" si="90"/>
        <v>5549.4696640499342</v>
      </c>
      <c r="AC176" s="597">
        <f t="shared" si="91"/>
        <v>810838562.08399999</v>
      </c>
      <c r="AD176" s="597">
        <f t="shared" si="92"/>
        <v>5999.4266638377667</v>
      </c>
      <c r="AE176" s="610">
        <f t="shared" si="87"/>
        <v>5999.4266638377667</v>
      </c>
      <c r="AF176" s="572">
        <f t="shared" si="93"/>
        <v>4460.32</v>
      </c>
      <c r="AG176" s="572">
        <f t="shared" si="94"/>
        <v>3.0719999999999997E-2</v>
      </c>
      <c r="AH176" s="600">
        <f t="shared" si="95"/>
        <v>4.2246705080180034E-6</v>
      </c>
      <c r="AI176" s="559" t="s">
        <v>606</v>
      </c>
    </row>
    <row r="177" spans="1:35" ht="14.4" hidden="1" x14ac:dyDescent="0.3">
      <c r="A177" s="560" t="s">
        <v>568</v>
      </c>
      <c r="B177" s="557" t="str">
        <f t="shared" si="89"/>
        <v>2000s</v>
      </c>
      <c r="C177" s="561">
        <v>2011</v>
      </c>
      <c r="D177" s="562">
        <f t="shared" si="65"/>
        <v>2005</v>
      </c>
      <c r="E177" s="563">
        <f t="shared" si="66"/>
        <v>2008</v>
      </c>
      <c r="F177" s="586">
        <f t="shared" si="67"/>
        <v>187365</v>
      </c>
      <c r="G177" s="587">
        <f t="shared" si="68"/>
        <v>196529</v>
      </c>
      <c r="H177" s="587">
        <f t="shared" si="69"/>
        <v>194960</v>
      </c>
      <c r="I177" s="2122">
        <f t="shared" si="70"/>
        <v>111508</v>
      </c>
      <c r="J177" s="2126">
        <f t="shared" si="71"/>
        <v>0.76317320393399535</v>
      </c>
      <c r="K177" s="590">
        <f t="shared" si="72"/>
        <v>171572</v>
      </c>
      <c r="L177" s="591">
        <f t="shared" si="80"/>
        <v>149985.66659594417</v>
      </c>
      <c r="M177" s="589">
        <f t="shared" si="97"/>
        <v>111508</v>
      </c>
      <c r="N177" s="591">
        <f t="shared" si="98"/>
        <v>21914555732</v>
      </c>
      <c r="O177" s="569">
        <f t="shared" si="73"/>
        <v>7.9428481292837198E-3</v>
      </c>
      <c r="P177" s="592">
        <f t="shared" si="74"/>
        <v>0.76317320393399535</v>
      </c>
      <c r="Q177" s="593">
        <f t="shared" si="75"/>
        <v>0.85363401434282982</v>
      </c>
      <c r="R177" s="572">
        <f t="shared" si="76"/>
        <v>0.7679999999999999</v>
      </c>
      <c r="S177" s="573">
        <f t="shared" si="77"/>
        <v>0.17662597455888387</v>
      </c>
      <c r="T177" s="574">
        <v>2.2999999999999998</v>
      </c>
      <c r="U177" s="557">
        <f t="shared" si="78"/>
        <v>5.9999999999999982</v>
      </c>
      <c r="V177" s="575">
        <f t="shared" si="79"/>
        <v>2</v>
      </c>
      <c r="W177" s="594">
        <v>2E-3</v>
      </c>
      <c r="X177" s="595">
        <f t="shared" si="88"/>
        <v>393.05799999999999</v>
      </c>
      <c r="Y177" s="594">
        <v>0</v>
      </c>
      <c r="Z177" s="577">
        <f t="shared" si="86"/>
        <v>0</v>
      </c>
      <c r="AA177" s="2328" t="s">
        <v>1331</v>
      </c>
      <c r="AB177" s="597">
        <f t="shared" si="90"/>
        <v>299.97133319188833</v>
      </c>
      <c r="AC177" s="597">
        <f t="shared" si="91"/>
        <v>43829111.464000002</v>
      </c>
      <c r="AD177" s="597">
        <f>IF(Y177,L177*Y177,0)</f>
        <v>0</v>
      </c>
      <c r="AE177" s="610">
        <f t="shared" si="87"/>
        <v>0</v>
      </c>
      <c r="AF177" s="572">
        <f t="shared" si="93"/>
        <v>0</v>
      </c>
      <c r="AG177" s="572">
        <f t="shared" si="94"/>
        <v>0</v>
      </c>
      <c r="AH177" s="600">
        <f t="shared" si="95"/>
        <v>0</v>
      </c>
    </row>
    <row r="178" spans="1:35" ht="14.4" hidden="1" x14ac:dyDescent="0.3">
      <c r="A178" s="560" t="s">
        <v>568</v>
      </c>
      <c r="B178" s="557" t="str">
        <f t="shared" si="89"/>
        <v>2010s</v>
      </c>
      <c r="C178" s="561">
        <v>2012</v>
      </c>
      <c r="D178" s="562">
        <f t="shared" si="65"/>
        <v>2009</v>
      </c>
      <c r="E178" s="563">
        <f t="shared" si="66"/>
        <v>2011</v>
      </c>
      <c r="F178" s="586">
        <f t="shared" si="67"/>
        <v>521159</v>
      </c>
      <c r="G178" s="587">
        <f t="shared" si="68"/>
        <v>550232</v>
      </c>
      <c r="H178" s="587">
        <f t="shared" si="69"/>
        <v>545637</v>
      </c>
      <c r="I178" s="2122">
        <f t="shared" si="70"/>
        <v>326107</v>
      </c>
      <c r="J178" s="2126">
        <f t="shared" si="71"/>
        <v>0.79418196873021285</v>
      </c>
      <c r="K178" s="590">
        <f t="shared" si="72"/>
        <v>461765</v>
      </c>
      <c r="L178" s="591">
        <f t="shared" si="80"/>
        <v>436984.33301836246</v>
      </c>
      <c r="M178" s="589">
        <f t="shared" si="97"/>
        <v>326107</v>
      </c>
      <c r="N178" s="591">
        <f t="shared" si="98"/>
        <v>179434506824</v>
      </c>
      <c r="O178" s="569">
        <f t="shared" si="73"/>
        <v>9.3051658209627943E-4</v>
      </c>
      <c r="P178" s="592">
        <f t="shared" si="74"/>
        <v>0.79418196873021285</v>
      </c>
      <c r="Q178" s="593">
        <f t="shared" si="75"/>
        <v>0.88812599785679791</v>
      </c>
      <c r="R178" s="572">
        <f t="shared" si="76"/>
        <v>0.82400000000000007</v>
      </c>
      <c r="S178" s="573">
        <f t="shared" si="77"/>
        <v>0.16339251187144566</v>
      </c>
      <c r="T178" s="574">
        <v>1.1000000000000001</v>
      </c>
      <c r="U178" s="557">
        <f t="shared" si="78"/>
        <v>3.0000000000000009</v>
      </c>
      <c r="V178" s="575">
        <f t="shared" si="79"/>
        <v>1</v>
      </c>
      <c r="W178" s="594">
        <v>1.7000000000000001E-2</v>
      </c>
      <c r="X178" s="595">
        <f t="shared" si="88"/>
        <v>9353.9440000000013</v>
      </c>
      <c r="Y178" s="594">
        <v>3.0000000000000001E-3</v>
      </c>
      <c r="Z178" s="577">
        <f t="shared" si="86"/>
        <v>1385.2950000000001</v>
      </c>
      <c r="AA178" s="2328" t="s">
        <v>1331</v>
      </c>
      <c r="AB178" s="597">
        <f t="shared" si="90"/>
        <v>7428.7336613121624</v>
      </c>
      <c r="AC178" s="597">
        <f t="shared" si="91"/>
        <v>3050386616.0080004</v>
      </c>
      <c r="AD178" s="597">
        <f t="shared" si="92"/>
        <v>1310.9529990550875</v>
      </c>
      <c r="AE178" s="610">
        <f t="shared" si="87"/>
        <v>1310.9529990550875</v>
      </c>
      <c r="AF178" s="572">
        <f t="shared" si="93"/>
        <v>978.32100000000003</v>
      </c>
      <c r="AG178" s="572">
        <f t="shared" si="94"/>
        <v>2.4720000000000002E-3</v>
      </c>
      <c r="AH178" s="600">
        <f t="shared" si="95"/>
        <v>2.6427355134903521E-7</v>
      </c>
      <c r="AI178" s="559" t="s">
        <v>606</v>
      </c>
    </row>
    <row r="179" spans="1:35" ht="14.4" hidden="1" x14ac:dyDescent="0.3">
      <c r="A179" s="560" t="s">
        <v>568</v>
      </c>
      <c r="B179" s="557" t="str">
        <f t="shared" si="89"/>
        <v>2010s</v>
      </c>
      <c r="C179" s="561">
        <v>2012</v>
      </c>
      <c r="D179" s="562">
        <f t="shared" si="65"/>
        <v>2008</v>
      </c>
      <c r="E179" s="563">
        <f t="shared" si="66"/>
        <v>2010</v>
      </c>
      <c r="F179" s="586">
        <f t="shared" si="67"/>
        <v>521159</v>
      </c>
      <c r="G179" s="587">
        <f t="shared" si="68"/>
        <v>550232</v>
      </c>
      <c r="H179" s="587">
        <f t="shared" si="69"/>
        <v>545637</v>
      </c>
      <c r="I179" s="2122">
        <f t="shared" si="70"/>
        <v>326107</v>
      </c>
      <c r="J179" s="2126">
        <f t="shared" si="71"/>
        <v>0.79418196873021285</v>
      </c>
      <c r="K179" s="590">
        <f t="shared" si="72"/>
        <v>461765</v>
      </c>
      <c r="L179" s="591">
        <f t="shared" si="80"/>
        <v>436984.33301836246</v>
      </c>
      <c r="M179" s="589">
        <f t="shared" si="97"/>
        <v>326107</v>
      </c>
      <c r="N179" s="591">
        <f t="shared" si="98"/>
        <v>179434506824</v>
      </c>
      <c r="O179" s="569">
        <f t="shared" si="73"/>
        <v>9.3051658209627943E-4</v>
      </c>
      <c r="P179" s="592">
        <f t="shared" si="74"/>
        <v>0.79418196873021285</v>
      </c>
      <c r="Q179" s="593">
        <f t="shared" si="75"/>
        <v>0.88812599785679791</v>
      </c>
      <c r="R179" s="572">
        <f t="shared" si="76"/>
        <v>0.82400000000000007</v>
      </c>
      <c r="S179" s="573">
        <f t="shared" si="77"/>
        <v>0.16339251187144566</v>
      </c>
      <c r="T179" s="574">
        <v>1.2</v>
      </c>
      <c r="U179" s="557">
        <f t="shared" si="78"/>
        <v>3.9999999999999996</v>
      </c>
      <c r="V179" s="575">
        <f t="shared" si="79"/>
        <v>1</v>
      </c>
      <c r="W179" s="594">
        <v>0.96</v>
      </c>
      <c r="X179" s="595">
        <f t="shared" si="88"/>
        <v>528222.71999999997</v>
      </c>
      <c r="Y179" s="594">
        <v>0.97099999999999997</v>
      </c>
      <c r="Z179" s="577">
        <f t="shared" si="86"/>
        <v>448373.815</v>
      </c>
      <c r="AA179" s="2328" t="s">
        <v>1331</v>
      </c>
      <c r="AB179" s="597">
        <f t="shared" si="90"/>
        <v>419504.95969762793</v>
      </c>
      <c r="AC179" s="597">
        <f t="shared" si="91"/>
        <v>172257126551.04001</v>
      </c>
      <c r="AD179" s="597">
        <f t="shared" si="92"/>
        <v>424311.78736082994</v>
      </c>
      <c r="AE179" s="610">
        <f t="shared" si="87"/>
        <v>424311.78736082994</v>
      </c>
      <c r="AF179" s="572">
        <f t="shared" si="93"/>
        <v>316649.897</v>
      </c>
      <c r="AG179" s="572">
        <f t="shared" si="94"/>
        <v>0.80010400000000004</v>
      </c>
      <c r="AH179" s="600">
        <f t="shared" si="95"/>
        <v>1.5147095528189322E-6</v>
      </c>
      <c r="AI179" s="559" t="s">
        <v>606</v>
      </c>
    </row>
    <row r="180" spans="1:35" ht="14.4" hidden="1" x14ac:dyDescent="0.3">
      <c r="A180" s="560" t="s">
        <v>568</v>
      </c>
      <c r="B180" s="557" t="str">
        <f t="shared" si="89"/>
        <v>2000s</v>
      </c>
      <c r="C180" s="561">
        <v>2012</v>
      </c>
      <c r="D180" s="562">
        <f t="shared" si="65"/>
        <v>2007</v>
      </c>
      <c r="E180" s="563">
        <f t="shared" si="66"/>
        <v>2009</v>
      </c>
      <c r="F180" s="586">
        <f t="shared" si="67"/>
        <v>521159</v>
      </c>
      <c r="G180" s="587">
        <f t="shared" si="68"/>
        <v>550232</v>
      </c>
      <c r="H180" s="587">
        <f t="shared" si="69"/>
        <v>545637</v>
      </c>
      <c r="I180" s="2122">
        <f t="shared" si="70"/>
        <v>326107</v>
      </c>
      <c r="J180" s="2126">
        <f t="shared" si="71"/>
        <v>0.79418196873021285</v>
      </c>
      <c r="K180" s="590">
        <f t="shared" si="72"/>
        <v>461765</v>
      </c>
      <c r="L180" s="591">
        <f t="shared" si="80"/>
        <v>436984.33301836246</v>
      </c>
      <c r="M180" s="589">
        <f t="shared" si="97"/>
        <v>326107</v>
      </c>
      <c r="N180" s="591">
        <f t="shared" si="98"/>
        <v>179434506824</v>
      </c>
      <c r="O180" s="569">
        <f t="shared" si="73"/>
        <v>9.3051658209627943E-4</v>
      </c>
      <c r="P180" s="592">
        <f t="shared" si="74"/>
        <v>0.79418196873021285</v>
      </c>
      <c r="Q180" s="593">
        <f t="shared" si="75"/>
        <v>0.88812599785679791</v>
      </c>
      <c r="R180" s="572">
        <f t="shared" si="76"/>
        <v>0.82400000000000007</v>
      </c>
      <c r="S180" s="573">
        <f t="shared" si="77"/>
        <v>0.16339251187144566</v>
      </c>
      <c r="T180" s="574">
        <v>1.3</v>
      </c>
      <c r="U180" s="557">
        <f t="shared" si="78"/>
        <v>5</v>
      </c>
      <c r="V180" s="575">
        <f t="shared" si="79"/>
        <v>1</v>
      </c>
      <c r="W180" s="594">
        <v>1.7000000000000001E-2</v>
      </c>
      <c r="X180" s="595">
        <f t="shared" si="88"/>
        <v>9353.9440000000013</v>
      </c>
      <c r="Y180" s="594">
        <v>7.0000000000000001E-3</v>
      </c>
      <c r="Z180" s="577">
        <f t="shared" si="86"/>
        <v>3232.355</v>
      </c>
      <c r="AA180" s="2328" t="s">
        <v>1331</v>
      </c>
      <c r="AB180" s="597">
        <f t="shared" si="90"/>
        <v>7428.7336613121624</v>
      </c>
      <c r="AC180" s="597">
        <f t="shared" si="91"/>
        <v>3050386616.0080004</v>
      </c>
      <c r="AD180" s="597">
        <f t="shared" si="92"/>
        <v>3058.8903311285371</v>
      </c>
      <c r="AE180" s="610">
        <f t="shared" si="87"/>
        <v>3058.8903311285371</v>
      </c>
      <c r="AF180" s="572">
        <f t="shared" si="93"/>
        <v>2282.7490000000003</v>
      </c>
      <c r="AG180" s="572">
        <f t="shared" si="94"/>
        <v>5.7680000000000006E-3</v>
      </c>
      <c r="AH180" s="600">
        <f t="shared" si="95"/>
        <v>6.1663828648108213E-7</v>
      </c>
      <c r="AI180" s="559" t="s">
        <v>606</v>
      </c>
    </row>
    <row r="181" spans="1:35" ht="14.4" hidden="1" x14ac:dyDescent="0.3">
      <c r="A181" s="560" t="s">
        <v>568</v>
      </c>
      <c r="B181" s="557" t="str">
        <f t="shared" si="89"/>
        <v>2010s</v>
      </c>
      <c r="C181" s="561">
        <v>2012</v>
      </c>
      <c r="D181" s="562">
        <f t="shared" si="65"/>
        <v>2008</v>
      </c>
      <c r="E181" s="563">
        <f t="shared" si="66"/>
        <v>2011</v>
      </c>
      <c r="F181" s="586">
        <f t="shared" si="67"/>
        <v>521159</v>
      </c>
      <c r="G181" s="587">
        <f t="shared" si="68"/>
        <v>550232</v>
      </c>
      <c r="H181" s="587">
        <f t="shared" si="69"/>
        <v>545637</v>
      </c>
      <c r="I181" s="2122">
        <f t="shared" si="70"/>
        <v>326107</v>
      </c>
      <c r="J181" s="2126">
        <f t="shared" si="71"/>
        <v>0.79418196873021285</v>
      </c>
      <c r="K181" s="590">
        <f t="shared" si="72"/>
        <v>461765</v>
      </c>
      <c r="L181" s="591">
        <f t="shared" si="80"/>
        <v>436984.33301836246</v>
      </c>
      <c r="M181" s="589">
        <f t="shared" si="97"/>
        <v>326107</v>
      </c>
      <c r="N181" s="591">
        <f t="shared" si="98"/>
        <v>179434506824</v>
      </c>
      <c r="O181" s="569">
        <f t="shared" si="73"/>
        <v>9.3051658209627943E-4</v>
      </c>
      <c r="P181" s="592">
        <f t="shared" si="74"/>
        <v>0.79418196873021285</v>
      </c>
      <c r="Q181" s="593">
        <f t="shared" si="75"/>
        <v>0.88812599785679791</v>
      </c>
      <c r="R181" s="572">
        <f t="shared" si="76"/>
        <v>0.82400000000000007</v>
      </c>
      <c r="S181" s="573">
        <f t="shared" si="77"/>
        <v>0.16339251187144566</v>
      </c>
      <c r="T181" s="574">
        <v>2.1</v>
      </c>
      <c r="U181" s="557">
        <f t="shared" si="78"/>
        <v>4.0000000000000009</v>
      </c>
      <c r="V181" s="575">
        <f t="shared" si="79"/>
        <v>2</v>
      </c>
      <c r="W181" s="594">
        <v>1E-3</v>
      </c>
      <c r="X181" s="595">
        <f t="shared" si="88"/>
        <v>550.23199999999997</v>
      </c>
      <c r="Y181" s="594">
        <v>7.0000000000000001E-3</v>
      </c>
      <c r="Z181" s="577">
        <f t="shared" si="86"/>
        <v>3232.355</v>
      </c>
      <c r="AA181" s="2328" t="s">
        <v>1331</v>
      </c>
      <c r="AB181" s="597">
        <f t="shared" si="90"/>
        <v>436.98433301836246</v>
      </c>
      <c r="AC181" s="597">
        <f t="shared" si="91"/>
        <v>179434506.824</v>
      </c>
      <c r="AD181" s="597">
        <f t="shared" si="92"/>
        <v>3058.8903311285371</v>
      </c>
      <c r="AE181" s="610">
        <f t="shared" si="87"/>
        <v>3058.8903311285371</v>
      </c>
      <c r="AF181" s="572">
        <f t="shared" si="93"/>
        <v>2282.7490000000003</v>
      </c>
      <c r="AG181" s="572">
        <f t="shared" si="94"/>
        <v>5.7680000000000006E-3</v>
      </c>
      <c r="AH181" s="600">
        <f t="shared" si="95"/>
        <v>1.0482850870178399E-5</v>
      </c>
      <c r="AI181" s="559" t="s">
        <v>606</v>
      </c>
    </row>
    <row r="182" spans="1:35" ht="14.4" hidden="1" x14ac:dyDescent="0.3">
      <c r="A182" s="560" t="s">
        <v>568</v>
      </c>
      <c r="B182" s="557" t="str">
        <f t="shared" si="89"/>
        <v>2010s</v>
      </c>
      <c r="C182" s="561">
        <v>2012</v>
      </c>
      <c r="D182" s="562">
        <f t="shared" si="65"/>
        <v>2007</v>
      </c>
      <c r="E182" s="563">
        <f t="shared" si="66"/>
        <v>2010</v>
      </c>
      <c r="F182" s="586">
        <f t="shared" si="67"/>
        <v>521159</v>
      </c>
      <c r="G182" s="587">
        <f t="shared" si="68"/>
        <v>550232</v>
      </c>
      <c r="H182" s="587">
        <f t="shared" si="69"/>
        <v>545637</v>
      </c>
      <c r="I182" s="2122">
        <f t="shared" si="70"/>
        <v>326107</v>
      </c>
      <c r="J182" s="2126">
        <f t="shared" si="71"/>
        <v>0.79418196873021285</v>
      </c>
      <c r="K182" s="590">
        <f t="shared" si="72"/>
        <v>461765</v>
      </c>
      <c r="L182" s="591">
        <f t="shared" si="80"/>
        <v>436984.33301836246</v>
      </c>
      <c r="M182" s="589">
        <f t="shared" si="97"/>
        <v>326107</v>
      </c>
      <c r="N182" s="591">
        <f t="shared" si="98"/>
        <v>179434506824</v>
      </c>
      <c r="O182" s="569">
        <f t="shared" si="73"/>
        <v>9.3051658209627943E-4</v>
      </c>
      <c r="P182" s="592">
        <f t="shared" si="74"/>
        <v>0.79418196873021285</v>
      </c>
      <c r="Q182" s="593">
        <f t="shared" si="75"/>
        <v>0.88812599785679791</v>
      </c>
      <c r="R182" s="572">
        <f t="shared" si="76"/>
        <v>0.82400000000000007</v>
      </c>
      <c r="S182" s="573">
        <f t="shared" si="77"/>
        <v>0.16339251187144566</v>
      </c>
      <c r="T182" s="574">
        <v>2.2000000000000002</v>
      </c>
      <c r="U182" s="557">
        <f t="shared" si="78"/>
        <v>5.0000000000000018</v>
      </c>
      <c r="V182" s="575">
        <f t="shared" si="79"/>
        <v>2</v>
      </c>
      <c r="W182" s="594">
        <v>6.0000000000000001E-3</v>
      </c>
      <c r="X182" s="595">
        <f t="shared" si="88"/>
        <v>3301.3920000000003</v>
      </c>
      <c r="Y182" s="594">
        <v>1.2E-2</v>
      </c>
      <c r="Z182" s="577">
        <f t="shared" si="86"/>
        <v>5541.18</v>
      </c>
      <c r="AA182" s="2328" t="s">
        <v>1331</v>
      </c>
      <c r="AB182" s="597">
        <f t="shared" si="90"/>
        <v>2621.905998110175</v>
      </c>
      <c r="AC182" s="597">
        <f t="shared" si="91"/>
        <v>1076607040.944</v>
      </c>
      <c r="AD182" s="597">
        <f t="shared" si="92"/>
        <v>5243.81199622035</v>
      </c>
      <c r="AE182" s="610">
        <f t="shared" si="87"/>
        <v>5243.81199622035</v>
      </c>
      <c r="AF182" s="572">
        <f t="shared" si="93"/>
        <v>3913.2840000000001</v>
      </c>
      <c r="AG182" s="572">
        <f t="shared" si="94"/>
        <v>9.888000000000001E-3</v>
      </c>
      <c r="AH182" s="600">
        <f t="shared" si="95"/>
        <v>2.9951002486223994E-6</v>
      </c>
      <c r="AI182" s="559" t="s">
        <v>606</v>
      </c>
    </row>
    <row r="183" spans="1:35" ht="14.4" hidden="1" x14ac:dyDescent="0.3">
      <c r="A183" s="560" t="s">
        <v>568</v>
      </c>
      <c r="B183" s="557" t="str">
        <f t="shared" si="89"/>
        <v>2010s</v>
      </c>
      <c r="C183" s="561">
        <v>2013</v>
      </c>
      <c r="D183" s="562">
        <f t="shared" si="65"/>
        <v>2010</v>
      </c>
      <c r="E183" s="563">
        <f t="shared" si="66"/>
        <v>2012</v>
      </c>
      <c r="F183" s="586">
        <f t="shared" si="67"/>
        <v>186191</v>
      </c>
      <c r="G183" s="587">
        <f t="shared" si="68"/>
        <v>195327</v>
      </c>
      <c r="H183" s="587">
        <f t="shared" si="69"/>
        <v>194651</v>
      </c>
      <c r="I183" s="2122">
        <f t="shared" si="70"/>
        <v>129993</v>
      </c>
      <c r="J183" s="2126">
        <f t="shared" si="71"/>
        <v>0.81644150509675351</v>
      </c>
      <c r="K183" s="590">
        <f t="shared" si="72"/>
        <v>159339</v>
      </c>
      <c r="L183" s="591">
        <f t="shared" si="80"/>
        <v>159473.06986603356</v>
      </c>
      <c r="M183" s="589">
        <f t="shared" si="97"/>
        <v>129993</v>
      </c>
      <c r="N183" s="591">
        <f t="shared" si="98"/>
        <v>25391142711</v>
      </c>
      <c r="O183" s="569">
        <f t="shared" si="73"/>
        <v>5.1759357385307717E-3</v>
      </c>
      <c r="P183" s="592">
        <f t="shared" si="74"/>
        <v>0.81644150509675351</v>
      </c>
      <c r="Q183" s="593">
        <f t="shared" si="75"/>
        <v>0.83868307496053995</v>
      </c>
      <c r="R183" s="572">
        <f t="shared" si="76"/>
        <v>0.7</v>
      </c>
      <c r="S183" s="573">
        <f t="shared" si="77"/>
        <v>0.13549891857735125</v>
      </c>
      <c r="T183" s="602">
        <v>1.1000000000000001</v>
      </c>
      <c r="U183" s="557">
        <f t="shared" si="78"/>
        <v>3.0000000000000009</v>
      </c>
      <c r="V183" s="575">
        <f t="shared" si="79"/>
        <v>1</v>
      </c>
      <c r="W183" s="617">
        <v>0.23499999999999999</v>
      </c>
      <c r="X183" s="618">
        <f t="shared" si="88"/>
        <v>45901.844999999994</v>
      </c>
      <c r="Y183" s="619">
        <v>0.17100000000000001</v>
      </c>
      <c r="Z183" s="596">
        <f>K183*W183</f>
        <v>37444.665000000001</v>
      </c>
      <c r="AA183" s="2329" t="s">
        <v>1330</v>
      </c>
      <c r="AB183" s="597">
        <f t="shared" si="90"/>
        <v>37476.171418517886</v>
      </c>
      <c r="AC183" s="597">
        <f t="shared" si="91"/>
        <v>5966918537.085</v>
      </c>
      <c r="AD183" s="597">
        <f t="shared" si="92"/>
        <v>27269.89494709174</v>
      </c>
      <c r="AE183" s="610">
        <f t="shared" si="87"/>
        <v>27269.89494709174</v>
      </c>
      <c r="AF183" s="572">
        <f t="shared" si="93"/>
        <v>22228.803</v>
      </c>
      <c r="AG183" s="572">
        <f t="shared" si="94"/>
        <v>0.1197</v>
      </c>
      <c r="AH183" s="600">
        <f t="shared" si="95"/>
        <v>2.607738316401008E-6</v>
      </c>
      <c r="AI183" s="559" t="s">
        <v>607</v>
      </c>
    </row>
    <row r="184" spans="1:35" ht="14.4" hidden="1" x14ac:dyDescent="0.3">
      <c r="A184" s="560" t="s">
        <v>568</v>
      </c>
      <c r="B184" s="557" t="str">
        <f t="shared" si="89"/>
        <v>2010s</v>
      </c>
      <c r="C184" s="561">
        <v>2013</v>
      </c>
      <c r="D184" s="562">
        <f t="shared" si="65"/>
        <v>2009</v>
      </c>
      <c r="E184" s="563">
        <f t="shared" si="66"/>
        <v>2011</v>
      </c>
      <c r="F184" s="586">
        <f t="shared" si="67"/>
        <v>186191</v>
      </c>
      <c r="G184" s="587">
        <f t="shared" si="68"/>
        <v>195327</v>
      </c>
      <c r="H184" s="587">
        <f t="shared" si="69"/>
        <v>194651</v>
      </c>
      <c r="I184" s="588">
        <f t="shared" si="70"/>
        <v>129993</v>
      </c>
      <c r="J184" s="589">
        <f t="shared" si="71"/>
        <v>0.81644150509675351</v>
      </c>
      <c r="K184" s="590">
        <f t="shared" si="72"/>
        <v>159339</v>
      </c>
      <c r="L184" s="591">
        <f t="shared" si="80"/>
        <v>159473.06986603356</v>
      </c>
      <c r="M184" s="589">
        <f t="shared" si="97"/>
        <v>129993</v>
      </c>
      <c r="N184" s="591">
        <f t="shared" si="98"/>
        <v>25391142711</v>
      </c>
      <c r="O184" s="569">
        <f t="shared" si="73"/>
        <v>5.1759357385307717E-3</v>
      </c>
      <c r="P184" s="592">
        <f t="shared" si="74"/>
        <v>0.81644150509675351</v>
      </c>
      <c r="Q184" s="593">
        <f t="shared" si="75"/>
        <v>0.83868307496053995</v>
      </c>
      <c r="R184" s="572">
        <f t="shared" si="76"/>
        <v>0.7</v>
      </c>
      <c r="S184" s="573">
        <f t="shared" si="77"/>
        <v>0.13549891857735125</v>
      </c>
      <c r="T184" s="574">
        <v>1.2</v>
      </c>
      <c r="U184" s="557">
        <f t="shared" si="78"/>
        <v>3.9999999999999996</v>
      </c>
      <c r="V184" s="575">
        <f t="shared" si="79"/>
        <v>1</v>
      </c>
      <c r="W184" s="617">
        <v>0.63400000000000001</v>
      </c>
      <c r="X184" s="618">
        <f t="shared" si="88"/>
        <v>123837.318</v>
      </c>
      <c r="Y184" s="619">
        <v>0.57299999999999995</v>
      </c>
      <c r="Z184" s="596">
        <f>K184*W184</f>
        <v>101020.92600000001</v>
      </c>
      <c r="AA184" s="2329" t="s">
        <v>1330</v>
      </c>
      <c r="AB184" s="597">
        <f t="shared" si="90"/>
        <v>101105.92629506528</v>
      </c>
      <c r="AC184" s="597">
        <f t="shared" si="91"/>
        <v>16097984478.774</v>
      </c>
      <c r="AD184" s="597">
        <f t="shared" si="92"/>
        <v>91378.069033237218</v>
      </c>
      <c r="AE184" s="610">
        <f t="shared" si="87"/>
        <v>91378.069033237218</v>
      </c>
      <c r="AF184" s="572">
        <f t="shared" si="93"/>
        <v>74485.988999999987</v>
      </c>
      <c r="AG184" s="572">
        <f t="shared" si="94"/>
        <v>0.40109999999999996</v>
      </c>
      <c r="AH184" s="600">
        <f t="shared" si="95"/>
        <v>3.2389267345082518E-6</v>
      </c>
      <c r="AI184" s="559" t="s">
        <v>607</v>
      </c>
    </row>
    <row r="185" spans="1:35" ht="14.4" hidden="1" x14ac:dyDescent="0.3">
      <c r="A185" s="560" t="s">
        <v>568</v>
      </c>
      <c r="B185" s="557" t="str">
        <f t="shared" si="89"/>
        <v>2010s</v>
      </c>
      <c r="C185" s="561">
        <v>2013</v>
      </c>
      <c r="D185" s="562">
        <f t="shared" si="65"/>
        <v>2008</v>
      </c>
      <c r="E185" s="563">
        <f t="shared" si="66"/>
        <v>2010</v>
      </c>
      <c r="F185" s="586">
        <f t="shared" si="67"/>
        <v>186191</v>
      </c>
      <c r="G185" s="587">
        <f t="shared" si="68"/>
        <v>195327</v>
      </c>
      <c r="H185" s="587">
        <f t="shared" si="69"/>
        <v>194651</v>
      </c>
      <c r="I185" s="588">
        <f t="shared" si="70"/>
        <v>129993</v>
      </c>
      <c r="J185" s="589">
        <f t="shared" si="71"/>
        <v>0.81644150509675351</v>
      </c>
      <c r="K185" s="590">
        <f t="shared" si="72"/>
        <v>159339</v>
      </c>
      <c r="L185" s="591">
        <f t="shared" si="80"/>
        <v>159473.06986603356</v>
      </c>
      <c r="M185" s="589">
        <f t="shared" si="97"/>
        <v>129993</v>
      </c>
      <c r="N185" s="591">
        <f t="shared" si="98"/>
        <v>25391142711</v>
      </c>
      <c r="O185" s="569">
        <f t="shared" si="73"/>
        <v>5.1759357385307717E-3</v>
      </c>
      <c r="P185" s="592">
        <f t="shared" si="74"/>
        <v>0.81644150509675351</v>
      </c>
      <c r="Q185" s="593">
        <f t="shared" si="75"/>
        <v>0.83868307496053995</v>
      </c>
      <c r="R185" s="572">
        <f t="shared" si="76"/>
        <v>0.7</v>
      </c>
      <c r="S185" s="573">
        <f t="shared" si="77"/>
        <v>0.13549891857735125</v>
      </c>
      <c r="T185" s="574">
        <v>1.3</v>
      </c>
      <c r="U185" s="557">
        <f t="shared" si="78"/>
        <v>5</v>
      </c>
      <c r="V185" s="575">
        <f t="shared" si="79"/>
        <v>1</v>
      </c>
      <c r="W185" s="604">
        <v>8.1000000000000003E-2</v>
      </c>
      <c r="X185" s="595">
        <f t="shared" si="88"/>
        <v>15821.487000000001</v>
      </c>
      <c r="Y185" s="605">
        <v>2.4E-2</v>
      </c>
      <c r="Z185" s="596">
        <f>K185*W185</f>
        <v>12906.459000000001</v>
      </c>
      <c r="AA185" s="2329" t="s">
        <v>1330</v>
      </c>
      <c r="AB185" s="597">
        <f t="shared" si="90"/>
        <v>12917.318659148719</v>
      </c>
      <c r="AC185" s="597">
        <f t="shared" si="91"/>
        <v>2056682559.5910001</v>
      </c>
      <c r="AD185" s="597">
        <f t="shared" si="92"/>
        <v>3827.3536767848054</v>
      </c>
      <c r="AE185" s="610">
        <f t="shared" si="87"/>
        <v>3827.3536767848054</v>
      </c>
      <c r="AF185" s="572">
        <f t="shared" si="93"/>
        <v>3119.8319999999999</v>
      </c>
      <c r="AG185" s="572">
        <f t="shared" si="94"/>
        <v>1.6799999999999999E-2</v>
      </c>
      <c r="AH185" s="600">
        <f t="shared" si="95"/>
        <v>1.0618470943976378E-6</v>
      </c>
      <c r="AI185" s="559" t="s">
        <v>607</v>
      </c>
    </row>
    <row r="186" spans="1:35" ht="14.4" hidden="1" x14ac:dyDescent="0.3">
      <c r="A186" s="560" t="s">
        <v>568</v>
      </c>
      <c r="B186" s="557" t="str">
        <f t="shared" si="89"/>
        <v>2010s</v>
      </c>
      <c r="C186" s="561">
        <v>2013</v>
      </c>
      <c r="D186" s="562">
        <f t="shared" si="65"/>
        <v>2009</v>
      </c>
      <c r="E186" s="563">
        <f t="shared" si="66"/>
        <v>2012</v>
      </c>
      <c r="F186" s="586">
        <f t="shared" si="67"/>
        <v>186191</v>
      </c>
      <c r="G186" s="587">
        <f t="shared" si="68"/>
        <v>195327</v>
      </c>
      <c r="H186" s="587">
        <f t="shared" si="69"/>
        <v>194651</v>
      </c>
      <c r="I186" s="588">
        <f t="shared" si="70"/>
        <v>129993</v>
      </c>
      <c r="J186" s="589">
        <f t="shared" si="71"/>
        <v>0.81644150509675351</v>
      </c>
      <c r="K186" s="590">
        <f t="shared" si="72"/>
        <v>159339</v>
      </c>
      <c r="L186" s="591">
        <f t="shared" si="80"/>
        <v>159473.06986603356</v>
      </c>
      <c r="M186" s="589">
        <f t="shared" si="97"/>
        <v>129993</v>
      </c>
      <c r="N186" s="591">
        <f t="shared" si="98"/>
        <v>25391142711</v>
      </c>
      <c r="O186" s="569">
        <f t="shared" si="73"/>
        <v>5.1759357385307717E-3</v>
      </c>
      <c r="P186" s="592">
        <f t="shared" si="74"/>
        <v>0.81644150509675351</v>
      </c>
      <c r="Q186" s="593">
        <f t="shared" si="75"/>
        <v>0.83868307496053995</v>
      </c>
      <c r="R186" s="572">
        <f t="shared" si="76"/>
        <v>0.7</v>
      </c>
      <c r="S186" s="573">
        <f t="shared" si="77"/>
        <v>0.13549891857735125</v>
      </c>
      <c r="T186" s="574">
        <v>2.1</v>
      </c>
      <c r="U186" s="557">
        <f t="shared" si="78"/>
        <v>4.0000000000000009</v>
      </c>
      <c r="V186" s="575">
        <f t="shared" si="79"/>
        <v>2</v>
      </c>
      <c r="W186" s="594">
        <v>0</v>
      </c>
      <c r="X186" s="595">
        <f t="shared" si="88"/>
        <v>0</v>
      </c>
      <c r="Y186" s="594">
        <v>1.2E-2</v>
      </c>
      <c r="Z186" s="596">
        <f>K186*W186</f>
        <v>0</v>
      </c>
      <c r="AA186" s="2329" t="s">
        <v>1330</v>
      </c>
      <c r="AB186" s="597">
        <f t="shared" si="90"/>
        <v>0</v>
      </c>
      <c r="AC186" s="597">
        <f t="shared" si="91"/>
        <v>0</v>
      </c>
      <c r="AD186" s="597">
        <f t="shared" si="92"/>
        <v>1913.6768383924027</v>
      </c>
      <c r="AE186" s="610">
        <f t="shared" si="87"/>
        <v>1913.6768383924027</v>
      </c>
      <c r="AF186" s="572">
        <f t="shared" si="93"/>
        <v>1559.9159999999999</v>
      </c>
      <c r="AG186" s="572">
        <f t="shared" si="94"/>
        <v>8.3999999999999995E-3</v>
      </c>
      <c r="AH186" s="600">
        <f t="shared" si="95"/>
        <v>0</v>
      </c>
      <c r="AI186" s="559" t="s">
        <v>607</v>
      </c>
    </row>
    <row r="187" spans="1:35" ht="14.4" hidden="1" x14ac:dyDescent="0.3">
      <c r="A187" s="560" t="s">
        <v>568</v>
      </c>
      <c r="B187" s="557" t="str">
        <f t="shared" si="89"/>
        <v>2010s</v>
      </c>
      <c r="C187" s="561">
        <v>2013</v>
      </c>
      <c r="D187" s="562">
        <f t="shared" si="65"/>
        <v>2008</v>
      </c>
      <c r="E187" s="563">
        <f t="shared" si="66"/>
        <v>2011</v>
      </c>
      <c r="F187" s="586">
        <f t="shared" si="67"/>
        <v>186191</v>
      </c>
      <c r="G187" s="587">
        <f t="shared" si="68"/>
        <v>195327</v>
      </c>
      <c r="H187" s="587">
        <f t="shared" si="69"/>
        <v>194651</v>
      </c>
      <c r="I187" s="588">
        <f t="shared" si="70"/>
        <v>129993</v>
      </c>
      <c r="J187" s="589">
        <f t="shared" si="71"/>
        <v>0.81644150509675351</v>
      </c>
      <c r="K187" s="590">
        <f t="shared" si="72"/>
        <v>159339</v>
      </c>
      <c r="L187" s="591">
        <f t="shared" si="80"/>
        <v>159473.06986603356</v>
      </c>
      <c r="M187" s="589">
        <f t="shared" si="97"/>
        <v>129993</v>
      </c>
      <c r="N187" s="591">
        <f t="shared" si="98"/>
        <v>25391142711</v>
      </c>
      <c r="O187" s="569">
        <f t="shared" si="73"/>
        <v>5.1759357385307717E-3</v>
      </c>
      <c r="P187" s="592">
        <f t="shared" si="74"/>
        <v>0.81644150509675351</v>
      </c>
      <c r="Q187" s="593">
        <f t="shared" si="75"/>
        <v>0.83868307496053995</v>
      </c>
      <c r="R187" s="572">
        <f t="shared" si="76"/>
        <v>0.7</v>
      </c>
      <c r="S187" s="573">
        <f t="shared" si="77"/>
        <v>0.13549891857735125</v>
      </c>
      <c r="T187" s="574">
        <v>2.2000000000000002</v>
      </c>
      <c r="U187" s="557">
        <f t="shared" si="78"/>
        <v>5.0000000000000018</v>
      </c>
      <c r="V187" s="575">
        <f t="shared" si="79"/>
        <v>2</v>
      </c>
      <c r="W187" s="604">
        <v>0.05</v>
      </c>
      <c r="X187" s="595">
        <f t="shared" si="88"/>
        <v>9766.35</v>
      </c>
      <c r="Y187" s="605">
        <v>0.11</v>
      </c>
      <c r="Z187" s="596">
        <f>K187*W187</f>
        <v>7966.9500000000007</v>
      </c>
      <c r="AA187" s="2329" t="s">
        <v>1330</v>
      </c>
      <c r="AB187" s="597">
        <f t="shared" si="90"/>
        <v>7973.6534933016783</v>
      </c>
      <c r="AC187" s="597">
        <f t="shared" si="91"/>
        <v>1269557135.55</v>
      </c>
      <c r="AD187" s="597">
        <f t="shared" si="92"/>
        <v>17542.037685263691</v>
      </c>
      <c r="AE187" s="610">
        <f t="shared" si="87"/>
        <v>17542.037685263691</v>
      </c>
      <c r="AF187" s="572">
        <f t="shared" si="93"/>
        <v>14299.23</v>
      </c>
      <c r="AG187" s="572">
        <f t="shared" si="94"/>
        <v>7.6999999999999999E-2</v>
      </c>
      <c r="AH187" s="600">
        <f t="shared" si="95"/>
        <v>7.8842146759024609E-6</v>
      </c>
      <c r="AI187" s="559" t="s">
        <v>607</v>
      </c>
    </row>
    <row r="188" spans="1:35" ht="14.4" hidden="1" x14ac:dyDescent="0.3">
      <c r="A188" s="560" t="s">
        <v>568</v>
      </c>
      <c r="B188" s="557" t="str">
        <f t="shared" si="89"/>
        <v>2010s</v>
      </c>
      <c r="C188" s="561">
        <v>2014</v>
      </c>
      <c r="D188" s="562">
        <f t="shared" si="65"/>
        <v>2011</v>
      </c>
      <c r="E188" s="563">
        <f t="shared" si="66"/>
        <v>2013</v>
      </c>
      <c r="F188" s="586">
        <f t="shared" si="67"/>
        <v>651146</v>
      </c>
      <c r="G188" s="587">
        <f t="shared" si="68"/>
        <v>651702</v>
      </c>
      <c r="H188" s="587">
        <f t="shared" si="69"/>
        <v>650354</v>
      </c>
      <c r="I188" s="588">
        <f t="shared" si="70"/>
        <v>490804</v>
      </c>
      <c r="J188" s="589">
        <f t="shared" si="71"/>
        <v>0.84458142108097967</v>
      </c>
      <c r="K188" s="590">
        <f t="shared" si="72"/>
        <v>538819</v>
      </c>
      <c r="L188" s="591">
        <f t="shared" si="80"/>
        <v>550415.40128131665</v>
      </c>
      <c r="M188" s="589">
        <f t="shared" si="97"/>
        <v>490804</v>
      </c>
      <c r="N188" s="591">
        <f t="shared" si="98"/>
        <v>319857948408</v>
      </c>
      <c r="O188" s="569">
        <f t="shared" si="73"/>
        <v>3.8714013460139757E-3</v>
      </c>
      <c r="P188" s="592">
        <f t="shared" si="74"/>
        <v>0.84458142108097967</v>
      </c>
      <c r="Q188" s="593">
        <f t="shared" si="75"/>
        <v>0.84608240013574598</v>
      </c>
      <c r="R188" s="572">
        <f t="shared" si="76"/>
        <v>0.81100000000000017</v>
      </c>
      <c r="S188" s="573">
        <f t="shared" si="77"/>
        <v>5.5366769482466473E-2</v>
      </c>
      <c r="T188" s="602">
        <v>1.1000000000000001</v>
      </c>
      <c r="U188" s="557">
        <f t="shared" si="78"/>
        <v>3.0000000000000009</v>
      </c>
      <c r="V188" s="575">
        <f t="shared" si="79"/>
        <v>1</v>
      </c>
      <c r="W188" s="604">
        <v>0.17499999999999999</v>
      </c>
      <c r="X188" s="595">
        <f t="shared" si="88"/>
        <v>114047.84999999999</v>
      </c>
      <c r="Y188" s="605">
        <v>8.2199999999999995E-2</v>
      </c>
      <c r="Z188" s="577">
        <f t="shared" si="86"/>
        <v>44290.921799999996</v>
      </c>
      <c r="AA188" s="2328" t="s">
        <v>1331</v>
      </c>
      <c r="AB188" s="597">
        <f t="shared" si="90"/>
        <v>96322.695224230411</v>
      </c>
      <c r="AC188" s="597">
        <f t="shared" si="91"/>
        <v>55975140971.399994</v>
      </c>
      <c r="AD188" s="597">
        <f t="shared" si="92"/>
        <v>45244.145985324227</v>
      </c>
      <c r="AE188" s="610">
        <f t="shared" si="87"/>
        <v>45244.145985324227</v>
      </c>
      <c r="AF188" s="572">
        <f t="shared" si="93"/>
        <v>40344.088799999998</v>
      </c>
      <c r="AG188" s="572">
        <f t="shared" si="94"/>
        <v>6.6664200000000007E-2</v>
      </c>
      <c r="AH188" s="600">
        <f t="shared" si="95"/>
        <v>5.8452833613259703E-7</v>
      </c>
      <c r="AI188" s="559" t="s">
        <v>606</v>
      </c>
    </row>
    <row r="189" spans="1:35" ht="14.4" hidden="1" x14ac:dyDescent="0.3">
      <c r="A189" s="560" t="s">
        <v>568</v>
      </c>
      <c r="B189" s="557" t="str">
        <f t="shared" si="89"/>
        <v>2010s</v>
      </c>
      <c r="C189" s="561">
        <v>2014</v>
      </c>
      <c r="D189" s="562">
        <f t="shared" si="65"/>
        <v>2010</v>
      </c>
      <c r="E189" s="563">
        <f t="shared" si="66"/>
        <v>2012</v>
      </c>
      <c r="F189" s="586">
        <f t="shared" si="67"/>
        <v>651146</v>
      </c>
      <c r="G189" s="587">
        <f t="shared" si="68"/>
        <v>651702</v>
      </c>
      <c r="H189" s="587">
        <f t="shared" si="69"/>
        <v>650354</v>
      </c>
      <c r="I189" s="2122">
        <f t="shared" si="70"/>
        <v>490804</v>
      </c>
      <c r="J189" s="2126">
        <f t="shared" si="71"/>
        <v>0.84458142108097967</v>
      </c>
      <c r="K189" s="590">
        <f t="shared" si="72"/>
        <v>538819</v>
      </c>
      <c r="L189" s="591">
        <f t="shared" si="80"/>
        <v>550415.40128131665</v>
      </c>
      <c r="M189" s="589">
        <f t="shared" si="97"/>
        <v>490804</v>
      </c>
      <c r="N189" s="591">
        <f t="shared" si="98"/>
        <v>319857948408</v>
      </c>
      <c r="O189" s="569">
        <f t="shared" si="73"/>
        <v>3.8714013460139757E-3</v>
      </c>
      <c r="P189" s="592">
        <f t="shared" si="74"/>
        <v>0.84458142108097967</v>
      </c>
      <c r="Q189" s="593">
        <f t="shared" si="75"/>
        <v>0.84608240013574598</v>
      </c>
      <c r="R189" s="572">
        <f t="shared" si="76"/>
        <v>0.81100000000000017</v>
      </c>
      <c r="S189" s="573">
        <f t="shared" si="77"/>
        <v>5.5366769482466473E-2</v>
      </c>
      <c r="T189" s="574">
        <v>1.2</v>
      </c>
      <c r="U189" s="557">
        <f t="shared" si="78"/>
        <v>3.9999999999999996</v>
      </c>
      <c r="V189" s="575">
        <f t="shared" si="79"/>
        <v>1</v>
      </c>
      <c r="W189" s="617">
        <v>0.81899999999999995</v>
      </c>
      <c r="X189" s="618">
        <f t="shared" si="88"/>
        <v>533743.93799999997</v>
      </c>
      <c r="Y189" s="619">
        <v>0.88400000000000001</v>
      </c>
      <c r="Z189" s="577">
        <f t="shared" si="86"/>
        <v>476315.99599999998</v>
      </c>
      <c r="AA189" s="2328" t="s">
        <v>1331</v>
      </c>
      <c r="AB189" s="597">
        <f t="shared" si="90"/>
        <v>450790.2136493983</v>
      </c>
      <c r="AC189" s="597">
        <f t="shared" si="91"/>
        <v>261963659746.15198</v>
      </c>
      <c r="AD189" s="597">
        <f t="shared" si="92"/>
        <v>486567.2147326839</v>
      </c>
      <c r="AE189" s="610">
        <f t="shared" si="87"/>
        <v>486567.2147326839</v>
      </c>
      <c r="AF189" s="572">
        <f t="shared" si="93"/>
        <v>433870.73599999998</v>
      </c>
      <c r="AG189" s="572">
        <f t="shared" si="94"/>
        <v>0.71692400000000012</v>
      </c>
      <c r="AH189" s="600">
        <f t="shared" si="95"/>
        <v>1.3431983933839078E-6</v>
      </c>
      <c r="AI189" s="559" t="s">
        <v>606</v>
      </c>
    </row>
    <row r="190" spans="1:35" ht="14.4" hidden="1" x14ac:dyDescent="0.3">
      <c r="A190" s="560" t="s">
        <v>568</v>
      </c>
      <c r="B190" s="557" t="str">
        <f t="shared" si="89"/>
        <v>2010s</v>
      </c>
      <c r="C190" s="561">
        <v>2014</v>
      </c>
      <c r="D190" s="562">
        <f t="shared" si="65"/>
        <v>2009</v>
      </c>
      <c r="E190" s="563">
        <f t="shared" si="66"/>
        <v>2011</v>
      </c>
      <c r="F190" s="586">
        <f t="shared" si="67"/>
        <v>651146</v>
      </c>
      <c r="G190" s="587">
        <f t="shared" si="68"/>
        <v>651702</v>
      </c>
      <c r="H190" s="587">
        <f t="shared" si="69"/>
        <v>650354</v>
      </c>
      <c r="I190" s="588">
        <f t="shared" si="70"/>
        <v>490804</v>
      </c>
      <c r="J190" s="589">
        <f t="shared" si="71"/>
        <v>0.84458142108097967</v>
      </c>
      <c r="K190" s="590">
        <f t="shared" si="72"/>
        <v>538819</v>
      </c>
      <c r="L190" s="591">
        <f t="shared" si="80"/>
        <v>550415.40128131665</v>
      </c>
      <c r="M190" s="589">
        <f t="shared" si="97"/>
        <v>490804</v>
      </c>
      <c r="N190" s="591">
        <f t="shared" si="98"/>
        <v>319857948408</v>
      </c>
      <c r="O190" s="569">
        <f t="shared" si="73"/>
        <v>3.8714013460139757E-3</v>
      </c>
      <c r="P190" s="592">
        <f t="shared" si="74"/>
        <v>0.84458142108097967</v>
      </c>
      <c r="Q190" s="593">
        <f t="shared" si="75"/>
        <v>0.84608240013574598</v>
      </c>
      <c r="R190" s="572">
        <f t="shared" si="76"/>
        <v>0.81100000000000017</v>
      </c>
      <c r="S190" s="573">
        <f t="shared" si="77"/>
        <v>5.5366769482466473E-2</v>
      </c>
      <c r="T190" s="574">
        <v>1.3</v>
      </c>
      <c r="U190" s="557">
        <f t="shared" si="78"/>
        <v>5</v>
      </c>
      <c r="V190" s="575">
        <f t="shared" si="79"/>
        <v>1</v>
      </c>
      <c r="W190" s="594">
        <v>1E-3</v>
      </c>
      <c r="X190" s="595">
        <f t="shared" si="88"/>
        <v>651.702</v>
      </c>
      <c r="Y190" s="594">
        <v>0.03</v>
      </c>
      <c r="Z190" s="577">
        <f t="shared" si="86"/>
        <v>16164.57</v>
      </c>
      <c r="AA190" s="2328" t="s">
        <v>1331</v>
      </c>
      <c r="AB190" s="597">
        <f t="shared" si="90"/>
        <v>550.41540128131669</v>
      </c>
      <c r="AC190" s="597">
        <f t="shared" si="91"/>
        <v>319857948.40799999</v>
      </c>
      <c r="AD190" s="597">
        <f t="shared" si="92"/>
        <v>16512.462038439498</v>
      </c>
      <c r="AE190" s="610">
        <f t="shared" si="87"/>
        <v>16512.462038439498</v>
      </c>
      <c r="AF190" s="572">
        <f t="shared" si="93"/>
        <v>14724.119999999999</v>
      </c>
      <c r="AG190" s="572">
        <f t="shared" si="94"/>
        <v>2.4330000000000004E-2</v>
      </c>
      <c r="AH190" s="600">
        <f t="shared" si="95"/>
        <v>3.7333014169052734E-5</v>
      </c>
      <c r="AI190" s="559" t="s">
        <v>606</v>
      </c>
    </row>
    <row r="191" spans="1:35" ht="14.4" hidden="1" x14ac:dyDescent="0.3">
      <c r="A191" s="560" t="s">
        <v>568</v>
      </c>
      <c r="B191" s="557" t="str">
        <f t="shared" si="89"/>
        <v>2010s</v>
      </c>
      <c r="C191" s="561">
        <v>2014</v>
      </c>
      <c r="D191" s="562">
        <f t="shared" si="65"/>
        <v>2010</v>
      </c>
      <c r="E191" s="563">
        <f t="shared" si="66"/>
        <v>2013</v>
      </c>
      <c r="F191" s="586">
        <f t="shared" si="67"/>
        <v>651146</v>
      </c>
      <c r="G191" s="587">
        <f t="shared" si="68"/>
        <v>651702</v>
      </c>
      <c r="H191" s="587">
        <f t="shared" si="69"/>
        <v>650354</v>
      </c>
      <c r="I191" s="2122">
        <f t="shared" si="70"/>
        <v>490804</v>
      </c>
      <c r="J191" s="2126">
        <f t="shared" si="71"/>
        <v>0.84458142108097967</v>
      </c>
      <c r="K191" s="590">
        <f t="shared" si="72"/>
        <v>538819</v>
      </c>
      <c r="L191" s="591">
        <f t="shared" si="80"/>
        <v>550415.40128131665</v>
      </c>
      <c r="M191" s="589">
        <f t="shared" si="97"/>
        <v>490804</v>
      </c>
      <c r="N191" s="591">
        <f t="shared" si="98"/>
        <v>319857948408</v>
      </c>
      <c r="O191" s="569">
        <f t="shared" si="73"/>
        <v>3.8714013460139757E-3</v>
      </c>
      <c r="P191" s="592">
        <f t="shared" si="74"/>
        <v>0.84458142108097967</v>
      </c>
      <c r="Q191" s="593">
        <f t="shared" si="75"/>
        <v>0.84608240013574598</v>
      </c>
      <c r="R191" s="572">
        <f t="shared" si="76"/>
        <v>0.81100000000000017</v>
      </c>
      <c r="S191" s="573">
        <f t="shared" si="77"/>
        <v>5.5366769482466473E-2</v>
      </c>
      <c r="T191" s="574">
        <v>2.1</v>
      </c>
      <c r="U191" s="557">
        <f t="shared" si="78"/>
        <v>4.0000000000000009</v>
      </c>
      <c r="V191" s="575">
        <f t="shared" si="79"/>
        <v>2</v>
      </c>
      <c r="W191" s="594">
        <v>1E-3</v>
      </c>
      <c r="X191" s="595">
        <f t="shared" si="88"/>
        <v>651.702</v>
      </c>
      <c r="Y191" s="594">
        <v>0</v>
      </c>
      <c r="Z191" s="577">
        <f t="shared" si="86"/>
        <v>0</v>
      </c>
      <c r="AA191" s="2328" t="s">
        <v>1331</v>
      </c>
      <c r="AB191" s="597">
        <f t="shared" si="90"/>
        <v>550.41540128131669</v>
      </c>
      <c r="AC191" s="597">
        <f t="shared" si="91"/>
        <v>319857948.40799999</v>
      </c>
      <c r="AD191" s="597">
        <f>IF(Y191,L191*Y191,0)</f>
        <v>0</v>
      </c>
      <c r="AE191" s="610">
        <f t="shared" si="87"/>
        <v>0</v>
      </c>
      <c r="AF191" s="572">
        <f t="shared" si="93"/>
        <v>0</v>
      </c>
      <c r="AG191" s="572">
        <f t="shared" si="94"/>
        <v>0</v>
      </c>
      <c r="AH191" s="600">
        <f t="shared" si="95"/>
        <v>0</v>
      </c>
      <c r="AI191" s="559" t="s">
        <v>606</v>
      </c>
    </row>
    <row r="192" spans="1:35" ht="14.4" hidden="1" x14ac:dyDescent="0.3">
      <c r="A192" s="560" t="s">
        <v>568</v>
      </c>
      <c r="B192" s="557" t="str">
        <f t="shared" si="89"/>
        <v>2010s</v>
      </c>
      <c r="C192" s="561">
        <v>2014</v>
      </c>
      <c r="D192" s="562">
        <f t="shared" ref="D192:D237" si="99">C192-U192</f>
        <v>2009</v>
      </c>
      <c r="E192" s="563">
        <f t="shared" ref="E192:E237" si="100">C192-(T192-INT(T192))*10</f>
        <v>2012</v>
      </c>
      <c r="F192" s="586">
        <f t="shared" si="67"/>
        <v>651146</v>
      </c>
      <c r="G192" s="587">
        <f t="shared" si="68"/>
        <v>651702</v>
      </c>
      <c r="H192" s="587">
        <f t="shared" si="69"/>
        <v>650354</v>
      </c>
      <c r="I192" s="588">
        <f t="shared" si="70"/>
        <v>490804</v>
      </c>
      <c r="J192" s="589">
        <f t="shared" si="71"/>
        <v>0.84458142108097967</v>
      </c>
      <c r="K192" s="590">
        <f t="shared" si="72"/>
        <v>538819</v>
      </c>
      <c r="L192" s="591">
        <f t="shared" si="80"/>
        <v>550415.40128131665</v>
      </c>
      <c r="M192" s="589">
        <f t="shared" si="97"/>
        <v>490804</v>
      </c>
      <c r="N192" s="591">
        <f t="shared" si="98"/>
        <v>319857948408</v>
      </c>
      <c r="O192" s="569">
        <f t="shared" si="73"/>
        <v>3.8714013460139757E-3</v>
      </c>
      <c r="P192" s="592">
        <f t="shared" si="74"/>
        <v>0.84458142108097967</v>
      </c>
      <c r="Q192" s="593">
        <f t="shared" si="75"/>
        <v>0.84608240013574598</v>
      </c>
      <c r="R192" s="572">
        <f t="shared" si="76"/>
        <v>0.81100000000000017</v>
      </c>
      <c r="S192" s="573">
        <f t="shared" si="77"/>
        <v>5.5366769482466473E-2</v>
      </c>
      <c r="T192" s="574">
        <v>2.2000000000000002</v>
      </c>
      <c r="U192" s="557">
        <f t="shared" si="78"/>
        <v>5.0000000000000018</v>
      </c>
      <c r="V192" s="575">
        <f t="shared" si="79"/>
        <v>2</v>
      </c>
      <c r="W192" s="594">
        <v>4.0000000000000001E-3</v>
      </c>
      <c r="X192" s="595">
        <f t="shared" si="88"/>
        <v>2606.808</v>
      </c>
      <c r="Y192" s="594">
        <v>4.0000000000000001E-3</v>
      </c>
      <c r="Z192" s="577">
        <f t="shared" si="86"/>
        <v>2155.2759999999998</v>
      </c>
      <c r="AA192" s="2328" t="s">
        <v>1331</v>
      </c>
      <c r="AB192" s="597">
        <f t="shared" si="90"/>
        <v>2201.6616051252668</v>
      </c>
      <c r="AC192" s="597">
        <f t="shared" si="91"/>
        <v>1279431793.632</v>
      </c>
      <c r="AD192" s="597">
        <f t="shared" si="92"/>
        <v>2201.6616051252668</v>
      </c>
      <c r="AE192" s="610">
        <f t="shared" si="87"/>
        <v>2201.6616051252668</v>
      </c>
      <c r="AF192" s="572">
        <f t="shared" si="93"/>
        <v>1963.2160000000001</v>
      </c>
      <c r="AG192" s="572">
        <f t="shared" si="94"/>
        <v>3.2440000000000008E-3</v>
      </c>
      <c r="AH192" s="600">
        <f t="shared" si="95"/>
        <v>1.2444338056350911E-6</v>
      </c>
      <c r="AI192" s="559" t="s">
        <v>606</v>
      </c>
    </row>
    <row r="193" spans="1:35" ht="14.4" hidden="1" x14ac:dyDescent="0.3">
      <c r="A193" s="2169" t="s">
        <v>568</v>
      </c>
      <c r="B193" s="2168" t="str">
        <f t="shared" si="89"/>
        <v>2010s</v>
      </c>
      <c r="C193" s="2178">
        <v>2015</v>
      </c>
      <c r="D193" s="2170">
        <f t="shared" si="99"/>
        <v>2012</v>
      </c>
      <c r="E193" s="2171">
        <f t="shared" si="100"/>
        <v>2014</v>
      </c>
      <c r="F193" s="587">
        <f t="shared" si="67"/>
        <v>512455</v>
      </c>
      <c r="G193" s="587">
        <f t="shared" si="68"/>
        <v>542103</v>
      </c>
      <c r="H193" s="587">
        <f t="shared" si="69"/>
        <v>540357</v>
      </c>
      <c r="I193" s="588">
        <f t="shared" si="70"/>
        <v>187055</v>
      </c>
      <c r="J193" s="589">
        <f t="shared" si="71"/>
        <v>0.70672666409750717</v>
      </c>
      <c r="K193" s="2172">
        <f t="shared" si="72"/>
        <v>437687</v>
      </c>
      <c r="L193" s="591">
        <f t="shared" si="80"/>
        <v>383118.64478725096</v>
      </c>
      <c r="M193" s="589">
        <f t="shared" si="97"/>
        <v>187055</v>
      </c>
      <c r="N193" s="591">
        <f t="shared" si="98"/>
        <v>101403076665</v>
      </c>
      <c r="O193" s="569">
        <f t="shared" si="73"/>
        <v>3.2263241487318832E-3</v>
      </c>
      <c r="P193" s="592">
        <f t="shared" si="74"/>
        <v>0.70672666409750717</v>
      </c>
      <c r="Q193" s="593">
        <f t="shared" si="75"/>
        <v>0.72614743814231109</v>
      </c>
      <c r="R193" s="572">
        <f t="shared" si="76"/>
        <v>0.78400000000000003</v>
      </c>
      <c r="S193" s="573">
        <f t="shared" si="77"/>
        <v>0.45124797124863747</v>
      </c>
      <c r="T193" s="2167">
        <v>1.1000000000000001</v>
      </c>
      <c r="U193" s="2168">
        <f t="shared" si="78"/>
        <v>3.0000000000000009</v>
      </c>
      <c r="V193" s="2181">
        <f t="shared" si="79"/>
        <v>1</v>
      </c>
      <c r="W193" s="2182">
        <v>1E-3</v>
      </c>
      <c r="X193" s="595">
        <f t="shared" si="88"/>
        <v>542.10300000000007</v>
      </c>
      <c r="Y193" s="2186">
        <v>2E-3</v>
      </c>
      <c r="Z193" s="2187">
        <f>K193*W193</f>
        <v>437.68700000000001</v>
      </c>
      <c r="AA193" s="2329" t="s">
        <v>1330</v>
      </c>
      <c r="AB193" s="597">
        <f t="shared" si="90"/>
        <v>383.11864478725096</v>
      </c>
      <c r="AC193" s="597">
        <f t="shared" si="91"/>
        <v>101403076.66500001</v>
      </c>
      <c r="AD193" s="597">
        <f t="shared" si="92"/>
        <v>766.23728957450192</v>
      </c>
      <c r="AE193" s="610">
        <f t="shared" si="87"/>
        <v>766.23728957450192</v>
      </c>
      <c r="AF193" s="572">
        <f t="shared" si="93"/>
        <v>374.11</v>
      </c>
      <c r="AG193" s="572">
        <f t="shared" si="94"/>
        <v>1.5680000000000002E-3</v>
      </c>
      <c r="AH193" s="600">
        <f t="shared" si="95"/>
        <v>2.8924392596978804E-6</v>
      </c>
      <c r="AI193" s="620" t="s">
        <v>608</v>
      </c>
    </row>
    <row r="194" spans="1:35" ht="14.4" hidden="1" x14ac:dyDescent="0.3">
      <c r="A194" s="560" t="s">
        <v>568</v>
      </c>
      <c r="B194" s="557" t="str">
        <f t="shared" si="89"/>
        <v>2010s</v>
      </c>
      <c r="C194" s="561">
        <v>2015</v>
      </c>
      <c r="D194" s="562">
        <f t="shared" si="99"/>
        <v>2011</v>
      </c>
      <c r="E194" s="563">
        <f t="shared" si="100"/>
        <v>2013</v>
      </c>
      <c r="F194" s="587">
        <f t="shared" ref="F194:F243" si="101">VLOOKUP($C194,SockeyeReturnsData,2)</f>
        <v>512455</v>
      </c>
      <c r="G194" s="587">
        <f t="shared" ref="G194:G243" si="102">VLOOKUP($C194,SockeyeReturnsData,3)</f>
        <v>542103</v>
      </c>
      <c r="H194" s="587">
        <f t="shared" ref="H194:H243" si="103">VLOOKUP($C194,SockeyeReturnsData,5)</f>
        <v>540357</v>
      </c>
      <c r="I194" s="588">
        <f t="shared" ref="I194:I243" si="104">VLOOKUP($C194,SockeyeReturnsData,12)</f>
        <v>187055</v>
      </c>
      <c r="J194" s="589">
        <f t="shared" ref="J194:J243" si="105">VLOOKUP($C194,SockeyeReturnsData,18)</f>
        <v>0.70672666409750717</v>
      </c>
      <c r="K194" s="2173">
        <f t="shared" ref="K194:K243" si="106">VLOOKUP($C194,SockeyeReturnsData,30)</f>
        <v>437687</v>
      </c>
      <c r="L194" s="591">
        <f t="shared" si="80"/>
        <v>383118.64478725096</v>
      </c>
      <c r="M194" s="589">
        <f t="shared" si="97"/>
        <v>187055</v>
      </c>
      <c r="N194" s="591">
        <f t="shared" si="98"/>
        <v>101403076665</v>
      </c>
      <c r="O194" s="569">
        <f t="shared" ref="O194:O231" si="107">VLOOKUP($C194,SockeyeReturnsData,6)/G194</f>
        <v>3.2263241487318832E-3</v>
      </c>
      <c r="P194" s="592">
        <f t="shared" ref="P194:P237" si="108">VLOOKUP($C194,SockeyeReturnsData,18)</f>
        <v>0.70672666409750717</v>
      </c>
      <c r="Q194" s="593">
        <f t="shared" ref="Q194:Q237" si="109">VLOOKUP($C194,SockeyeReturnsData,20)</f>
        <v>0.72614743814231109</v>
      </c>
      <c r="R194" s="572">
        <f t="shared" ref="R194:R237" si="110">VLOOKUP($C194,SockeyeReturnsData,19)</f>
        <v>0.78400000000000003</v>
      </c>
      <c r="S194" s="573">
        <f t="shared" ref="S194:S237" si="111">VLOOKUP($C194,SockeyeReturnsData,24)</f>
        <v>0.45124797124863747</v>
      </c>
      <c r="T194" s="574">
        <v>1.2</v>
      </c>
      <c r="U194" s="557">
        <f t="shared" ref="U194:U237" si="112">INT(T194) + (T194-INT(T194))*10 + 1</f>
        <v>3.9999999999999996</v>
      </c>
      <c r="V194" s="575">
        <f t="shared" ref="V194:V237" si="113">INT(T194)</f>
        <v>1</v>
      </c>
      <c r="W194" s="2183">
        <v>0.97499999999999998</v>
      </c>
      <c r="X194" s="595">
        <f t="shared" si="88"/>
        <v>528550.42499999993</v>
      </c>
      <c r="Y194" s="2188">
        <v>0.94699999999999995</v>
      </c>
      <c r="Z194" s="2189">
        <f>K194*W194</f>
        <v>426744.82500000001</v>
      </c>
      <c r="AA194" s="2329" t="s">
        <v>1330</v>
      </c>
      <c r="AB194" s="597">
        <f t="shared" si="90"/>
        <v>373540.67866756965</v>
      </c>
      <c r="AC194" s="597">
        <f t="shared" si="91"/>
        <v>98867999748.375</v>
      </c>
      <c r="AD194" s="597">
        <f t="shared" si="92"/>
        <v>362813.35661352664</v>
      </c>
      <c r="AE194" s="610">
        <f t="shared" si="87"/>
        <v>362813.35661352664</v>
      </c>
      <c r="AF194" s="572">
        <f t="shared" si="93"/>
        <v>177141.08499999999</v>
      </c>
      <c r="AG194" s="572">
        <f t="shared" si="94"/>
        <v>0.742448</v>
      </c>
      <c r="AH194" s="600">
        <f t="shared" si="95"/>
        <v>1.4046871686840476E-6</v>
      </c>
      <c r="AI194" s="620" t="s">
        <v>609</v>
      </c>
    </row>
    <row r="195" spans="1:35" ht="14.4" hidden="1" x14ac:dyDescent="0.3">
      <c r="A195" s="560" t="s">
        <v>568</v>
      </c>
      <c r="B195" s="557" t="str">
        <f t="shared" si="89"/>
        <v>2010s</v>
      </c>
      <c r="C195" s="561">
        <v>2015</v>
      </c>
      <c r="D195" s="562">
        <f t="shared" si="99"/>
        <v>2010</v>
      </c>
      <c r="E195" s="563">
        <f t="shared" si="100"/>
        <v>2012</v>
      </c>
      <c r="F195" s="587">
        <f t="shared" si="101"/>
        <v>512455</v>
      </c>
      <c r="G195" s="587">
        <f t="shared" si="102"/>
        <v>542103</v>
      </c>
      <c r="H195" s="587">
        <f t="shared" si="103"/>
        <v>540357</v>
      </c>
      <c r="I195" s="2122">
        <f t="shared" si="104"/>
        <v>187055</v>
      </c>
      <c r="J195" s="2126">
        <f t="shared" si="105"/>
        <v>0.70672666409750717</v>
      </c>
      <c r="K195" s="2173">
        <f t="shared" si="106"/>
        <v>437687</v>
      </c>
      <c r="L195" s="591">
        <f t="shared" ref="L195:L237" si="114">J195*G195</f>
        <v>383118.64478725096</v>
      </c>
      <c r="M195" s="589">
        <f t="shared" si="97"/>
        <v>187055</v>
      </c>
      <c r="N195" s="591">
        <f t="shared" si="98"/>
        <v>101403076665</v>
      </c>
      <c r="O195" s="569">
        <f t="shared" si="107"/>
        <v>3.2263241487318832E-3</v>
      </c>
      <c r="P195" s="592">
        <f t="shared" si="108"/>
        <v>0.70672666409750717</v>
      </c>
      <c r="Q195" s="593">
        <f t="shared" si="109"/>
        <v>0.72614743814231109</v>
      </c>
      <c r="R195" s="572">
        <f t="shared" si="110"/>
        <v>0.78400000000000003</v>
      </c>
      <c r="S195" s="573">
        <f t="shared" si="111"/>
        <v>0.45124797124863747</v>
      </c>
      <c r="T195" s="574">
        <v>1.3</v>
      </c>
      <c r="U195" s="557">
        <f t="shared" si="112"/>
        <v>5</v>
      </c>
      <c r="V195" s="575">
        <f t="shared" si="113"/>
        <v>1</v>
      </c>
      <c r="W195" s="2184">
        <v>1E-3</v>
      </c>
      <c r="X195" s="595">
        <f t="shared" si="88"/>
        <v>542.10300000000007</v>
      </c>
      <c r="Y195" s="2190">
        <v>0.03</v>
      </c>
      <c r="Z195" s="2189">
        <f>K195*W195</f>
        <v>437.68700000000001</v>
      </c>
      <c r="AA195" s="2329" t="s">
        <v>1330</v>
      </c>
      <c r="AB195" s="597">
        <f t="shared" si="90"/>
        <v>383.11864478725096</v>
      </c>
      <c r="AC195" s="597">
        <f t="shared" si="91"/>
        <v>101403076.66500001</v>
      </c>
      <c r="AD195" s="597">
        <f t="shared" si="92"/>
        <v>11493.559343617528</v>
      </c>
      <c r="AE195" s="610">
        <f t="shared" si="87"/>
        <v>11493.559343617528</v>
      </c>
      <c r="AF195" s="572">
        <f t="shared" si="93"/>
        <v>5611.65</v>
      </c>
      <c r="AG195" s="572">
        <f t="shared" si="94"/>
        <v>2.3519999999999999E-2</v>
      </c>
      <c r="AH195" s="600">
        <f t="shared" si="95"/>
        <v>4.3386588895468198E-5</v>
      </c>
    </row>
    <row r="196" spans="1:35" ht="14.4" hidden="1" x14ac:dyDescent="0.3">
      <c r="A196" s="560" t="s">
        <v>568</v>
      </c>
      <c r="B196" s="557" t="str">
        <f t="shared" si="89"/>
        <v>2010s</v>
      </c>
      <c r="C196" s="561">
        <v>2015</v>
      </c>
      <c r="D196" s="562">
        <f t="shared" si="99"/>
        <v>2011</v>
      </c>
      <c r="E196" s="563">
        <f t="shared" si="100"/>
        <v>2014</v>
      </c>
      <c r="F196" s="587">
        <f t="shared" si="101"/>
        <v>512455</v>
      </c>
      <c r="G196" s="587">
        <f t="shared" si="102"/>
        <v>542103</v>
      </c>
      <c r="H196" s="587">
        <f t="shared" si="103"/>
        <v>540357</v>
      </c>
      <c r="I196" s="588">
        <f t="shared" si="104"/>
        <v>187055</v>
      </c>
      <c r="J196" s="589">
        <f t="shared" si="105"/>
        <v>0.70672666409750717</v>
      </c>
      <c r="K196" s="2173">
        <f t="shared" si="106"/>
        <v>437687</v>
      </c>
      <c r="L196" s="591">
        <f t="shared" si="114"/>
        <v>383118.64478725096</v>
      </c>
      <c r="M196" s="589">
        <f t="shared" si="97"/>
        <v>187055</v>
      </c>
      <c r="N196" s="591">
        <f t="shared" si="98"/>
        <v>101403076665</v>
      </c>
      <c r="O196" s="569">
        <f t="shared" si="107"/>
        <v>3.2263241487318832E-3</v>
      </c>
      <c r="P196" s="592">
        <f t="shared" si="108"/>
        <v>0.70672666409750717</v>
      </c>
      <c r="Q196" s="593">
        <f t="shared" si="109"/>
        <v>0.72614743814231109</v>
      </c>
      <c r="R196" s="572">
        <f t="shared" si="110"/>
        <v>0.78400000000000003</v>
      </c>
      <c r="S196" s="573">
        <f t="shared" si="111"/>
        <v>0.45124797124863747</v>
      </c>
      <c r="T196" s="574">
        <v>2.1</v>
      </c>
      <c r="U196" s="557">
        <f t="shared" si="112"/>
        <v>4.0000000000000009</v>
      </c>
      <c r="V196" s="575">
        <f t="shared" si="113"/>
        <v>2</v>
      </c>
      <c r="W196" s="2184">
        <v>0</v>
      </c>
      <c r="X196" s="595">
        <f t="shared" si="88"/>
        <v>0</v>
      </c>
      <c r="Y196" s="2190">
        <v>3.0000000000000001E-3</v>
      </c>
      <c r="Z196" s="2189">
        <f>K196*W196</f>
        <v>0</v>
      </c>
      <c r="AA196" s="2329" t="s">
        <v>1330</v>
      </c>
      <c r="AB196" s="597">
        <f t="shared" si="90"/>
        <v>0</v>
      </c>
      <c r="AC196" s="597">
        <f t="shared" si="91"/>
        <v>0</v>
      </c>
      <c r="AD196" s="597">
        <f t="shared" si="92"/>
        <v>1149.3559343617528</v>
      </c>
      <c r="AE196" s="610">
        <f t="shared" si="87"/>
        <v>1149.3559343617528</v>
      </c>
      <c r="AF196" s="572">
        <f t="shared" si="93"/>
        <v>561.16499999999996</v>
      </c>
      <c r="AG196" s="572">
        <f t="shared" si="94"/>
        <v>2.3519999999999999E-3</v>
      </c>
      <c r="AH196" s="600">
        <f t="shared" si="95"/>
        <v>0</v>
      </c>
      <c r="AI196" s="620" t="s">
        <v>610</v>
      </c>
    </row>
    <row r="197" spans="1:35" ht="15" hidden="1" thickBot="1" x14ac:dyDescent="0.35">
      <c r="A197" s="630" t="s">
        <v>568</v>
      </c>
      <c r="B197" s="631" t="str">
        <f t="shared" si="89"/>
        <v>2010s</v>
      </c>
      <c r="C197" s="2179">
        <v>2015</v>
      </c>
      <c r="D197" s="632">
        <f t="shared" si="99"/>
        <v>2010</v>
      </c>
      <c r="E197" s="633">
        <f t="shared" si="100"/>
        <v>2013</v>
      </c>
      <c r="F197" s="587">
        <f t="shared" si="101"/>
        <v>512455</v>
      </c>
      <c r="G197" s="587">
        <f t="shared" si="102"/>
        <v>542103</v>
      </c>
      <c r="H197" s="587">
        <f t="shared" si="103"/>
        <v>540357</v>
      </c>
      <c r="I197" s="2122">
        <f t="shared" si="104"/>
        <v>187055</v>
      </c>
      <c r="J197" s="2126">
        <f t="shared" si="105"/>
        <v>0.70672666409750717</v>
      </c>
      <c r="K197" s="2174">
        <f t="shared" si="106"/>
        <v>437687</v>
      </c>
      <c r="L197" s="591">
        <f t="shared" si="114"/>
        <v>383118.64478725096</v>
      </c>
      <c r="M197" s="589">
        <f t="shared" si="97"/>
        <v>187055</v>
      </c>
      <c r="N197" s="591">
        <f t="shared" si="98"/>
        <v>101403076665</v>
      </c>
      <c r="O197" s="569">
        <f t="shared" si="107"/>
        <v>3.2263241487318832E-3</v>
      </c>
      <c r="P197" s="592">
        <f t="shared" si="108"/>
        <v>0.70672666409750717</v>
      </c>
      <c r="Q197" s="593">
        <f t="shared" si="109"/>
        <v>0.72614743814231109</v>
      </c>
      <c r="R197" s="572">
        <f t="shared" si="110"/>
        <v>0.78400000000000003</v>
      </c>
      <c r="S197" s="573">
        <f t="shared" si="111"/>
        <v>0.45124797124863747</v>
      </c>
      <c r="T197" s="642">
        <v>2.2000000000000002</v>
      </c>
      <c r="U197" s="631">
        <f t="shared" si="112"/>
        <v>5.0000000000000018</v>
      </c>
      <c r="V197" s="643">
        <f t="shared" si="113"/>
        <v>2</v>
      </c>
      <c r="W197" s="2185">
        <v>2.1999999999999999E-2</v>
      </c>
      <c r="X197" s="595">
        <f t="shared" si="88"/>
        <v>11926.266</v>
      </c>
      <c r="Y197" s="2191">
        <v>1E-3</v>
      </c>
      <c r="Z197" s="2192">
        <f>K197*W197</f>
        <v>9629.1139999999996</v>
      </c>
      <c r="AA197" s="2329" t="s">
        <v>1330</v>
      </c>
      <c r="AB197" s="597">
        <f t="shared" si="90"/>
        <v>8428.6101853195214</v>
      </c>
      <c r="AC197" s="597">
        <f t="shared" si="91"/>
        <v>2230867686.6299996</v>
      </c>
      <c r="AD197" s="597">
        <f t="shared" si="92"/>
        <v>383.11864478725096</v>
      </c>
      <c r="AE197" s="610">
        <f t="shared" si="87"/>
        <v>383.11864478725096</v>
      </c>
      <c r="AF197" s="572">
        <f t="shared" si="93"/>
        <v>187.05500000000001</v>
      </c>
      <c r="AG197" s="572">
        <f t="shared" si="94"/>
        <v>7.8400000000000008E-4</v>
      </c>
      <c r="AH197" s="600">
        <f t="shared" si="95"/>
        <v>6.5737255902224555E-8</v>
      </c>
      <c r="AI197" s="621" t="s">
        <v>611</v>
      </c>
    </row>
    <row r="198" spans="1:35" ht="14.4" hidden="1" x14ac:dyDescent="0.3">
      <c r="A198" s="2169" t="s">
        <v>568</v>
      </c>
      <c r="B198" s="2168" t="str">
        <f t="shared" si="89"/>
        <v>2010s</v>
      </c>
      <c r="C198" s="2178">
        <v>2016</v>
      </c>
      <c r="D198" s="2170">
        <f t="shared" si="99"/>
        <v>2013</v>
      </c>
      <c r="E198" s="2171">
        <f t="shared" si="100"/>
        <v>2015</v>
      </c>
      <c r="F198" s="587">
        <f t="shared" si="101"/>
        <v>356606</v>
      </c>
      <c r="G198" s="587">
        <f t="shared" si="102"/>
        <v>363350</v>
      </c>
      <c r="H198" s="587">
        <f t="shared" si="103"/>
        <v>361543</v>
      </c>
      <c r="I198" s="2122">
        <f t="shared" si="104"/>
        <v>216036</v>
      </c>
      <c r="J198" s="2126">
        <f t="shared" si="105"/>
        <v>0.69612458553655499</v>
      </c>
      <c r="K198" s="2172">
        <f t="shared" si="106"/>
        <v>275427</v>
      </c>
      <c r="L198" s="591">
        <f t="shared" si="114"/>
        <v>252936.86815470725</v>
      </c>
      <c r="M198" s="589">
        <f t="shared" si="97"/>
        <v>216036</v>
      </c>
      <c r="N198" s="591">
        <f t="shared" si="98"/>
        <v>78496680600</v>
      </c>
      <c r="O198" s="569">
        <f t="shared" si="107"/>
        <v>2.6035502958579883E-3</v>
      </c>
      <c r="P198" s="592">
        <f t="shared" si="108"/>
        <v>0.69612458553655499</v>
      </c>
      <c r="Q198" s="593">
        <f t="shared" si="109"/>
        <v>0.73560301084842705</v>
      </c>
      <c r="R198" s="572">
        <f t="shared" si="110"/>
        <v>0.70099999999999996</v>
      </c>
      <c r="S198" s="573">
        <f t="shared" si="111"/>
        <v>9.2860323668277359E-2</v>
      </c>
      <c r="T198" s="2167">
        <v>1.1000000000000001</v>
      </c>
      <c r="U198" s="2168">
        <f t="shared" si="112"/>
        <v>3.0000000000000009</v>
      </c>
      <c r="V198" s="2181">
        <f t="shared" si="113"/>
        <v>1</v>
      </c>
      <c r="W198" s="2182">
        <v>8.9999999999999993E-3</v>
      </c>
      <c r="X198" s="595">
        <f t="shared" si="88"/>
        <v>3270.1499999999996</v>
      </c>
      <c r="Y198" s="2186">
        <v>0.01</v>
      </c>
      <c r="Z198" s="2193">
        <f t="shared" si="86"/>
        <v>2754.27</v>
      </c>
      <c r="AA198" s="2328" t="s">
        <v>1331</v>
      </c>
      <c r="AB198" s="597">
        <f t="shared" si="90"/>
        <v>2276.4318133923653</v>
      </c>
      <c r="AC198" s="597">
        <f t="shared" si="91"/>
        <v>706470125.39999998</v>
      </c>
      <c r="AD198" s="597">
        <f t="shared" si="92"/>
        <v>2529.3686815470724</v>
      </c>
      <c r="AE198" s="610">
        <f t="shared" si="87"/>
        <v>2529.3686815470724</v>
      </c>
      <c r="AF198" s="572">
        <f t="shared" si="93"/>
        <v>2160.36</v>
      </c>
      <c r="AG198" s="572">
        <f t="shared" si="94"/>
        <v>7.0099999999999997E-3</v>
      </c>
      <c r="AH198" s="600">
        <f t="shared" si="95"/>
        <v>2.1436325550815715E-6</v>
      </c>
    </row>
    <row r="199" spans="1:35" ht="14.4" hidden="1" x14ac:dyDescent="0.3">
      <c r="A199" s="560" t="s">
        <v>568</v>
      </c>
      <c r="B199" s="557" t="str">
        <f t="shared" si="89"/>
        <v>2010s</v>
      </c>
      <c r="C199" s="561">
        <v>2016</v>
      </c>
      <c r="D199" s="562">
        <f t="shared" si="99"/>
        <v>2012</v>
      </c>
      <c r="E199" s="563">
        <f t="shared" si="100"/>
        <v>2014</v>
      </c>
      <c r="F199" s="587">
        <f t="shared" si="101"/>
        <v>356606</v>
      </c>
      <c r="G199" s="587">
        <f t="shared" si="102"/>
        <v>363350</v>
      </c>
      <c r="H199" s="587">
        <f t="shared" si="103"/>
        <v>361543</v>
      </c>
      <c r="I199" s="2122">
        <f t="shared" si="104"/>
        <v>216036</v>
      </c>
      <c r="J199" s="2126">
        <f t="shared" si="105"/>
        <v>0.69612458553655499</v>
      </c>
      <c r="K199" s="2173">
        <f t="shared" si="106"/>
        <v>275427</v>
      </c>
      <c r="L199" s="591">
        <f t="shared" si="114"/>
        <v>252936.86815470725</v>
      </c>
      <c r="M199" s="589">
        <f t="shared" si="97"/>
        <v>216036</v>
      </c>
      <c r="N199" s="591">
        <f t="shared" si="98"/>
        <v>78496680600</v>
      </c>
      <c r="O199" s="569">
        <f t="shared" si="107"/>
        <v>2.6035502958579883E-3</v>
      </c>
      <c r="P199" s="592">
        <f t="shared" si="108"/>
        <v>0.69612458553655499</v>
      </c>
      <c r="Q199" s="593">
        <f t="shared" si="109"/>
        <v>0.73560301084842705</v>
      </c>
      <c r="R199" s="572">
        <f t="shared" si="110"/>
        <v>0.70099999999999996</v>
      </c>
      <c r="S199" s="573">
        <f t="shared" si="111"/>
        <v>9.2860323668277359E-2</v>
      </c>
      <c r="T199" s="574">
        <v>1.2</v>
      </c>
      <c r="U199" s="557">
        <f t="shared" si="112"/>
        <v>3.9999999999999996</v>
      </c>
      <c r="V199" s="575">
        <f t="shared" si="113"/>
        <v>1</v>
      </c>
      <c r="W199" s="2184">
        <v>0.96</v>
      </c>
      <c r="X199" s="595">
        <f t="shared" si="88"/>
        <v>348816</v>
      </c>
      <c r="Y199" s="2190">
        <v>0.95699999999999996</v>
      </c>
      <c r="Z199" s="2194">
        <f t="shared" si="86"/>
        <v>263583.63899999997</v>
      </c>
      <c r="AA199" s="2328" t="s">
        <v>1331</v>
      </c>
      <c r="AB199" s="597">
        <f t="shared" si="90"/>
        <v>242819.39342851896</v>
      </c>
      <c r="AC199" s="597">
        <f t="shared" si="91"/>
        <v>75356813376</v>
      </c>
      <c r="AD199" s="597">
        <f t="shared" si="92"/>
        <v>242060.58282405481</v>
      </c>
      <c r="AE199" s="610">
        <f t="shared" si="87"/>
        <v>242060.58282405481</v>
      </c>
      <c r="AF199" s="572">
        <f t="shared" si="93"/>
        <v>206746.45199999999</v>
      </c>
      <c r="AG199" s="572">
        <f t="shared" si="94"/>
        <v>0.67085699999999993</v>
      </c>
      <c r="AH199" s="600">
        <f t="shared" si="95"/>
        <v>1.923240333012247E-6</v>
      </c>
      <c r="AI199" s="613" t="s">
        <v>612</v>
      </c>
    </row>
    <row r="200" spans="1:35" ht="14.4" hidden="1" x14ac:dyDescent="0.3">
      <c r="A200" s="560" t="s">
        <v>568</v>
      </c>
      <c r="B200" s="557" t="str">
        <f t="shared" si="89"/>
        <v>2010s</v>
      </c>
      <c r="C200" s="561">
        <v>2016</v>
      </c>
      <c r="D200" s="562">
        <f t="shared" si="99"/>
        <v>2011</v>
      </c>
      <c r="E200" s="563">
        <f t="shared" si="100"/>
        <v>2013</v>
      </c>
      <c r="F200" s="587">
        <f t="shared" si="101"/>
        <v>356606</v>
      </c>
      <c r="G200" s="587">
        <f t="shared" si="102"/>
        <v>363350</v>
      </c>
      <c r="H200" s="587">
        <f t="shared" si="103"/>
        <v>361543</v>
      </c>
      <c r="I200" s="2122">
        <f t="shared" si="104"/>
        <v>216036</v>
      </c>
      <c r="J200" s="2126">
        <f t="shared" si="105"/>
        <v>0.69612458553655499</v>
      </c>
      <c r="K200" s="2173">
        <f t="shared" si="106"/>
        <v>275427</v>
      </c>
      <c r="L200" s="591">
        <f t="shared" si="114"/>
        <v>252936.86815470725</v>
      </c>
      <c r="M200" s="589">
        <f t="shared" si="97"/>
        <v>216036</v>
      </c>
      <c r="N200" s="591">
        <f t="shared" si="98"/>
        <v>78496680600</v>
      </c>
      <c r="O200" s="569">
        <f t="shared" si="107"/>
        <v>2.6035502958579883E-3</v>
      </c>
      <c r="P200" s="592">
        <f t="shared" si="108"/>
        <v>0.69612458553655499</v>
      </c>
      <c r="Q200" s="593">
        <f t="shared" si="109"/>
        <v>0.73560301084842705</v>
      </c>
      <c r="R200" s="572">
        <f t="shared" si="110"/>
        <v>0.70099999999999996</v>
      </c>
      <c r="S200" s="573">
        <f t="shared" si="111"/>
        <v>9.2860323668277359E-2</v>
      </c>
      <c r="T200" s="574">
        <v>1.3</v>
      </c>
      <c r="U200" s="557">
        <f t="shared" si="112"/>
        <v>5</v>
      </c>
      <c r="V200" s="575">
        <f t="shared" si="113"/>
        <v>1</v>
      </c>
      <c r="W200" s="2184">
        <v>7.0000000000000001E-3</v>
      </c>
      <c r="X200" s="595">
        <f t="shared" si="88"/>
        <v>2543.4500000000003</v>
      </c>
      <c r="Y200" s="2190">
        <v>2.5000000000000001E-2</v>
      </c>
      <c r="Z200" s="2194">
        <f t="shared" si="86"/>
        <v>6885.6750000000002</v>
      </c>
      <c r="AA200" s="2328" t="s">
        <v>1331</v>
      </c>
      <c r="AB200" s="597">
        <f t="shared" si="90"/>
        <v>1770.5580770829508</v>
      </c>
      <c r="AC200" s="597">
        <f t="shared" si="91"/>
        <v>549476764.20000005</v>
      </c>
      <c r="AD200" s="597">
        <f t="shared" si="92"/>
        <v>6323.4217038676816</v>
      </c>
      <c r="AE200" s="610">
        <f t="shared" si="87"/>
        <v>6323.4217038676816</v>
      </c>
      <c r="AF200" s="572">
        <f t="shared" si="93"/>
        <v>5400.9000000000005</v>
      </c>
      <c r="AG200" s="572">
        <f t="shared" si="94"/>
        <v>1.7524999999999999E-2</v>
      </c>
      <c r="AH200" s="600">
        <f t="shared" si="95"/>
        <v>6.8902474984764779E-6</v>
      </c>
      <c r="AI200" s="613"/>
    </row>
    <row r="201" spans="1:35" ht="14.4" hidden="1" x14ac:dyDescent="0.3">
      <c r="A201" s="560" t="s">
        <v>568</v>
      </c>
      <c r="B201" s="557" t="str">
        <f t="shared" si="89"/>
        <v>2010s</v>
      </c>
      <c r="C201" s="561">
        <v>2016</v>
      </c>
      <c r="D201" s="562">
        <f t="shared" si="99"/>
        <v>2012</v>
      </c>
      <c r="E201" s="563">
        <f t="shared" si="100"/>
        <v>2015</v>
      </c>
      <c r="F201" s="587">
        <f t="shared" si="101"/>
        <v>356606</v>
      </c>
      <c r="G201" s="587">
        <f t="shared" si="102"/>
        <v>363350</v>
      </c>
      <c r="H201" s="587">
        <f t="shared" si="103"/>
        <v>361543</v>
      </c>
      <c r="I201" s="2122">
        <f t="shared" si="104"/>
        <v>216036</v>
      </c>
      <c r="J201" s="2126">
        <f t="shared" si="105"/>
        <v>0.69612458553655499</v>
      </c>
      <c r="K201" s="2173">
        <f t="shared" si="106"/>
        <v>275427</v>
      </c>
      <c r="L201" s="591">
        <f t="shared" si="114"/>
        <v>252936.86815470725</v>
      </c>
      <c r="M201" s="589">
        <f t="shared" ref="M201:M237" si="115">VLOOKUP($C201,SockeyeReturnsData,12)</f>
        <v>216036</v>
      </c>
      <c r="N201" s="591">
        <f t="shared" si="98"/>
        <v>78496680600</v>
      </c>
      <c r="O201" s="569">
        <f t="shared" si="107"/>
        <v>2.6035502958579883E-3</v>
      </c>
      <c r="P201" s="592">
        <f t="shared" si="108"/>
        <v>0.69612458553655499</v>
      </c>
      <c r="Q201" s="593">
        <f t="shared" si="109"/>
        <v>0.73560301084842705</v>
      </c>
      <c r="R201" s="572">
        <f t="shared" si="110"/>
        <v>0.70099999999999996</v>
      </c>
      <c r="S201" s="573">
        <f t="shared" si="111"/>
        <v>9.2860323668277359E-2</v>
      </c>
      <c r="T201" s="574">
        <v>2.1</v>
      </c>
      <c r="U201" s="557">
        <f t="shared" si="112"/>
        <v>4.0000000000000009</v>
      </c>
      <c r="V201" s="575">
        <f t="shared" si="113"/>
        <v>2</v>
      </c>
      <c r="W201" s="2184">
        <v>0</v>
      </c>
      <c r="X201" s="595">
        <f t="shared" si="88"/>
        <v>0</v>
      </c>
      <c r="Y201" s="2190">
        <v>3.0000000000000001E-3</v>
      </c>
      <c r="Z201" s="2194">
        <f t="shared" si="86"/>
        <v>826.28100000000006</v>
      </c>
      <c r="AA201" s="2328" t="s">
        <v>1331</v>
      </c>
      <c r="AB201" s="597">
        <f t="shared" si="90"/>
        <v>0</v>
      </c>
      <c r="AC201" s="597">
        <f t="shared" si="91"/>
        <v>0</v>
      </c>
      <c r="AD201" s="597">
        <f t="shared" si="92"/>
        <v>758.81060446412175</v>
      </c>
      <c r="AE201" s="610">
        <f t="shared" si="87"/>
        <v>758.81060446412175</v>
      </c>
      <c r="AF201" s="572">
        <f t="shared" si="93"/>
        <v>648.10800000000006</v>
      </c>
      <c r="AG201" s="572">
        <f t="shared" si="94"/>
        <v>2.1029999999999998E-3</v>
      </c>
      <c r="AH201" s="600">
        <f t="shared" si="95"/>
        <v>0</v>
      </c>
      <c r="AI201" s="613"/>
    </row>
    <row r="202" spans="1:35" ht="15" hidden="1" thickBot="1" x14ac:dyDescent="0.35">
      <c r="A202" s="630" t="s">
        <v>568</v>
      </c>
      <c r="B202" s="631" t="str">
        <f t="shared" si="89"/>
        <v>2010s</v>
      </c>
      <c r="C202" s="2179">
        <v>2016</v>
      </c>
      <c r="D202" s="632">
        <f t="shared" si="99"/>
        <v>2011</v>
      </c>
      <c r="E202" s="633">
        <f t="shared" si="100"/>
        <v>2014</v>
      </c>
      <c r="F202" s="587">
        <f t="shared" si="101"/>
        <v>356606</v>
      </c>
      <c r="G202" s="587">
        <f t="shared" si="102"/>
        <v>363350</v>
      </c>
      <c r="H202" s="587">
        <f t="shared" si="103"/>
        <v>361543</v>
      </c>
      <c r="I202" s="2122">
        <f t="shared" si="104"/>
        <v>216036</v>
      </c>
      <c r="J202" s="2126">
        <f t="shared" si="105"/>
        <v>0.69612458553655499</v>
      </c>
      <c r="K202" s="2174">
        <f t="shared" si="106"/>
        <v>275427</v>
      </c>
      <c r="L202" s="591">
        <f t="shared" si="114"/>
        <v>252936.86815470725</v>
      </c>
      <c r="M202" s="589">
        <f t="shared" si="115"/>
        <v>216036</v>
      </c>
      <c r="N202" s="591">
        <f t="shared" si="98"/>
        <v>78496680600</v>
      </c>
      <c r="O202" s="569">
        <f t="shared" si="107"/>
        <v>2.6035502958579883E-3</v>
      </c>
      <c r="P202" s="592">
        <f t="shared" si="108"/>
        <v>0.69612458553655499</v>
      </c>
      <c r="Q202" s="593">
        <f t="shared" si="109"/>
        <v>0.73560301084842705</v>
      </c>
      <c r="R202" s="572">
        <f t="shared" si="110"/>
        <v>0.70099999999999996</v>
      </c>
      <c r="S202" s="573">
        <f t="shared" si="111"/>
        <v>9.2860323668277359E-2</v>
      </c>
      <c r="T202" s="642">
        <v>2.2000000000000002</v>
      </c>
      <c r="U202" s="631">
        <f t="shared" si="112"/>
        <v>5.0000000000000018</v>
      </c>
      <c r="V202" s="643">
        <f t="shared" si="113"/>
        <v>2</v>
      </c>
      <c r="W202" s="2185">
        <v>2.4E-2</v>
      </c>
      <c r="X202" s="595">
        <f t="shared" si="88"/>
        <v>8720.4</v>
      </c>
      <c r="Y202" s="2191">
        <v>5.0000000000000001E-3</v>
      </c>
      <c r="Z202" s="2195">
        <f t="shared" si="86"/>
        <v>1377.135</v>
      </c>
      <c r="AA202" s="2328" t="s">
        <v>1331</v>
      </c>
      <c r="AB202" s="597">
        <f t="shared" si="90"/>
        <v>6070.484835712974</v>
      </c>
      <c r="AC202" s="597">
        <f t="shared" si="91"/>
        <v>1883920334.4000001</v>
      </c>
      <c r="AD202" s="597">
        <f t="shared" si="92"/>
        <v>1264.6843407735362</v>
      </c>
      <c r="AE202" s="610">
        <f t="shared" si="87"/>
        <v>1264.6843407735362</v>
      </c>
      <c r="AF202" s="572">
        <f t="shared" si="93"/>
        <v>1080.18</v>
      </c>
      <c r="AG202" s="572">
        <f t="shared" si="94"/>
        <v>3.5049999999999999E-3</v>
      </c>
      <c r="AH202" s="600">
        <f t="shared" si="95"/>
        <v>4.0193110407779461E-7</v>
      </c>
      <c r="AI202" s="613"/>
    </row>
    <row r="203" spans="1:35" ht="14.4" hidden="1" x14ac:dyDescent="0.3">
      <c r="A203" s="2169" t="s">
        <v>568</v>
      </c>
      <c r="B203" s="2168" t="str">
        <f t="shared" si="89"/>
        <v>2010s</v>
      </c>
      <c r="C203" s="2178">
        <v>2017</v>
      </c>
      <c r="D203" s="2170">
        <f t="shared" si="99"/>
        <v>2014</v>
      </c>
      <c r="E203" s="2171">
        <f t="shared" si="100"/>
        <v>2016</v>
      </c>
      <c r="F203" s="587">
        <f t="shared" si="101"/>
        <v>88263</v>
      </c>
      <c r="G203" s="587">
        <f t="shared" si="102"/>
        <v>91242</v>
      </c>
      <c r="H203" s="587">
        <f t="shared" si="103"/>
        <v>90672</v>
      </c>
      <c r="I203" s="2122">
        <f t="shared" si="104"/>
        <v>42299</v>
      </c>
      <c r="J203" s="2126">
        <f t="shared" si="105"/>
        <v>0.57771313065093288</v>
      </c>
      <c r="K203" s="2172">
        <f t="shared" si="106"/>
        <v>58111</v>
      </c>
      <c r="L203" s="591">
        <f t="shared" si="114"/>
        <v>52711.701466852421</v>
      </c>
      <c r="M203" s="589">
        <f t="shared" si="115"/>
        <v>42299</v>
      </c>
      <c r="N203" s="591">
        <f t="shared" si="98"/>
        <v>3859445358</v>
      </c>
      <c r="O203" s="569">
        <f t="shared" si="107"/>
        <v>4.8661800486618006E-3</v>
      </c>
      <c r="P203" s="592">
        <f t="shared" si="108"/>
        <v>0.57771313065093288</v>
      </c>
      <c r="Q203" s="593">
        <f t="shared" si="109"/>
        <v>0</v>
      </c>
      <c r="R203" s="572">
        <f t="shared" si="110"/>
        <v>0.59199999999999997</v>
      </c>
      <c r="S203" s="573">
        <f t="shared" si="111"/>
        <v>0.13819040056467266</v>
      </c>
      <c r="T203" s="2180">
        <v>1.1000000000000001</v>
      </c>
      <c r="U203" s="2168">
        <f t="shared" si="112"/>
        <v>3.0000000000000009</v>
      </c>
      <c r="V203" s="2181">
        <f t="shared" si="113"/>
        <v>1</v>
      </c>
      <c r="W203" s="2196">
        <v>0.19</v>
      </c>
      <c r="X203" s="595">
        <f t="shared" si="88"/>
        <v>17335.98</v>
      </c>
      <c r="Y203" s="2198">
        <v>3.7999999999999999E-2</v>
      </c>
      <c r="Z203" s="2193">
        <f t="shared" si="86"/>
        <v>2208.2179999999998</v>
      </c>
      <c r="AA203" s="2328" t="s">
        <v>1331</v>
      </c>
      <c r="AB203" s="597">
        <f t="shared" si="90"/>
        <v>10015.22327870196</v>
      </c>
      <c r="AC203" s="597">
        <f t="shared" si="91"/>
        <v>733294618.01999998</v>
      </c>
      <c r="AD203" s="597">
        <f t="shared" si="92"/>
        <v>2003.044655740392</v>
      </c>
      <c r="AE203" s="610">
        <f t="shared" si="87"/>
        <v>2003.044655740392</v>
      </c>
      <c r="AF203" s="572">
        <f t="shared" si="93"/>
        <v>1607.3619999999999</v>
      </c>
      <c r="AG203" s="572">
        <f t="shared" si="94"/>
        <v>2.2495999999999999E-2</v>
      </c>
      <c r="AH203" s="600">
        <f t="shared" si="95"/>
        <v>1.2976480129764801E-6</v>
      </c>
      <c r="AI203" s="613" t="s">
        <v>613</v>
      </c>
    </row>
    <row r="204" spans="1:35" ht="14.4" hidden="1" x14ac:dyDescent="0.3">
      <c r="A204" s="560" t="s">
        <v>568</v>
      </c>
      <c r="B204" s="557" t="str">
        <f t="shared" si="89"/>
        <v>2010s</v>
      </c>
      <c r="C204" s="561">
        <v>2017</v>
      </c>
      <c r="D204" s="562">
        <f t="shared" si="99"/>
        <v>2013</v>
      </c>
      <c r="E204" s="563">
        <f t="shared" si="100"/>
        <v>2015</v>
      </c>
      <c r="F204" s="587">
        <f t="shared" si="101"/>
        <v>88263</v>
      </c>
      <c r="G204" s="587">
        <f t="shared" si="102"/>
        <v>91242</v>
      </c>
      <c r="H204" s="587">
        <f t="shared" si="103"/>
        <v>90672</v>
      </c>
      <c r="I204" s="2122">
        <f t="shared" si="104"/>
        <v>42299</v>
      </c>
      <c r="J204" s="2126">
        <f t="shared" si="105"/>
        <v>0.57771313065093288</v>
      </c>
      <c r="K204" s="2173">
        <f t="shared" si="106"/>
        <v>58111</v>
      </c>
      <c r="L204" s="591">
        <f t="shared" si="114"/>
        <v>52711.701466852421</v>
      </c>
      <c r="M204" s="589">
        <f t="shared" si="115"/>
        <v>42299</v>
      </c>
      <c r="N204" s="591">
        <f t="shared" si="98"/>
        <v>3859445358</v>
      </c>
      <c r="O204" s="569">
        <f t="shared" si="107"/>
        <v>4.8661800486618006E-3</v>
      </c>
      <c r="P204" s="592">
        <f t="shared" si="108"/>
        <v>0.57771313065093288</v>
      </c>
      <c r="Q204" s="593">
        <f t="shared" si="109"/>
        <v>0</v>
      </c>
      <c r="R204" s="572">
        <f t="shared" si="110"/>
        <v>0.59199999999999997</v>
      </c>
      <c r="S204" s="573">
        <f t="shared" si="111"/>
        <v>0.13819040056467266</v>
      </c>
      <c r="T204" s="574">
        <v>1.2</v>
      </c>
      <c r="U204" s="557">
        <f t="shared" si="112"/>
        <v>3.9999999999999996</v>
      </c>
      <c r="V204" s="575">
        <f t="shared" si="113"/>
        <v>1</v>
      </c>
      <c r="W204" s="2197">
        <v>0.52700000000000002</v>
      </c>
      <c r="X204" s="595">
        <f t="shared" si="88"/>
        <v>48084.534</v>
      </c>
      <c r="Y204" s="2199">
        <v>0.75900000000000001</v>
      </c>
      <c r="Z204" s="2194">
        <f t="shared" si="86"/>
        <v>44106.249000000003</v>
      </c>
      <c r="AA204" s="2328" t="s">
        <v>1331</v>
      </c>
      <c r="AB204" s="597">
        <f t="shared" si="90"/>
        <v>27779.066673031226</v>
      </c>
      <c r="AC204" s="597">
        <f t="shared" si="91"/>
        <v>2033927703.6660001</v>
      </c>
      <c r="AD204" s="597">
        <f t="shared" si="92"/>
        <v>40008.181413340986</v>
      </c>
      <c r="AE204" s="610">
        <f t="shared" si="87"/>
        <v>40008.181413340986</v>
      </c>
      <c r="AF204" s="572">
        <f t="shared" si="93"/>
        <v>32104.940999999999</v>
      </c>
      <c r="AG204" s="572">
        <f t="shared" si="94"/>
        <v>0.44932800000000001</v>
      </c>
      <c r="AH204" s="600">
        <f t="shared" si="95"/>
        <v>9.344543091547898E-6</v>
      </c>
    </row>
    <row r="205" spans="1:35" ht="14.4" hidden="1" x14ac:dyDescent="0.3">
      <c r="A205" s="560" t="s">
        <v>568</v>
      </c>
      <c r="B205" s="557" t="str">
        <f t="shared" si="89"/>
        <v>2010s</v>
      </c>
      <c r="C205" s="561">
        <v>2017</v>
      </c>
      <c r="D205" s="562">
        <f t="shared" si="99"/>
        <v>2012</v>
      </c>
      <c r="E205" s="563">
        <f t="shared" si="100"/>
        <v>2014</v>
      </c>
      <c r="F205" s="587">
        <f t="shared" si="101"/>
        <v>88263</v>
      </c>
      <c r="G205" s="587">
        <f t="shared" si="102"/>
        <v>91242</v>
      </c>
      <c r="H205" s="587">
        <f t="shared" si="103"/>
        <v>90672</v>
      </c>
      <c r="I205" s="2122">
        <f t="shared" si="104"/>
        <v>42299</v>
      </c>
      <c r="J205" s="2126">
        <f t="shared" si="105"/>
        <v>0.57771313065093288</v>
      </c>
      <c r="K205" s="2173">
        <f t="shared" si="106"/>
        <v>58111</v>
      </c>
      <c r="L205" s="591">
        <f t="shared" si="114"/>
        <v>52711.701466852421</v>
      </c>
      <c r="M205" s="589">
        <f t="shared" si="115"/>
        <v>42299</v>
      </c>
      <c r="N205" s="591">
        <f t="shared" si="98"/>
        <v>3859445358</v>
      </c>
      <c r="O205" s="569">
        <f t="shared" si="107"/>
        <v>4.8661800486618006E-3</v>
      </c>
      <c r="P205" s="592">
        <f t="shared" si="108"/>
        <v>0.57771313065093288</v>
      </c>
      <c r="Q205" s="593">
        <f t="shared" si="109"/>
        <v>0</v>
      </c>
      <c r="R205" s="572">
        <f t="shared" si="110"/>
        <v>0.59199999999999997</v>
      </c>
      <c r="S205" s="573">
        <f t="shared" si="111"/>
        <v>0.13819040056467266</v>
      </c>
      <c r="T205" s="574">
        <v>1.3</v>
      </c>
      <c r="U205" s="557">
        <f t="shared" si="112"/>
        <v>5</v>
      </c>
      <c r="V205" s="575">
        <f t="shared" si="113"/>
        <v>1</v>
      </c>
      <c r="W205" s="2184">
        <v>0.221</v>
      </c>
      <c r="X205" s="595">
        <f t="shared" si="88"/>
        <v>20164.482</v>
      </c>
      <c r="Y205" s="2190">
        <v>0.18099999999999999</v>
      </c>
      <c r="Z205" s="2194">
        <f t="shared" si="86"/>
        <v>10518.091</v>
      </c>
      <c r="AA205" s="2328" t="s">
        <v>1331</v>
      </c>
      <c r="AB205" s="597">
        <f t="shared" si="90"/>
        <v>11649.286024174386</v>
      </c>
      <c r="AC205" s="597">
        <f t="shared" si="91"/>
        <v>852937424.11800003</v>
      </c>
      <c r="AD205" s="597">
        <f t="shared" si="92"/>
        <v>9540.8179655002878</v>
      </c>
      <c r="AE205" s="610">
        <f t="shared" si="87"/>
        <v>9540.8179655002878</v>
      </c>
      <c r="AF205" s="572">
        <f t="shared" si="93"/>
        <v>7656.1189999999997</v>
      </c>
      <c r="AG205" s="572">
        <f t="shared" si="94"/>
        <v>0.107152</v>
      </c>
      <c r="AH205" s="600">
        <f t="shared" si="95"/>
        <v>5.3138979716910158E-6</v>
      </c>
    </row>
    <row r="206" spans="1:35" ht="14.4" hidden="1" x14ac:dyDescent="0.3">
      <c r="A206" s="560" t="s">
        <v>568</v>
      </c>
      <c r="B206" s="557" t="str">
        <f t="shared" si="89"/>
        <v>2010s</v>
      </c>
      <c r="C206" s="561">
        <v>2017</v>
      </c>
      <c r="D206" s="562">
        <f t="shared" si="99"/>
        <v>2013</v>
      </c>
      <c r="E206" s="563">
        <f t="shared" si="100"/>
        <v>2016</v>
      </c>
      <c r="F206" s="587">
        <f t="shared" si="101"/>
        <v>88263</v>
      </c>
      <c r="G206" s="587">
        <f t="shared" si="102"/>
        <v>91242</v>
      </c>
      <c r="H206" s="587">
        <f t="shared" si="103"/>
        <v>90672</v>
      </c>
      <c r="I206" s="2122">
        <f t="shared" si="104"/>
        <v>42299</v>
      </c>
      <c r="J206" s="2126">
        <f t="shared" si="105"/>
        <v>0.57771313065093288</v>
      </c>
      <c r="K206" s="2173">
        <f t="shared" si="106"/>
        <v>58111</v>
      </c>
      <c r="L206" s="591">
        <f t="shared" si="114"/>
        <v>52711.701466852421</v>
      </c>
      <c r="M206" s="589">
        <f t="shared" si="115"/>
        <v>42299</v>
      </c>
      <c r="N206" s="591">
        <f t="shared" si="98"/>
        <v>3859445358</v>
      </c>
      <c r="O206" s="569">
        <f t="shared" si="107"/>
        <v>4.8661800486618006E-3</v>
      </c>
      <c r="P206" s="592">
        <f t="shared" si="108"/>
        <v>0.57771313065093288</v>
      </c>
      <c r="Q206" s="593">
        <f t="shared" si="109"/>
        <v>0</v>
      </c>
      <c r="R206" s="572">
        <f t="shared" si="110"/>
        <v>0.59199999999999997</v>
      </c>
      <c r="S206" s="573">
        <f t="shared" si="111"/>
        <v>0.13819040056467266</v>
      </c>
      <c r="T206" s="574">
        <v>2.1</v>
      </c>
      <c r="U206" s="557">
        <f t="shared" si="112"/>
        <v>4.0000000000000009</v>
      </c>
      <c r="V206" s="575">
        <f t="shared" si="113"/>
        <v>2</v>
      </c>
      <c r="W206" s="2184">
        <v>3.5999999999999997E-2</v>
      </c>
      <c r="X206" s="595">
        <f t="shared" si="88"/>
        <v>3284.7119999999995</v>
      </c>
      <c r="Y206" s="2190">
        <v>1.4999999999999999E-2</v>
      </c>
      <c r="Z206" s="2194">
        <f t="shared" si="86"/>
        <v>871.66499999999996</v>
      </c>
      <c r="AA206" s="2328" t="s">
        <v>1331</v>
      </c>
      <c r="AB206" s="597">
        <f t="shared" si="90"/>
        <v>1897.6212528066869</v>
      </c>
      <c r="AC206" s="597">
        <f t="shared" si="91"/>
        <v>138940032.88799998</v>
      </c>
      <c r="AD206" s="597">
        <f t="shared" si="92"/>
        <v>790.67552200278624</v>
      </c>
      <c r="AE206" s="610">
        <f t="shared" si="87"/>
        <v>790.67552200278624</v>
      </c>
      <c r="AF206" s="572">
        <f t="shared" si="93"/>
        <v>634.48500000000001</v>
      </c>
      <c r="AG206" s="572">
        <f t="shared" si="94"/>
        <v>8.879999999999999E-3</v>
      </c>
      <c r="AH206" s="600">
        <f t="shared" si="95"/>
        <v>2.7034333603676671E-6</v>
      </c>
    </row>
    <row r="207" spans="1:35" ht="14.4" hidden="1" x14ac:dyDescent="0.3">
      <c r="A207" s="560" t="s">
        <v>568</v>
      </c>
      <c r="B207" s="557" t="str">
        <f t="shared" si="89"/>
        <v>2010s</v>
      </c>
      <c r="C207" s="561">
        <v>2017</v>
      </c>
      <c r="D207" s="562">
        <f t="shared" si="99"/>
        <v>2012</v>
      </c>
      <c r="E207" s="563">
        <f t="shared" si="100"/>
        <v>2015</v>
      </c>
      <c r="F207" s="587">
        <f t="shared" si="101"/>
        <v>88263</v>
      </c>
      <c r="G207" s="587">
        <f t="shared" si="102"/>
        <v>91242</v>
      </c>
      <c r="H207" s="587">
        <f t="shared" si="103"/>
        <v>90672</v>
      </c>
      <c r="I207" s="2122">
        <f t="shared" si="104"/>
        <v>42299</v>
      </c>
      <c r="J207" s="2126">
        <f t="shared" si="105"/>
        <v>0.57771313065093288</v>
      </c>
      <c r="K207" s="2173">
        <f t="shared" si="106"/>
        <v>58111</v>
      </c>
      <c r="L207" s="591">
        <f t="shared" si="114"/>
        <v>52711.701466852421</v>
      </c>
      <c r="M207" s="589">
        <f t="shared" si="115"/>
        <v>42299</v>
      </c>
      <c r="N207" s="591">
        <f t="shared" si="98"/>
        <v>3859445358</v>
      </c>
      <c r="O207" s="569">
        <f t="shared" si="107"/>
        <v>4.8661800486618006E-3</v>
      </c>
      <c r="P207" s="592">
        <f t="shared" si="108"/>
        <v>0.57771313065093288</v>
      </c>
      <c r="Q207" s="593">
        <f t="shared" si="109"/>
        <v>0</v>
      </c>
      <c r="R207" s="572">
        <f t="shared" si="110"/>
        <v>0.59199999999999997</v>
      </c>
      <c r="S207" s="573">
        <f t="shared" si="111"/>
        <v>0.13819040056467266</v>
      </c>
      <c r="T207" s="574">
        <v>2.2000000000000002</v>
      </c>
      <c r="U207" s="557">
        <f t="shared" si="112"/>
        <v>5.0000000000000018</v>
      </c>
      <c r="V207" s="575">
        <f t="shared" si="113"/>
        <v>2</v>
      </c>
      <c r="W207" s="2184">
        <v>2.1999999999999999E-2</v>
      </c>
      <c r="X207" s="595">
        <f t="shared" si="88"/>
        <v>2007.3239999999998</v>
      </c>
      <c r="Y207" s="2190">
        <v>7.0000000000000001E-3</v>
      </c>
      <c r="Z207" s="2194">
        <f t="shared" si="86"/>
        <v>406.77699999999999</v>
      </c>
      <c r="AA207" s="2328" t="s">
        <v>1331</v>
      </c>
      <c r="AB207" s="597">
        <f t="shared" si="90"/>
        <v>1159.6574322707531</v>
      </c>
      <c r="AC207" s="597">
        <f t="shared" si="91"/>
        <v>84907797.876000002</v>
      </c>
      <c r="AD207" s="597">
        <f t="shared" si="92"/>
        <v>368.98191026796695</v>
      </c>
      <c r="AE207" s="610">
        <f t="shared" si="87"/>
        <v>368.98191026796695</v>
      </c>
      <c r="AF207" s="572">
        <f t="shared" si="93"/>
        <v>296.09300000000002</v>
      </c>
      <c r="AG207" s="572">
        <f t="shared" si="94"/>
        <v>4.1440000000000001E-3</v>
      </c>
      <c r="AH207" s="600">
        <f t="shared" si="95"/>
        <v>2.0644400206444002E-6</v>
      </c>
    </row>
    <row r="208" spans="1:35" ht="15" hidden="1" thickBot="1" x14ac:dyDescent="0.35">
      <c r="A208" s="630" t="s">
        <v>568</v>
      </c>
      <c r="B208" s="631" t="str">
        <f t="shared" si="89"/>
        <v>2010s</v>
      </c>
      <c r="C208" s="2179">
        <v>2017</v>
      </c>
      <c r="D208" s="632">
        <f t="shared" si="99"/>
        <v>2011</v>
      </c>
      <c r="E208" s="633">
        <f t="shared" si="100"/>
        <v>2014</v>
      </c>
      <c r="F208" s="587">
        <f t="shared" si="101"/>
        <v>88263</v>
      </c>
      <c r="G208" s="587">
        <f t="shared" si="102"/>
        <v>91242</v>
      </c>
      <c r="H208" s="587">
        <f t="shared" si="103"/>
        <v>90672</v>
      </c>
      <c r="I208" s="2122">
        <f t="shared" si="104"/>
        <v>42299</v>
      </c>
      <c r="J208" s="2126">
        <f t="shared" si="105"/>
        <v>0.57771313065093288</v>
      </c>
      <c r="K208" s="2174">
        <f t="shared" si="106"/>
        <v>58111</v>
      </c>
      <c r="L208" s="591">
        <f t="shared" si="114"/>
        <v>52711.701466852421</v>
      </c>
      <c r="M208" s="589">
        <f t="shared" si="115"/>
        <v>42299</v>
      </c>
      <c r="N208" s="591">
        <f t="shared" si="98"/>
        <v>3859445358</v>
      </c>
      <c r="O208" s="569">
        <f t="shared" si="107"/>
        <v>4.8661800486618006E-3</v>
      </c>
      <c r="P208" s="592">
        <f t="shared" si="108"/>
        <v>0.57771313065093288</v>
      </c>
      <c r="Q208" s="593">
        <f t="shared" si="109"/>
        <v>0</v>
      </c>
      <c r="R208" s="572">
        <f t="shared" si="110"/>
        <v>0.59199999999999997</v>
      </c>
      <c r="S208" s="573">
        <f t="shared" si="111"/>
        <v>0.13819040056467266</v>
      </c>
      <c r="T208" s="642">
        <v>2.2999999999999998</v>
      </c>
      <c r="U208" s="631">
        <f t="shared" si="112"/>
        <v>5.9999999999999982</v>
      </c>
      <c r="V208" s="643">
        <f t="shared" si="113"/>
        <v>2</v>
      </c>
      <c r="W208" s="2185">
        <v>4.0000000000000001E-3</v>
      </c>
      <c r="X208" s="595">
        <f t="shared" si="88"/>
        <v>364.96800000000002</v>
      </c>
      <c r="Y208" s="2191">
        <v>0</v>
      </c>
      <c r="Z208" s="2195">
        <f t="shared" ref="Z208:Z243" si="116">K208*Y208</f>
        <v>0</v>
      </c>
      <c r="AA208" s="2328" t="s">
        <v>1331</v>
      </c>
      <c r="AB208" s="597">
        <f t="shared" si="90"/>
        <v>210.8468058674097</v>
      </c>
      <c r="AC208" s="597">
        <f t="shared" si="91"/>
        <v>15437781.432</v>
      </c>
      <c r="AD208" s="597">
        <f>IF(Y208,L208*Y208,0)</f>
        <v>0</v>
      </c>
      <c r="AE208" s="610">
        <f t="shared" ref="AE208:AE219" si="117">L208*Y208</f>
        <v>0</v>
      </c>
      <c r="AF208" s="572">
        <f t="shared" si="93"/>
        <v>0</v>
      </c>
      <c r="AG208" s="572">
        <f t="shared" si="94"/>
        <v>0</v>
      </c>
      <c r="AH208" s="600">
        <f t="shared" si="95"/>
        <v>0</v>
      </c>
    </row>
    <row r="209" spans="1:35" ht="14.4" hidden="1" x14ac:dyDescent="0.3">
      <c r="A209" s="2169" t="s">
        <v>568</v>
      </c>
      <c r="B209" s="2168" t="str">
        <f t="shared" si="89"/>
        <v>2010s</v>
      </c>
      <c r="C209" s="2178">
        <v>2018</v>
      </c>
      <c r="D209" s="2170">
        <f t="shared" si="99"/>
        <v>2015</v>
      </c>
      <c r="E209" s="2171">
        <f t="shared" si="100"/>
        <v>2017</v>
      </c>
      <c r="F209" s="587">
        <f t="shared" si="101"/>
        <v>210915</v>
      </c>
      <c r="G209" s="587">
        <f t="shared" si="102"/>
        <v>203637</v>
      </c>
      <c r="H209" s="587">
        <f t="shared" si="103"/>
        <v>203486</v>
      </c>
      <c r="I209" s="2122">
        <f t="shared" si="104"/>
        <v>153637</v>
      </c>
      <c r="J209" s="2126">
        <f t="shared" si="105"/>
        <v>0.89319163532140755</v>
      </c>
      <c r="K209" s="2172">
        <f t="shared" si="106"/>
        <v>187073</v>
      </c>
      <c r="L209" s="591">
        <f t="shared" si="114"/>
        <v>181886.86504194548</v>
      </c>
      <c r="M209" s="589">
        <f t="shared" si="115"/>
        <v>153637</v>
      </c>
      <c r="N209" s="591">
        <f t="shared" si="98"/>
        <v>31286177769</v>
      </c>
      <c r="O209" s="569">
        <f t="shared" si="107"/>
        <v>1.4584775851146895E-3</v>
      </c>
      <c r="P209" s="592">
        <f t="shared" si="108"/>
        <v>0.89319163532140755</v>
      </c>
      <c r="Q209" s="593">
        <f t="shared" si="109"/>
        <v>0</v>
      </c>
      <c r="R209" s="572">
        <f t="shared" si="110"/>
        <v>0.90199999999999991</v>
      </c>
      <c r="S209" s="573">
        <f t="shared" si="111"/>
        <v>0.11527082944281179</v>
      </c>
      <c r="T209" s="2167">
        <v>1.1000000000000001</v>
      </c>
      <c r="U209" s="2168">
        <f t="shared" si="112"/>
        <v>3.0000000000000009</v>
      </c>
      <c r="V209" s="2181">
        <f t="shared" si="113"/>
        <v>1</v>
      </c>
      <c r="W209" s="2182">
        <v>4.0000000000000001E-3</v>
      </c>
      <c r="X209" s="595">
        <f t="shared" si="88"/>
        <v>814.548</v>
      </c>
      <c r="Y209" s="2186">
        <v>2.5999999999999999E-3</v>
      </c>
      <c r="Z209" s="2193">
        <f t="shared" si="116"/>
        <v>486.38979999999998</v>
      </c>
      <c r="AA209" s="2328" t="s">
        <v>1331</v>
      </c>
      <c r="AB209" s="597">
        <f t="shared" si="90"/>
        <v>727.54746016778188</v>
      </c>
      <c r="AC209" s="597">
        <f t="shared" si="91"/>
        <v>125144711.07600001</v>
      </c>
      <c r="AD209" s="597">
        <f t="shared" si="92"/>
        <v>472.90584910905824</v>
      </c>
      <c r="AE209" s="610">
        <f t="shared" si="117"/>
        <v>472.90584910905824</v>
      </c>
      <c r="AF209" s="572">
        <f t="shared" si="93"/>
        <v>399.45619999999997</v>
      </c>
      <c r="AG209" s="572">
        <f t="shared" si="94"/>
        <v>2.3451999999999995E-3</v>
      </c>
      <c r="AH209" s="600">
        <f t="shared" si="95"/>
        <v>2.8791427883930714E-6</v>
      </c>
      <c r="AI209" s="622" t="s">
        <v>614</v>
      </c>
    </row>
    <row r="210" spans="1:35" ht="14.4" hidden="1" x14ac:dyDescent="0.3">
      <c r="A210" s="560" t="s">
        <v>568</v>
      </c>
      <c r="B210" s="557" t="str">
        <f t="shared" si="89"/>
        <v>2010s</v>
      </c>
      <c r="C210" s="561">
        <v>2018</v>
      </c>
      <c r="D210" s="562">
        <f t="shared" si="99"/>
        <v>2014</v>
      </c>
      <c r="E210" s="563">
        <f t="shared" si="100"/>
        <v>2016</v>
      </c>
      <c r="F210" s="587">
        <f t="shared" si="101"/>
        <v>210915</v>
      </c>
      <c r="G210" s="587">
        <f t="shared" si="102"/>
        <v>203637</v>
      </c>
      <c r="H210" s="587">
        <f t="shared" si="103"/>
        <v>203486</v>
      </c>
      <c r="I210" s="2122">
        <f t="shared" si="104"/>
        <v>153637</v>
      </c>
      <c r="J210" s="2126">
        <f t="shared" si="105"/>
        <v>0.89319163532140755</v>
      </c>
      <c r="K210" s="2173">
        <f t="shared" si="106"/>
        <v>187073</v>
      </c>
      <c r="L210" s="591">
        <f t="shared" si="114"/>
        <v>181886.86504194548</v>
      </c>
      <c r="M210" s="589">
        <f t="shared" si="115"/>
        <v>153637</v>
      </c>
      <c r="N210" s="591">
        <f t="shared" si="98"/>
        <v>31286177769</v>
      </c>
      <c r="O210" s="569">
        <f t="shared" si="107"/>
        <v>1.4584775851146895E-3</v>
      </c>
      <c r="P210" s="592">
        <f t="shared" si="108"/>
        <v>0.89319163532140755</v>
      </c>
      <c r="Q210" s="593">
        <f t="shared" si="109"/>
        <v>0</v>
      </c>
      <c r="R210" s="572">
        <f t="shared" si="110"/>
        <v>0.90199999999999991</v>
      </c>
      <c r="S210" s="573">
        <f t="shared" si="111"/>
        <v>0.11527082944281179</v>
      </c>
      <c r="T210" s="574">
        <v>1.2</v>
      </c>
      <c r="U210" s="557">
        <f t="shared" si="112"/>
        <v>3.9999999999999996</v>
      </c>
      <c r="V210" s="575">
        <f t="shared" si="113"/>
        <v>1</v>
      </c>
      <c r="W210" s="2184">
        <v>0.95599999999999996</v>
      </c>
      <c r="X210" s="595">
        <f t="shared" si="88"/>
        <v>194676.97199999998</v>
      </c>
      <c r="Y210" s="2190">
        <v>0.97099999999999997</v>
      </c>
      <c r="Z210" s="2194">
        <f t="shared" si="116"/>
        <v>181647.883</v>
      </c>
      <c r="AA210" s="2328" t="s">
        <v>1331</v>
      </c>
      <c r="AB210" s="597">
        <f t="shared" si="90"/>
        <v>173883.84298009987</v>
      </c>
      <c r="AC210" s="597">
        <f t="shared" si="91"/>
        <v>29909585947.163998</v>
      </c>
      <c r="AD210" s="597">
        <f t="shared" si="92"/>
        <v>176612.14595572907</v>
      </c>
      <c r="AE210" s="610">
        <f t="shared" si="117"/>
        <v>176612.14595572907</v>
      </c>
      <c r="AF210" s="572">
        <f t="shared" si="93"/>
        <v>149181.527</v>
      </c>
      <c r="AG210" s="572">
        <f t="shared" si="94"/>
        <v>0.8758419999999999</v>
      </c>
      <c r="AH210" s="600">
        <f t="shared" si="95"/>
        <v>4.4989501891369052E-6</v>
      </c>
      <c r="AI210" s="622" t="s">
        <v>615</v>
      </c>
    </row>
    <row r="211" spans="1:35" ht="14.4" hidden="1" x14ac:dyDescent="0.3">
      <c r="A211" s="560" t="s">
        <v>568</v>
      </c>
      <c r="B211" s="557" t="str">
        <f t="shared" si="89"/>
        <v>2010s</v>
      </c>
      <c r="C211" s="561">
        <v>2018</v>
      </c>
      <c r="D211" s="562">
        <f t="shared" si="99"/>
        <v>2013</v>
      </c>
      <c r="E211" s="563">
        <f t="shared" si="100"/>
        <v>2015</v>
      </c>
      <c r="F211" s="587">
        <f t="shared" si="101"/>
        <v>210915</v>
      </c>
      <c r="G211" s="587">
        <f t="shared" si="102"/>
        <v>203637</v>
      </c>
      <c r="H211" s="587">
        <f t="shared" si="103"/>
        <v>203486</v>
      </c>
      <c r="I211" s="2122">
        <f t="shared" si="104"/>
        <v>153637</v>
      </c>
      <c r="J211" s="2126">
        <f t="shared" si="105"/>
        <v>0.89319163532140755</v>
      </c>
      <c r="K211" s="2173">
        <f t="shared" si="106"/>
        <v>187073</v>
      </c>
      <c r="L211" s="591">
        <f t="shared" si="114"/>
        <v>181886.86504194548</v>
      </c>
      <c r="M211" s="589">
        <f t="shared" si="115"/>
        <v>153637</v>
      </c>
      <c r="N211" s="591">
        <f t="shared" si="98"/>
        <v>31286177769</v>
      </c>
      <c r="O211" s="569">
        <f t="shared" si="107"/>
        <v>1.4584775851146895E-3</v>
      </c>
      <c r="P211" s="592">
        <f t="shared" si="108"/>
        <v>0.89319163532140755</v>
      </c>
      <c r="Q211" s="593">
        <f t="shared" si="109"/>
        <v>0</v>
      </c>
      <c r="R211" s="572">
        <f t="shared" si="110"/>
        <v>0.90199999999999991</v>
      </c>
      <c r="S211" s="573">
        <f t="shared" si="111"/>
        <v>0.11527082944281179</v>
      </c>
      <c r="T211" s="574">
        <v>1.3</v>
      </c>
      <c r="U211" s="557">
        <f t="shared" si="112"/>
        <v>5</v>
      </c>
      <c r="V211" s="575">
        <f t="shared" si="113"/>
        <v>1</v>
      </c>
      <c r="W211" s="2184">
        <v>1.0999999999999999E-2</v>
      </c>
      <c r="X211" s="595">
        <f t="shared" si="88"/>
        <v>2240.0070000000001</v>
      </c>
      <c r="Y211" s="2190">
        <v>2.1000000000000001E-2</v>
      </c>
      <c r="Z211" s="2194">
        <f t="shared" si="116"/>
        <v>3928.5330000000004</v>
      </c>
      <c r="AA211" s="2328" t="s">
        <v>1331</v>
      </c>
      <c r="AB211" s="597">
        <f t="shared" si="90"/>
        <v>2000.7555154614001</v>
      </c>
      <c r="AC211" s="597">
        <f t="shared" si="91"/>
        <v>344147955.45899999</v>
      </c>
      <c r="AD211" s="597">
        <f t="shared" si="92"/>
        <v>3819.6241658808553</v>
      </c>
      <c r="AE211" s="610">
        <f t="shared" si="117"/>
        <v>3819.6241658808553</v>
      </c>
      <c r="AF211" s="572">
        <f t="shared" si="93"/>
        <v>3226.3770000000004</v>
      </c>
      <c r="AG211" s="572">
        <f t="shared" si="94"/>
        <v>1.8942000000000001E-2</v>
      </c>
      <c r="AH211" s="600">
        <f t="shared" si="95"/>
        <v>8.4562235743013301E-6</v>
      </c>
      <c r="AI211" s="622" t="s">
        <v>616</v>
      </c>
    </row>
    <row r="212" spans="1:35" ht="14.4" hidden="1" x14ac:dyDescent="0.3">
      <c r="A212" s="560" t="s">
        <v>568</v>
      </c>
      <c r="B212" s="557" t="str">
        <f t="shared" si="89"/>
        <v>2010s</v>
      </c>
      <c r="C212" s="561">
        <v>2018</v>
      </c>
      <c r="D212" s="562">
        <f t="shared" si="99"/>
        <v>2014</v>
      </c>
      <c r="E212" s="563">
        <f t="shared" si="100"/>
        <v>2017</v>
      </c>
      <c r="F212" s="587">
        <f t="shared" si="101"/>
        <v>210915</v>
      </c>
      <c r="G212" s="587">
        <f t="shared" si="102"/>
        <v>203637</v>
      </c>
      <c r="H212" s="587">
        <f t="shared" si="103"/>
        <v>203486</v>
      </c>
      <c r="I212" s="2122">
        <f t="shared" si="104"/>
        <v>153637</v>
      </c>
      <c r="J212" s="2126">
        <f t="shared" si="105"/>
        <v>0.89319163532140755</v>
      </c>
      <c r="K212" s="2173">
        <f t="shared" si="106"/>
        <v>187073</v>
      </c>
      <c r="L212" s="591">
        <f t="shared" si="114"/>
        <v>181886.86504194548</v>
      </c>
      <c r="M212" s="589">
        <f t="shared" si="115"/>
        <v>153637</v>
      </c>
      <c r="N212" s="591">
        <f t="shared" si="98"/>
        <v>31286177769</v>
      </c>
      <c r="O212" s="569">
        <f t="shared" si="107"/>
        <v>1.4584775851146895E-3</v>
      </c>
      <c r="P212" s="592">
        <f t="shared" si="108"/>
        <v>0.89319163532140755</v>
      </c>
      <c r="Q212" s="593">
        <f t="shared" si="109"/>
        <v>0</v>
      </c>
      <c r="R212" s="572">
        <f t="shared" si="110"/>
        <v>0.90199999999999991</v>
      </c>
      <c r="S212" s="573">
        <f t="shared" si="111"/>
        <v>0.11527082944281179</v>
      </c>
      <c r="T212" s="574">
        <v>2.1</v>
      </c>
      <c r="U212" s="557">
        <f t="shared" si="112"/>
        <v>4.0000000000000009</v>
      </c>
      <c r="V212" s="575">
        <f t="shared" si="113"/>
        <v>2</v>
      </c>
      <c r="W212" s="2184">
        <v>2.1999999999999999E-2</v>
      </c>
      <c r="X212" s="595">
        <f t="shared" si="88"/>
        <v>4480.0140000000001</v>
      </c>
      <c r="Y212" s="2190">
        <v>2.5999999999999999E-3</v>
      </c>
      <c r="Z212" s="2194">
        <f t="shared" si="116"/>
        <v>486.38979999999998</v>
      </c>
      <c r="AA212" s="2328" t="s">
        <v>1331</v>
      </c>
      <c r="AB212" s="597">
        <f t="shared" si="90"/>
        <v>4001.5110309228003</v>
      </c>
      <c r="AC212" s="597">
        <f t="shared" si="91"/>
        <v>688295910.91799998</v>
      </c>
      <c r="AD212" s="597">
        <f t="shared" si="92"/>
        <v>472.90584910905824</v>
      </c>
      <c r="AE212" s="610">
        <f t="shared" si="117"/>
        <v>472.90584910905824</v>
      </c>
      <c r="AF212" s="572">
        <f t="shared" si="93"/>
        <v>399.45619999999997</v>
      </c>
      <c r="AG212" s="572">
        <f t="shared" si="94"/>
        <v>2.3451999999999995E-3</v>
      </c>
      <c r="AH212" s="600">
        <f t="shared" si="95"/>
        <v>5.2348050698055844E-7</v>
      </c>
      <c r="AI212" s="622" t="s">
        <v>617</v>
      </c>
    </row>
    <row r="213" spans="1:35" ht="15" hidden="1" thickBot="1" x14ac:dyDescent="0.35">
      <c r="A213" s="630" t="s">
        <v>568</v>
      </c>
      <c r="B213" s="631" t="str">
        <f t="shared" si="89"/>
        <v>2010s</v>
      </c>
      <c r="C213" s="2179">
        <v>2018</v>
      </c>
      <c r="D213" s="632">
        <f t="shared" si="99"/>
        <v>2013</v>
      </c>
      <c r="E213" s="633">
        <f t="shared" si="100"/>
        <v>2016</v>
      </c>
      <c r="F213" s="587">
        <f t="shared" si="101"/>
        <v>210915</v>
      </c>
      <c r="G213" s="587">
        <f t="shared" si="102"/>
        <v>203637</v>
      </c>
      <c r="H213" s="587">
        <f t="shared" si="103"/>
        <v>203486</v>
      </c>
      <c r="I213" s="2122">
        <f t="shared" si="104"/>
        <v>153637</v>
      </c>
      <c r="J213" s="2126">
        <f t="shared" si="105"/>
        <v>0.89319163532140755</v>
      </c>
      <c r="K213" s="2174">
        <f t="shared" si="106"/>
        <v>187073</v>
      </c>
      <c r="L213" s="591">
        <f t="shared" si="114"/>
        <v>181886.86504194548</v>
      </c>
      <c r="M213" s="589">
        <f t="shared" si="115"/>
        <v>153637</v>
      </c>
      <c r="N213" s="591">
        <f t="shared" si="98"/>
        <v>31286177769</v>
      </c>
      <c r="O213" s="569">
        <f t="shared" si="107"/>
        <v>1.4584775851146895E-3</v>
      </c>
      <c r="P213" s="592">
        <f t="shared" si="108"/>
        <v>0.89319163532140755</v>
      </c>
      <c r="Q213" s="593">
        <f t="shared" si="109"/>
        <v>0</v>
      </c>
      <c r="R213" s="572">
        <f t="shared" si="110"/>
        <v>0.90199999999999991</v>
      </c>
      <c r="S213" s="573">
        <f t="shared" si="111"/>
        <v>0.11527082944281179</v>
      </c>
      <c r="T213" s="642">
        <v>2.2000000000000002</v>
      </c>
      <c r="U213" s="631">
        <f t="shared" si="112"/>
        <v>5.0000000000000018</v>
      </c>
      <c r="V213" s="643">
        <f t="shared" si="113"/>
        <v>2</v>
      </c>
      <c r="W213" s="2185">
        <v>6.0000000000000001E-3</v>
      </c>
      <c r="X213" s="595">
        <f t="shared" si="88"/>
        <v>1221.8220000000001</v>
      </c>
      <c r="Y213" s="2191">
        <v>2.5999999999999999E-3</v>
      </c>
      <c r="Z213" s="2195">
        <f t="shared" si="116"/>
        <v>486.38979999999998</v>
      </c>
      <c r="AA213" s="2328" t="s">
        <v>1331</v>
      </c>
      <c r="AB213" s="597">
        <f t="shared" si="90"/>
        <v>1091.321190251673</v>
      </c>
      <c r="AC213" s="597">
        <f t="shared" si="91"/>
        <v>187717066.61399999</v>
      </c>
      <c r="AD213" s="597">
        <f t="shared" si="92"/>
        <v>472.90584910905824</v>
      </c>
      <c r="AE213" s="610">
        <f t="shared" si="117"/>
        <v>472.90584910905824</v>
      </c>
      <c r="AF213" s="572">
        <f t="shared" si="93"/>
        <v>399.45619999999997</v>
      </c>
      <c r="AG213" s="572">
        <f t="shared" si="94"/>
        <v>2.3451999999999995E-3</v>
      </c>
      <c r="AH213" s="600">
        <f t="shared" si="95"/>
        <v>1.919428525595381E-6</v>
      </c>
      <c r="AI213" s="622" t="s">
        <v>618</v>
      </c>
    </row>
    <row r="214" spans="1:35" ht="14.4" hidden="1" x14ac:dyDescent="0.3">
      <c r="A214" s="2169" t="s">
        <v>568</v>
      </c>
      <c r="B214" s="2168" t="str">
        <f t="shared" si="89"/>
        <v>2010s</v>
      </c>
      <c r="C214" s="2178">
        <v>2019</v>
      </c>
      <c r="D214" s="2170">
        <f t="shared" si="99"/>
        <v>2016</v>
      </c>
      <c r="E214" s="2171">
        <f t="shared" si="100"/>
        <v>2018</v>
      </c>
      <c r="F214" s="587">
        <f t="shared" si="101"/>
        <v>63222</v>
      </c>
      <c r="G214" s="587">
        <f t="shared" si="102"/>
        <v>64511</v>
      </c>
      <c r="H214" s="587">
        <f t="shared" si="103"/>
        <v>64470</v>
      </c>
      <c r="I214" s="2122">
        <f t="shared" si="104"/>
        <v>49862</v>
      </c>
      <c r="J214" s="2126">
        <f t="shared" si="105"/>
        <v>0.85143950001707591</v>
      </c>
      <c r="K214" s="2172">
        <f t="shared" si="106"/>
        <v>54550</v>
      </c>
      <c r="L214" s="591">
        <f t="shared" si="114"/>
        <v>54927.213585601581</v>
      </c>
      <c r="M214" s="589">
        <f t="shared" si="115"/>
        <v>49862</v>
      </c>
      <c r="N214" s="591">
        <f t="shared" si="98"/>
        <v>3216647482</v>
      </c>
      <c r="O214" s="569">
        <f t="shared" si="107"/>
        <v>5.1929128365705074E-3</v>
      </c>
      <c r="P214" s="592">
        <f t="shared" si="108"/>
        <v>0.85143950001707591</v>
      </c>
      <c r="Q214" s="623">
        <f t="shared" si="109"/>
        <v>0</v>
      </c>
      <c r="R214" s="572">
        <f t="shared" si="110"/>
        <v>0.85500000000000009</v>
      </c>
      <c r="S214" s="624">
        <f t="shared" si="111"/>
        <v>6.9101907864122847E-2</v>
      </c>
      <c r="T214" s="2167">
        <v>1.1000000000000001</v>
      </c>
      <c r="U214" s="2168">
        <f t="shared" si="112"/>
        <v>3.0000000000000009</v>
      </c>
      <c r="V214" s="2181">
        <f t="shared" si="113"/>
        <v>1</v>
      </c>
      <c r="W214" s="2182">
        <v>0.54300000000000004</v>
      </c>
      <c r="X214" s="595">
        <f t="shared" si="88"/>
        <v>35029.473000000005</v>
      </c>
      <c r="Y214" s="2186">
        <v>0.185</v>
      </c>
      <c r="Z214" s="2193">
        <f t="shared" si="116"/>
        <v>10091.75</v>
      </c>
      <c r="AA214" s="2328" t="s">
        <v>1331</v>
      </c>
      <c r="AB214" s="597">
        <f t="shared" si="90"/>
        <v>29825.476976981659</v>
      </c>
      <c r="AC214" s="597">
        <f t="shared" si="91"/>
        <v>1746639582.7260001</v>
      </c>
      <c r="AD214" s="597">
        <f t="shared" si="92"/>
        <v>10161.534513336292</v>
      </c>
      <c r="AE214" s="610">
        <f t="shared" si="117"/>
        <v>10161.534513336292</v>
      </c>
      <c r="AF214" s="572">
        <f t="shared" si="93"/>
        <v>9224.4699999999993</v>
      </c>
      <c r="AG214" s="572">
        <f t="shared" si="94"/>
        <v>0.15817500000000001</v>
      </c>
      <c r="AH214" s="600">
        <f t="shared" si="95"/>
        <v>4.5154832903138447E-6</v>
      </c>
      <c r="AI214" s="625" t="s">
        <v>619</v>
      </c>
    </row>
    <row r="215" spans="1:35" ht="14.4" hidden="1" x14ac:dyDescent="0.3">
      <c r="A215" s="560" t="s">
        <v>568</v>
      </c>
      <c r="B215" s="557" t="str">
        <f t="shared" si="89"/>
        <v>2010s</v>
      </c>
      <c r="C215" s="561">
        <v>2019</v>
      </c>
      <c r="D215" s="562">
        <f t="shared" si="99"/>
        <v>2015</v>
      </c>
      <c r="E215" s="563">
        <f t="shared" si="100"/>
        <v>2017</v>
      </c>
      <c r="F215" s="587">
        <f t="shared" si="101"/>
        <v>63222</v>
      </c>
      <c r="G215" s="587">
        <f t="shared" si="102"/>
        <v>64511</v>
      </c>
      <c r="H215" s="587">
        <f t="shared" si="103"/>
        <v>64470</v>
      </c>
      <c r="I215" s="2122">
        <f t="shared" si="104"/>
        <v>49862</v>
      </c>
      <c r="J215" s="2126">
        <f t="shared" si="105"/>
        <v>0.85143950001707591</v>
      </c>
      <c r="K215" s="2173">
        <f t="shared" si="106"/>
        <v>54550</v>
      </c>
      <c r="L215" s="591">
        <f t="shared" si="114"/>
        <v>54927.213585601581</v>
      </c>
      <c r="M215" s="589">
        <f t="shared" si="115"/>
        <v>49862</v>
      </c>
      <c r="N215" s="591">
        <f t="shared" si="98"/>
        <v>3216647482</v>
      </c>
      <c r="O215" s="569">
        <f t="shared" si="107"/>
        <v>5.1929128365705074E-3</v>
      </c>
      <c r="P215" s="592">
        <f t="shared" si="108"/>
        <v>0.85143950001707591</v>
      </c>
      <c r="Q215" s="623">
        <f t="shared" si="109"/>
        <v>0</v>
      </c>
      <c r="R215" s="572">
        <f t="shared" si="110"/>
        <v>0.85500000000000009</v>
      </c>
      <c r="S215" s="624">
        <f t="shared" si="111"/>
        <v>6.9101907864122847E-2</v>
      </c>
      <c r="T215" s="574">
        <v>1.2</v>
      </c>
      <c r="U215" s="557">
        <f t="shared" si="112"/>
        <v>3.9999999999999996</v>
      </c>
      <c r="V215" s="575">
        <f t="shared" si="113"/>
        <v>1</v>
      </c>
      <c r="W215" s="2184">
        <v>0.17199999999999999</v>
      </c>
      <c r="X215" s="595">
        <f t="shared" si="88"/>
        <v>11095.892</v>
      </c>
      <c r="Y215" s="2190">
        <v>0.54200000000000004</v>
      </c>
      <c r="Z215" s="2194">
        <f t="shared" si="116"/>
        <v>29566.100000000002</v>
      </c>
      <c r="AA215" s="2328" t="s">
        <v>1331</v>
      </c>
      <c r="AB215" s="597">
        <f t="shared" si="90"/>
        <v>9447.4807367234716</v>
      </c>
      <c r="AC215" s="597">
        <f t="shared" si="91"/>
        <v>553263366.90399992</v>
      </c>
      <c r="AD215" s="597">
        <f t="shared" si="92"/>
        <v>29770.549763396059</v>
      </c>
      <c r="AE215" s="610">
        <f t="shared" si="117"/>
        <v>29770.549763396059</v>
      </c>
      <c r="AF215" s="572">
        <f t="shared" si="93"/>
        <v>27025.204000000002</v>
      </c>
      <c r="AG215" s="572">
        <f t="shared" si="94"/>
        <v>0.4634100000000001</v>
      </c>
      <c r="AH215" s="600">
        <f t="shared" si="95"/>
        <v>4.1764105130078784E-5</v>
      </c>
      <c r="AI215" s="613" t="s">
        <v>620</v>
      </c>
    </row>
    <row r="216" spans="1:35" ht="14.4" hidden="1" x14ac:dyDescent="0.3">
      <c r="A216" s="560" t="s">
        <v>568</v>
      </c>
      <c r="B216" s="557" t="str">
        <f t="shared" si="89"/>
        <v>2010s</v>
      </c>
      <c r="C216" s="561">
        <v>2019</v>
      </c>
      <c r="D216" s="562">
        <f t="shared" si="99"/>
        <v>2014</v>
      </c>
      <c r="E216" s="563">
        <f t="shared" si="100"/>
        <v>2016</v>
      </c>
      <c r="F216" s="587">
        <f t="shared" si="101"/>
        <v>63222</v>
      </c>
      <c r="G216" s="587">
        <f t="shared" si="102"/>
        <v>64511</v>
      </c>
      <c r="H216" s="587">
        <f t="shared" si="103"/>
        <v>64470</v>
      </c>
      <c r="I216" s="2122">
        <f t="shared" si="104"/>
        <v>49862</v>
      </c>
      <c r="J216" s="2126">
        <f t="shared" si="105"/>
        <v>0.85143950001707591</v>
      </c>
      <c r="K216" s="2173">
        <f t="shared" si="106"/>
        <v>54550</v>
      </c>
      <c r="L216" s="591">
        <f t="shared" si="114"/>
        <v>54927.213585601581</v>
      </c>
      <c r="M216" s="589">
        <f t="shared" si="115"/>
        <v>49862</v>
      </c>
      <c r="N216" s="591">
        <f t="shared" si="98"/>
        <v>3216647482</v>
      </c>
      <c r="O216" s="569">
        <f t="shared" si="107"/>
        <v>5.1929128365705074E-3</v>
      </c>
      <c r="P216" s="592">
        <f t="shared" si="108"/>
        <v>0.85143950001707591</v>
      </c>
      <c r="Q216" s="623">
        <f t="shared" si="109"/>
        <v>0</v>
      </c>
      <c r="R216" s="572">
        <f t="shared" si="110"/>
        <v>0.85500000000000009</v>
      </c>
      <c r="S216" s="624">
        <f t="shared" si="111"/>
        <v>6.9101907864122847E-2</v>
      </c>
      <c r="T216" s="574">
        <v>1.3</v>
      </c>
      <c r="U216" s="557">
        <f t="shared" si="112"/>
        <v>5</v>
      </c>
      <c r="V216" s="575">
        <f t="shared" si="113"/>
        <v>1</v>
      </c>
      <c r="W216" s="2184">
        <v>0.224</v>
      </c>
      <c r="X216" s="595">
        <f t="shared" si="88"/>
        <v>14450.464</v>
      </c>
      <c r="Y216" s="2190">
        <v>0.26700000000000002</v>
      </c>
      <c r="Z216" s="2194">
        <f t="shared" si="116"/>
        <v>14564.85</v>
      </c>
      <c r="AA216" s="2328" t="s">
        <v>1331</v>
      </c>
      <c r="AB216" s="597">
        <f t="shared" si="90"/>
        <v>12303.695843174755</v>
      </c>
      <c r="AC216" s="597">
        <f t="shared" si="91"/>
        <v>720529035.96800005</v>
      </c>
      <c r="AD216" s="597">
        <f t="shared" si="92"/>
        <v>14665.566027355622</v>
      </c>
      <c r="AE216" s="610">
        <f t="shared" si="117"/>
        <v>14665.566027355622</v>
      </c>
      <c r="AF216" s="572">
        <f t="shared" si="93"/>
        <v>13313.154</v>
      </c>
      <c r="AG216" s="572">
        <f t="shared" si="94"/>
        <v>0.22828500000000004</v>
      </c>
      <c r="AH216" s="600">
        <f t="shared" si="95"/>
        <v>1.5797762618556749E-5</v>
      </c>
    </row>
    <row r="217" spans="1:35" ht="14.4" hidden="1" x14ac:dyDescent="0.3">
      <c r="A217" s="560" t="s">
        <v>568</v>
      </c>
      <c r="B217" s="557" t="str">
        <f t="shared" si="89"/>
        <v>2010s</v>
      </c>
      <c r="C217" s="561">
        <v>2019</v>
      </c>
      <c r="D217" s="562">
        <f t="shared" si="99"/>
        <v>2015</v>
      </c>
      <c r="E217" s="563">
        <f t="shared" si="100"/>
        <v>2018</v>
      </c>
      <c r="F217" s="587">
        <f t="shared" si="101"/>
        <v>63222</v>
      </c>
      <c r="G217" s="587">
        <f t="shared" si="102"/>
        <v>64511</v>
      </c>
      <c r="H217" s="587">
        <f t="shared" si="103"/>
        <v>64470</v>
      </c>
      <c r="I217" s="2122">
        <f t="shared" si="104"/>
        <v>49862</v>
      </c>
      <c r="J217" s="2126">
        <f t="shared" si="105"/>
        <v>0.85143950001707591</v>
      </c>
      <c r="K217" s="2173">
        <f t="shared" si="106"/>
        <v>54550</v>
      </c>
      <c r="L217" s="591">
        <f t="shared" si="114"/>
        <v>54927.213585601581</v>
      </c>
      <c r="M217" s="589">
        <f t="shared" si="115"/>
        <v>49862</v>
      </c>
      <c r="N217" s="591">
        <f t="shared" si="98"/>
        <v>3216647482</v>
      </c>
      <c r="O217" s="569">
        <f t="shared" si="107"/>
        <v>5.1929128365705074E-3</v>
      </c>
      <c r="P217" s="592">
        <f t="shared" si="108"/>
        <v>0.85143950001707591</v>
      </c>
      <c r="Q217" s="623">
        <f t="shared" si="109"/>
        <v>0</v>
      </c>
      <c r="R217" s="572">
        <f t="shared" si="110"/>
        <v>0.85500000000000009</v>
      </c>
      <c r="S217" s="624">
        <f t="shared" si="111"/>
        <v>6.9101907864122847E-2</v>
      </c>
      <c r="T217" s="574">
        <v>2.1</v>
      </c>
      <c r="U217" s="557">
        <f t="shared" si="112"/>
        <v>4.0000000000000009</v>
      </c>
      <c r="V217" s="575">
        <f t="shared" si="113"/>
        <v>2</v>
      </c>
      <c r="W217" s="2184">
        <v>1.2E-2</v>
      </c>
      <c r="X217" s="595">
        <f t="shared" si="88"/>
        <v>774.13200000000006</v>
      </c>
      <c r="Y217" s="2190">
        <v>2E-3</v>
      </c>
      <c r="Z217" s="2194">
        <f t="shared" si="116"/>
        <v>109.10000000000001</v>
      </c>
      <c r="AA217" s="2328" t="s">
        <v>1331</v>
      </c>
      <c r="AB217" s="597">
        <f t="shared" si="90"/>
        <v>659.12656302721894</v>
      </c>
      <c r="AC217" s="597">
        <f t="shared" si="91"/>
        <v>38599769.784000002</v>
      </c>
      <c r="AD217" s="597">
        <f t="shared" si="92"/>
        <v>109.85442717120317</v>
      </c>
      <c r="AE217" s="610">
        <f t="shared" si="117"/>
        <v>109.85442717120317</v>
      </c>
      <c r="AF217" s="572">
        <f t="shared" si="93"/>
        <v>99.724000000000004</v>
      </c>
      <c r="AG217" s="572">
        <f t="shared" si="94"/>
        <v>1.7100000000000001E-3</v>
      </c>
      <c r="AH217" s="600">
        <f t="shared" si="95"/>
        <v>2.2089256095859619E-6</v>
      </c>
      <c r="AI217" s="626" t="s">
        <v>621</v>
      </c>
    </row>
    <row r="218" spans="1:35" ht="14.4" hidden="1" x14ac:dyDescent="0.3">
      <c r="A218" s="560" t="s">
        <v>568</v>
      </c>
      <c r="B218" s="557" t="str">
        <f t="shared" si="89"/>
        <v>2010s</v>
      </c>
      <c r="C218" s="561">
        <v>2019</v>
      </c>
      <c r="D218" s="562">
        <f t="shared" si="99"/>
        <v>2014</v>
      </c>
      <c r="E218" s="563">
        <f t="shared" si="100"/>
        <v>2017</v>
      </c>
      <c r="F218" s="587">
        <f t="shared" si="101"/>
        <v>63222</v>
      </c>
      <c r="G218" s="587">
        <f t="shared" si="102"/>
        <v>64511</v>
      </c>
      <c r="H218" s="587">
        <f t="shared" si="103"/>
        <v>64470</v>
      </c>
      <c r="I218" s="2122">
        <f t="shared" si="104"/>
        <v>49862</v>
      </c>
      <c r="J218" s="2126">
        <f t="shared" si="105"/>
        <v>0.85143950001707591</v>
      </c>
      <c r="K218" s="2173">
        <f t="shared" si="106"/>
        <v>54550</v>
      </c>
      <c r="L218" s="591">
        <f t="shared" si="114"/>
        <v>54927.213585601581</v>
      </c>
      <c r="M218" s="589">
        <f t="shared" si="115"/>
        <v>49862</v>
      </c>
      <c r="N218" s="591">
        <f t="shared" si="98"/>
        <v>3216647482</v>
      </c>
      <c r="O218" s="569">
        <f t="shared" si="107"/>
        <v>5.1929128365705074E-3</v>
      </c>
      <c r="P218" s="592">
        <f t="shared" si="108"/>
        <v>0.85143950001707591</v>
      </c>
      <c r="Q218" s="623">
        <f t="shared" si="109"/>
        <v>0</v>
      </c>
      <c r="R218" s="572">
        <f t="shared" si="110"/>
        <v>0.85500000000000009</v>
      </c>
      <c r="S218" s="624">
        <f t="shared" si="111"/>
        <v>6.9101907864122847E-2</v>
      </c>
      <c r="T218" s="574">
        <v>2.2000000000000002</v>
      </c>
      <c r="U218" s="557">
        <f t="shared" si="112"/>
        <v>5.0000000000000018</v>
      </c>
      <c r="V218" s="575">
        <f t="shared" si="113"/>
        <v>2</v>
      </c>
      <c r="W218" s="2184">
        <v>4.8000000000000001E-2</v>
      </c>
      <c r="X218" s="595">
        <f t="shared" si="88"/>
        <v>3096.5280000000002</v>
      </c>
      <c r="Y218" s="2190">
        <v>4.0000000000000001E-3</v>
      </c>
      <c r="Z218" s="2194">
        <f t="shared" si="116"/>
        <v>218.20000000000002</v>
      </c>
      <c r="AA218" s="2328" t="s">
        <v>1331</v>
      </c>
      <c r="AB218" s="597">
        <f t="shared" si="90"/>
        <v>2636.5062521088757</v>
      </c>
      <c r="AC218" s="597">
        <f t="shared" si="91"/>
        <v>154399079.13600001</v>
      </c>
      <c r="AD218" s="597">
        <f t="shared" si="92"/>
        <v>219.70885434240634</v>
      </c>
      <c r="AE218" s="610">
        <f t="shared" si="117"/>
        <v>219.70885434240634</v>
      </c>
      <c r="AF218" s="572">
        <f t="shared" si="93"/>
        <v>199.44800000000001</v>
      </c>
      <c r="AG218" s="572">
        <f t="shared" si="94"/>
        <v>3.4200000000000003E-3</v>
      </c>
      <c r="AH218" s="600">
        <f t="shared" si="95"/>
        <v>1.104462804792981E-6</v>
      </c>
      <c r="AI218" s="613" t="s">
        <v>622</v>
      </c>
    </row>
    <row r="219" spans="1:35" ht="15" hidden="1" thickBot="1" x14ac:dyDescent="0.35">
      <c r="A219" s="630" t="s">
        <v>568</v>
      </c>
      <c r="B219" s="631" t="str">
        <f t="shared" si="89"/>
        <v>2010s</v>
      </c>
      <c r="C219" s="2179">
        <v>2019</v>
      </c>
      <c r="D219" s="632">
        <f t="shared" si="99"/>
        <v>2013</v>
      </c>
      <c r="E219" s="633">
        <f t="shared" si="100"/>
        <v>2016</v>
      </c>
      <c r="F219" s="587">
        <f t="shared" si="101"/>
        <v>63222</v>
      </c>
      <c r="G219" s="587">
        <f t="shared" si="102"/>
        <v>64511</v>
      </c>
      <c r="H219" s="587">
        <f t="shared" si="103"/>
        <v>64470</v>
      </c>
      <c r="I219" s="2122">
        <f t="shared" si="104"/>
        <v>49862</v>
      </c>
      <c r="J219" s="2126">
        <f t="shared" si="105"/>
        <v>0.85143950001707591</v>
      </c>
      <c r="K219" s="2174">
        <f t="shared" si="106"/>
        <v>54550</v>
      </c>
      <c r="L219" s="591">
        <f t="shared" si="114"/>
        <v>54927.213585601581</v>
      </c>
      <c r="M219" s="589">
        <f t="shared" si="115"/>
        <v>49862</v>
      </c>
      <c r="N219" s="591">
        <f t="shared" si="98"/>
        <v>3216647482</v>
      </c>
      <c r="O219" s="569">
        <f t="shared" si="107"/>
        <v>5.1929128365705074E-3</v>
      </c>
      <c r="P219" s="592">
        <f t="shared" si="108"/>
        <v>0.85143950001707591</v>
      </c>
      <c r="Q219" s="623">
        <f t="shared" si="109"/>
        <v>0</v>
      </c>
      <c r="R219" s="572">
        <f t="shared" si="110"/>
        <v>0.85500000000000009</v>
      </c>
      <c r="S219" s="624">
        <f t="shared" si="111"/>
        <v>6.9101907864122847E-2</v>
      </c>
      <c r="T219" s="642">
        <v>2.2999999999999998</v>
      </c>
      <c r="U219" s="631">
        <f t="shared" si="112"/>
        <v>5.9999999999999982</v>
      </c>
      <c r="V219" s="643">
        <f t="shared" si="113"/>
        <v>2</v>
      </c>
      <c r="W219" s="2185">
        <v>1E-3</v>
      </c>
      <c r="X219" s="595">
        <f t="shared" ref="X219:X237" si="118">W219*G219</f>
        <v>64.510999999999996</v>
      </c>
      <c r="Y219" s="2191">
        <v>0</v>
      </c>
      <c r="Z219" s="2195">
        <f t="shared" si="116"/>
        <v>0</v>
      </c>
      <c r="AA219" s="2328" t="s">
        <v>1331</v>
      </c>
      <c r="AB219" s="597">
        <f t="shared" si="90"/>
        <v>54.927213585601585</v>
      </c>
      <c r="AC219" s="597">
        <f t="shared" si="91"/>
        <v>3216647.4819999998</v>
      </c>
      <c r="AD219" s="597" t="str">
        <f t="shared" si="92"/>
        <v/>
      </c>
      <c r="AE219" s="610">
        <f t="shared" si="117"/>
        <v>0</v>
      </c>
      <c r="AF219" s="572">
        <f t="shared" si="93"/>
        <v>0</v>
      </c>
      <c r="AG219" s="572">
        <f t="shared" si="94"/>
        <v>0</v>
      </c>
      <c r="AH219" s="600">
        <f t="shared" si="95"/>
        <v>0</v>
      </c>
    </row>
    <row r="220" spans="1:35" ht="14.4" hidden="1" x14ac:dyDescent="0.3">
      <c r="A220" s="2169" t="s">
        <v>568</v>
      </c>
      <c r="B220" s="2168" t="str">
        <f t="shared" ref="B220:B237" si="119">LEFT(E220,3)*10 &amp; "s"</f>
        <v>2010s</v>
      </c>
      <c r="C220" s="2175">
        <v>2020</v>
      </c>
      <c r="D220" s="2170">
        <f t="shared" si="99"/>
        <v>2017</v>
      </c>
      <c r="E220" s="2171">
        <f t="shared" si="100"/>
        <v>2019</v>
      </c>
      <c r="F220" s="587">
        <f t="shared" si="101"/>
        <v>345018</v>
      </c>
      <c r="G220" s="587">
        <f t="shared" si="102"/>
        <v>364015</v>
      </c>
      <c r="H220" s="587">
        <f t="shared" si="103"/>
        <v>360736</v>
      </c>
      <c r="I220" s="2122">
        <f t="shared" si="104"/>
        <v>226107</v>
      </c>
      <c r="J220" s="2126">
        <f t="shared" si="105"/>
        <v>0.80625802310654682</v>
      </c>
      <c r="K220" s="2172">
        <f t="shared" si="106"/>
        <v>308775</v>
      </c>
      <c r="L220" s="591">
        <f t="shared" si="114"/>
        <v>293490.01428112964</v>
      </c>
      <c r="M220" s="589">
        <f t="shared" si="115"/>
        <v>226107</v>
      </c>
      <c r="N220" s="591">
        <f t="shared" si="98"/>
        <v>82306339605</v>
      </c>
      <c r="O220" s="569">
        <f t="shared" si="107"/>
        <v>2.0603546557147372E-3</v>
      </c>
      <c r="P220" s="592">
        <f t="shared" si="108"/>
        <v>0.80625802310654682</v>
      </c>
      <c r="Q220" s="623">
        <f t="shared" si="109"/>
        <v>0</v>
      </c>
      <c r="R220" s="572">
        <f t="shared" si="110"/>
        <v>0.80700000000000005</v>
      </c>
      <c r="S220" s="624">
        <f t="shared" si="111"/>
        <v>0.17821343032023418</v>
      </c>
      <c r="T220" s="2167">
        <v>1.1000000000000001</v>
      </c>
      <c r="U220" s="2168">
        <f t="shared" si="112"/>
        <v>3.0000000000000009</v>
      </c>
      <c r="V220" s="2181">
        <f t="shared" si="113"/>
        <v>1</v>
      </c>
      <c r="W220" s="2182">
        <v>8.9999999999999993E-3</v>
      </c>
      <c r="X220" s="595">
        <f t="shared" si="118"/>
        <v>3276.1349999999998</v>
      </c>
      <c r="Y220" s="2200">
        <v>1.0999999999999999E-2</v>
      </c>
      <c r="Z220" s="2193">
        <f t="shared" si="116"/>
        <v>3396.5249999999996</v>
      </c>
      <c r="AA220" s="2328" t="s">
        <v>1331</v>
      </c>
      <c r="AB220" s="597">
        <f t="shared" ref="AB220:AB231" si="120">L220*W220</f>
        <v>2641.4101285301667</v>
      </c>
      <c r="AC220" s="597">
        <f t="shared" ref="AC220:AC231" si="121">IF(N220,N220*W220,"")</f>
        <v>740757056.44499993</v>
      </c>
      <c r="AD220" s="597">
        <f t="shared" ref="AD220:AD231" si="122">IF(Y220,L220*Y220,"")</f>
        <v>3228.3901570924259</v>
      </c>
      <c r="AE220" s="610">
        <f t="shared" ref="AE220:AE230" si="123">IF(ISNUMBER(Y220),Y220*L220,W220*L220)</f>
        <v>3228.3901570924259</v>
      </c>
      <c r="AF220" s="572">
        <f t="shared" ref="AF220:AF231" si="124">Y220*I220</f>
        <v>2487.1769999999997</v>
      </c>
      <c r="AG220" s="599">
        <f t="shared" ref="AG220:AG231" si="125">Y220*R220</f>
        <v>8.8769999999999995E-3</v>
      </c>
      <c r="AH220" s="600">
        <f t="shared" ref="AH220:AH231" si="126">IF(X220=0,0,AG220/X220)</f>
        <v>2.7095953005599588E-6</v>
      </c>
      <c r="AI220" s="627" t="s">
        <v>623</v>
      </c>
    </row>
    <row r="221" spans="1:35" ht="14.4" hidden="1" x14ac:dyDescent="0.3">
      <c r="A221" s="560" t="s">
        <v>568</v>
      </c>
      <c r="B221" s="557" t="str">
        <f t="shared" si="119"/>
        <v>2010s</v>
      </c>
      <c r="C221" s="2176">
        <v>2020</v>
      </c>
      <c r="D221" s="562">
        <f t="shared" si="99"/>
        <v>2016</v>
      </c>
      <c r="E221" s="563">
        <f t="shared" si="100"/>
        <v>2018</v>
      </c>
      <c r="F221" s="587">
        <f t="shared" si="101"/>
        <v>345018</v>
      </c>
      <c r="G221" s="587">
        <f t="shared" si="102"/>
        <v>364015</v>
      </c>
      <c r="H221" s="587">
        <f t="shared" si="103"/>
        <v>360736</v>
      </c>
      <c r="I221" s="2122">
        <f t="shared" si="104"/>
        <v>226107</v>
      </c>
      <c r="J221" s="2126">
        <f t="shared" si="105"/>
        <v>0.80625802310654682</v>
      </c>
      <c r="K221" s="2173">
        <f t="shared" si="106"/>
        <v>308775</v>
      </c>
      <c r="L221" s="591">
        <f t="shared" si="114"/>
        <v>293490.01428112964</v>
      </c>
      <c r="M221" s="589">
        <f t="shared" si="115"/>
        <v>226107</v>
      </c>
      <c r="N221" s="591">
        <f t="shared" si="98"/>
        <v>82306339605</v>
      </c>
      <c r="O221" s="569">
        <f t="shared" si="107"/>
        <v>2.0603546557147372E-3</v>
      </c>
      <c r="P221" s="592">
        <f t="shared" si="108"/>
        <v>0.80625802310654682</v>
      </c>
      <c r="Q221" s="623">
        <f t="shared" si="109"/>
        <v>0</v>
      </c>
      <c r="R221" s="572">
        <f t="shared" si="110"/>
        <v>0.80700000000000005</v>
      </c>
      <c r="S221" s="624">
        <f t="shared" si="111"/>
        <v>0.17821343032023418</v>
      </c>
      <c r="T221" s="574">
        <v>1.2</v>
      </c>
      <c r="U221" s="557">
        <f t="shared" si="112"/>
        <v>3.9999999999999996</v>
      </c>
      <c r="V221" s="575">
        <f t="shared" si="113"/>
        <v>1</v>
      </c>
      <c r="W221" s="2184">
        <v>0.98599999999999999</v>
      </c>
      <c r="X221" s="595">
        <f t="shared" si="118"/>
        <v>358918.79</v>
      </c>
      <c r="Y221" s="2201">
        <v>0.97099999999999997</v>
      </c>
      <c r="Z221" s="2194">
        <f t="shared" si="116"/>
        <v>299820.52499999997</v>
      </c>
      <c r="AA221" s="2328" t="s">
        <v>1331</v>
      </c>
      <c r="AB221" s="597">
        <f t="shared" si="120"/>
        <v>289381.15408119385</v>
      </c>
      <c r="AC221" s="597">
        <f t="shared" si="121"/>
        <v>81154050850.529999</v>
      </c>
      <c r="AD221" s="597">
        <f t="shared" si="122"/>
        <v>284978.80386697687</v>
      </c>
      <c r="AE221" s="610">
        <f t="shared" si="123"/>
        <v>284978.80386697687</v>
      </c>
      <c r="AF221" s="572">
        <f t="shared" si="124"/>
        <v>219549.897</v>
      </c>
      <c r="AG221" s="599">
        <f t="shared" si="125"/>
        <v>0.78359699999999999</v>
      </c>
      <c r="AH221" s="600">
        <f t="shared" si="126"/>
        <v>2.1832153173145382E-6</v>
      </c>
      <c r="AI221" s="628">
        <v>275.5298105584082</v>
      </c>
    </row>
    <row r="222" spans="1:35" ht="14.4" hidden="1" x14ac:dyDescent="0.3">
      <c r="A222" s="560" t="s">
        <v>568</v>
      </c>
      <c r="B222" s="557" t="str">
        <f t="shared" si="119"/>
        <v>2010s</v>
      </c>
      <c r="C222" s="2176">
        <v>2020</v>
      </c>
      <c r="D222" s="562">
        <f t="shared" si="99"/>
        <v>2015</v>
      </c>
      <c r="E222" s="563">
        <f t="shared" si="100"/>
        <v>2017</v>
      </c>
      <c r="F222" s="587">
        <f t="shared" si="101"/>
        <v>345018</v>
      </c>
      <c r="G222" s="587">
        <f t="shared" si="102"/>
        <v>364015</v>
      </c>
      <c r="H222" s="587">
        <f t="shared" si="103"/>
        <v>360736</v>
      </c>
      <c r="I222" s="2122">
        <f t="shared" si="104"/>
        <v>226107</v>
      </c>
      <c r="J222" s="2126">
        <f t="shared" si="105"/>
        <v>0.80625802310654682</v>
      </c>
      <c r="K222" s="2173">
        <f t="shared" si="106"/>
        <v>308775</v>
      </c>
      <c r="L222" s="591">
        <f t="shared" si="114"/>
        <v>293490.01428112964</v>
      </c>
      <c r="M222" s="589">
        <f t="shared" si="115"/>
        <v>226107</v>
      </c>
      <c r="N222" s="591">
        <f t="shared" si="98"/>
        <v>82306339605</v>
      </c>
      <c r="O222" s="569">
        <f t="shared" si="107"/>
        <v>2.0603546557147372E-3</v>
      </c>
      <c r="P222" s="592">
        <f t="shared" si="108"/>
        <v>0.80625802310654682</v>
      </c>
      <c r="Q222" s="623">
        <f t="shared" si="109"/>
        <v>0</v>
      </c>
      <c r="R222" s="572">
        <f t="shared" si="110"/>
        <v>0.80700000000000005</v>
      </c>
      <c r="S222" s="624">
        <f t="shared" si="111"/>
        <v>0.17821343032023418</v>
      </c>
      <c r="T222" s="574">
        <v>1.3</v>
      </c>
      <c r="U222" s="557">
        <f t="shared" si="112"/>
        <v>5</v>
      </c>
      <c r="V222" s="575">
        <f t="shared" si="113"/>
        <v>1</v>
      </c>
      <c r="W222" s="2184">
        <v>2E-3</v>
      </c>
      <c r="X222" s="595">
        <f t="shared" si="118"/>
        <v>728.03</v>
      </c>
      <c r="Y222" s="2201">
        <v>1.7999999999999999E-2</v>
      </c>
      <c r="Z222" s="2194">
        <f t="shared" si="116"/>
        <v>5557.95</v>
      </c>
      <c r="AA222" s="2328" t="s">
        <v>1331</v>
      </c>
      <c r="AB222" s="597">
        <f t="shared" si="120"/>
        <v>586.98002856225924</v>
      </c>
      <c r="AC222" s="597">
        <f t="shared" si="121"/>
        <v>164612679.21000001</v>
      </c>
      <c r="AD222" s="597">
        <f t="shared" si="122"/>
        <v>5282.8202570603335</v>
      </c>
      <c r="AE222" s="610">
        <f t="shared" si="123"/>
        <v>5282.8202570603335</v>
      </c>
      <c r="AF222" s="572">
        <f t="shared" si="124"/>
        <v>4069.9259999999995</v>
      </c>
      <c r="AG222" s="599">
        <f t="shared" si="125"/>
        <v>1.4525999999999999E-2</v>
      </c>
      <c r="AH222" s="600">
        <f t="shared" si="126"/>
        <v>1.9952474485941512E-5</v>
      </c>
      <c r="AI222" s="628">
        <v>271396.8634000321</v>
      </c>
    </row>
    <row r="223" spans="1:35" ht="14.4" hidden="1" x14ac:dyDescent="0.3">
      <c r="A223" s="560" t="s">
        <v>568</v>
      </c>
      <c r="B223" s="557" t="str">
        <f t="shared" si="119"/>
        <v>2010s</v>
      </c>
      <c r="C223" s="2176">
        <v>2020</v>
      </c>
      <c r="D223" s="562">
        <f t="shared" si="99"/>
        <v>2016</v>
      </c>
      <c r="E223" s="563">
        <f t="shared" si="100"/>
        <v>2019</v>
      </c>
      <c r="F223" s="587">
        <f t="shared" si="101"/>
        <v>345018</v>
      </c>
      <c r="G223" s="587">
        <f t="shared" si="102"/>
        <v>364015</v>
      </c>
      <c r="H223" s="587">
        <f t="shared" si="103"/>
        <v>360736</v>
      </c>
      <c r="I223" s="2122">
        <f t="shared" si="104"/>
        <v>226107</v>
      </c>
      <c r="J223" s="2126">
        <f t="shared" si="105"/>
        <v>0.80625802310654682</v>
      </c>
      <c r="K223" s="2173">
        <f t="shared" si="106"/>
        <v>308775</v>
      </c>
      <c r="L223" s="591">
        <f t="shared" si="114"/>
        <v>293490.01428112964</v>
      </c>
      <c r="M223" s="589">
        <f t="shared" si="115"/>
        <v>226107</v>
      </c>
      <c r="N223" s="591">
        <f t="shared" si="98"/>
        <v>82306339605</v>
      </c>
      <c r="O223" s="569">
        <f t="shared" si="107"/>
        <v>2.0603546557147372E-3</v>
      </c>
      <c r="P223" s="592">
        <f t="shared" si="108"/>
        <v>0.80625802310654682</v>
      </c>
      <c r="Q223" s="623">
        <f t="shared" si="109"/>
        <v>0</v>
      </c>
      <c r="R223" s="572">
        <f t="shared" si="110"/>
        <v>0.80700000000000005</v>
      </c>
      <c r="S223" s="624">
        <f t="shared" si="111"/>
        <v>0.17821343032023418</v>
      </c>
      <c r="T223" s="574">
        <v>2.1</v>
      </c>
      <c r="U223" s="557">
        <f t="shared" si="112"/>
        <v>4.0000000000000009</v>
      </c>
      <c r="V223" s="575">
        <f t="shared" si="113"/>
        <v>2</v>
      </c>
      <c r="W223" s="2184">
        <v>1E-3</v>
      </c>
      <c r="X223" s="595">
        <f t="shared" si="118"/>
        <v>364.01499999999999</v>
      </c>
      <c r="Y223" s="2202"/>
      <c r="Z223" s="2194">
        <f t="shared" si="116"/>
        <v>0</v>
      </c>
      <c r="AA223" s="2328" t="s">
        <v>1331</v>
      </c>
      <c r="AB223" s="597">
        <f t="shared" si="120"/>
        <v>293.49001428112962</v>
      </c>
      <c r="AC223" s="597">
        <f t="shared" si="121"/>
        <v>82306339.605000004</v>
      </c>
      <c r="AD223" s="597" t="str">
        <f t="shared" si="122"/>
        <v/>
      </c>
      <c r="AE223" s="610">
        <f t="shared" si="123"/>
        <v>293.49001428112962</v>
      </c>
      <c r="AF223" s="572">
        <f t="shared" si="124"/>
        <v>0</v>
      </c>
      <c r="AG223" s="599">
        <f t="shared" si="125"/>
        <v>0</v>
      </c>
      <c r="AH223" s="600">
        <f t="shared" si="126"/>
        <v>0</v>
      </c>
      <c r="AI223" s="628">
        <v>0</v>
      </c>
    </row>
    <row r="224" spans="1:35" ht="14.4" hidden="1" x14ac:dyDescent="0.3">
      <c r="A224" s="560" t="s">
        <v>568</v>
      </c>
      <c r="B224" s="557" t="str">
        <f t="shared" si="119"/>
        <v>2010s</v>
      </c>
      <c r="C224" s="2176">
        <v>2020</v>
      </c>
      <c r="D224" s="562">
        <f t="shared" si="99"/>
        <v>2015</v>
      </c>
      <c r="E224" s="563">
        <f t="shared" si="100"/>
        <v>2018</v>
      </c>
      <c r="F224" s="587">
        <f t="shared" si="101"/>
        <v>345018</v>
      </c>
      <c r="G224" s="587">
        <f t="shared" si="102"/>
        <v>364015</v>
      </c>
      <c r="H224" s="587">
        <f t="shared" si="103"/>
        <v>360736</v>
      </c>
      <c r="I224" s="2122">
        <f t="shared" si="104"/>
        <v>226107</v>
      </c>
      <c r="J224" s="2126">
        <f t="shared" si="105"/>
        <v>0.80625802310654682</v>
      </c>
      <c r="K224" s="2173">
        <f t="shared" si="106"/>
        <v>308775</v>
      </c>
      <c r="L224" s="591">
        <f t="shared" si="114"/>
        <v>293490.01428112964</v>
      </c>
      <c r="M224" s="589">
        <f t="shared" si="115"/>
        <v>226107</v>
      </c>
      <c r="N224" s="591">
        <f t="shared" si="98"/>
        <v>82306339605</v>
      </c>
      <c r="O224" s="569">
        <f t="shared" si="107"/>
        <v>2.0603546557147372E-3</v>
      </c>
      <c r="P224" s="592">
        <f t="shared" si="108"/>
        <v>0.80625802310654682</v>
      </c>
      <c r="Q224" s="623">
        <f t="shared" si="109"/>
        <v>0</v>
      </c>
      <c r="R224" s="572">
        <f t="shared" si="110"/>
        <v>0.80700000000000005</v>
      </c>
      <c r="S224" s="624">
        <f t="shared" si="111"/>
        <v>0.17821343032023418</v>
      </c>
      <c r="T224" s="574">
        <v>2.2000000000000002</v>
      </c>
      <c r="U224" s="557">
        <f t="shared" si="112"/>
        <v>5.0000000000000018</v>
      </c>
      <c r="V224" s="575">
        <f t="shared" si="113"/>
        <v>2</v>
      </c>
      <c r="W224" s="2184">
        <v>2E-3</v>
      </c>
      <c r="X224" s="595">
        <f t="shared" si="118"/>
        <v>728.03</v>
      </c>
      <c r="Y224" s="2202"/>
      <c r="Z224" s="2194">
        <f t="shared" si="116"/>
        <v>0</v>
      </c>
      <c r="AA224" s="2328" t="s">
        <v>1331</v>
      </c>
      <c r="AB224" s="597">
        <f t="shared" si="120"/>
        <v>586.98002856225924</v>
      </c>
      <c r="AC224" s="597">
        <f t="shared" si="121"/>
        <v>164612679.21000001</v>
      </c>
      <c r="AD224" s="597" t="str">
        <f t="shared" si="122"/>
        <v/>
      </c>
      <c r="AE224" s="610">
        <f t="shared" si="123"/>
        <v>586.98002856225924</v>
      </c>
      <c r="AF224" s="572">
        <f t="shared" si="124"/>
        <v>0</v>
      </c>
      <c r="AG224" s="599">
        <f t="shared" si="125"/>
        <v>0</v>
      </c>
      <c r="AH224" s="600">
        <f t="shared" si="126"/>
        <v>0</v>
      </c>
      <c r="AI224" s="628">
        <v>275.5298105584082</v>
      </c>
    </row>
    <row r="225" spans="1:35" ht="15" hidden="1" thickBot="1" x14ac:dyDescent="0.35">
      <c r="A225" s="630" t="s">
        <v>568</v>
      </c>
      <c r="B225" s="631" t="str">
        <f t="shared" si="119"/>
        <v>2010s</v>
      </c>
      <c r="C225" s="2177">
        <v>2020</v>
      </c>
      <c r="D225" s="632">
        <f t="shared" si="99"/>
        <v>2014</v>
      </c>
      <c r="E225" s="633">
        <f t="shared" si="100"/>
        <v>2017</v>
      </c>
      <c r="F225" s="587">
        <f t="shared" si="101"/>
        <v>345018</v>
      </c>
      <c r="G225" s="587">
        <f t="shared" si="102"/>
        <v>364015</v>
      </c>
      <c r="H225" s="587">
        <f t="shared" si="103"/>
        <v>360736</v>
      </c>
      <c r="I225" s="2122">
        <f t="shared" si="104"/>
        <v>226107</v>
      </c>
      <c r="J225" s="2126">
        <f t="shared" si="105"/>
        <v>0.80625802310654682</v>
      </c>
      <c r="K225" s="2174">
        <f t="shared" si="106"/>
        <v>308775</v>
      </c>
      <c r="L225" s="591">
        <f t="shared" si="114"/>
        <v>293490.01428112964</v>
      </c>
      <c r="M225" s="589">
        <f t="shared" si="115"/>
        <v>226107</v>
      </c>
      <c r="N225" s="591">
        <f t="shared" si="98"/>
        <v>82306339605</v>
      </c>
      <c r="O225" s="569">
        <f t="shared" si="107"/>
        <v>2.0603546557147372E-3</v>
      </c>
      <c r="P225" s="592">
        <f t="shared" si="108"/>
        <v>0.80625802310654682</v>
      </c>
      <c r="Q225" s="623">
        <f t="shared" si="109"/>
        <v>0</v>
      </c>
      <c r="R225" s="572">
        <f t="shared" si="110"/>
        <v>0.80700000000000005</v>
      </c>
      <c r="S225" s="624">
        <f t="shared" si="111"/>
        <v>0.17821343032023418</v>
      </c>
      <c r="T225" s="642">
        <v>2.2999999999999998</v>
      </c>
      <c r="U225" s="631">
        <f t="shared" si="112"/>
        <v>5.9999999999999982</v>
      </c>
      <c r="V225" s="643">
        <f t="shared" si="113"/>
        <v>2</v>
      </c>
      <c r="W225" s="2185">
        <v>0</v>
      </c>
      <c r="X225" s="595">
        <f t="shared" si="118"/>
        <v>0</v>
      </c>
      <c r="Y225" s="2203"/>
      <c r="Z225" s="2195">
        <f t="shared" si="116"/>
        <v>0</v>
      </c>
      <c r="AA225" s="2328" t="s">
        <v>1331</v>
      </c>
      <c r="AB225" s="597">
        <f t="shared" si="120"/>
        <v>0</v>
      </c>
      <c r="AC225" s="597">
        <f t="shared" si="121"/>
        <v>0</v>
      </c>
      <c r="AD225" s="597" t="str">
        <f t="shared" si="122"/>
        <v/>
      </c>
      <c r="AE225" s="610">
        <f>IF(ISNUMBER(Y225),Y225*L225,W225*L225)</f>
        <v>0</v>
      </c>
      <c r="AF225" s="572">
        <f t="shared" si="124"/>
        <v>0</v>
      </c>
      <c r="AG225" s="599">
        <f t="shared" si="125"/>
        <v>0</v>
      </c>
      <c r="AH225" s="600">
        <f t="shared" si="126"/>
        <v>0</v>
      </c>
      <c r="AI225" s="628">
        <v>551.0596211168164</v>
      </c>
    </row>
    <row r="226" spans="1:35" ht="14.4" hidden="1" x14ac:dyDescent="0.3">
      <c r="A226" s="2169" t="s">
        <v>568</v>
      </c>
      <c r="B226" s="2168" t="str">
        <f t="shared" si="119"/>
        <v>2020s</v>
      </c>
      <c r="C226" s="2175">
        <v>2021</v>
      </c>
      <c r="D226" s="2170">
        <f t="shared" si="99"/>
        <v>2018</v>
      </c>
      <c r="E226" s="2171">
        <f t="shared" si="100"/>
        <v>2020</v>
      </c>
      <c r="F226" s="587">
        <f t="shared" si="101"/>
        <v>152309</v>
      </c>
      <c r="G226" s="587">
        <f t="shared" si="102"/>
        <v>159340</v>
      </c>
      <c r="H226" s="587">
        <f t="shared" si="103"/>
        <v>158783</v>
      </c>
      <c r="I226" s="2122">
        <f t="shared" si="104"/>
        <v>76255</v>
      </c>
      <c r="J226" s="2126">
        <f t="shared" si="105"/>
        <v>0.69723956952279942</v>
      </c>
      <c r="K226" s="2172">
        <f t="shared" si="106"/>
        <v>114039</v>
      </c>
      <c r="L226" s="591">
        <f t="shared" si="114"/>
        <v>111098.15300776286</v>
      </c>
      <c r="M226" s="589">
        <f t="shared" si="115"/>
        <v>76255</v>
      </c>
      <c r="N226" s="591">
        <f t="shared" si="98"/>
        <v>12150471700</v>
      </c>
      <c r="O226" s="569">
        <f t="shared" si="107"/>
        <v>5.9746454123258443E-3</v>
      </c>
      <c r="P226" s="592">
        <f t="shared" si="108"/>
        <v>0.69723956952279942</v>
      </c>
      <c r="Q226" s="629">
        <f t="shared" si="109"/>
        <v>0</v>
      </c>
      <c r="R226" s="599">
        <f t="shared" si="110"/>
        <v>0.69262486130169598</v>
      </c>
      <c r="S226" s="624">
        <f t="shared" si="111"/>
        <v>0.24521516787061587</v>
      </c>
      <c r="T226" s="2167">
        <v>1.1000000000000001</v>
      </c>
      <c r="U226" s="2168">
        <f t="shared" si="112"/>
        <v>3.0000000000000009</v>
      </c>
      <c r="V226" s="2181">
        <f t="shared" si="113"/>
        <v>1</v>
      </c>
      <c r="W226" s="2204">
        <v>0.253</v>
      </c>
      <c r="X226" s="595">
        <f t="shared" si="118"/>
        <v>40313.019999999997</v>
      </c>
      <c r="Y226" s="2200">
        <v>0.17799999999999999</v>
      </c>
      <c r="Z226" s="2193">
        <f t="shared" si="116"/>
        <v>20298.941999999999</v>
      </c>
      <c r="AA226" s="2328" t="s">
        <v>1331</v>
      </c>
      <c r="AB226" s="597">
        <f t="shared" si="120"/>
        <v>28107.832710964001</v>
      </c>
      <c r="AC226" s="597">
        <f t="shared" si="121"/>
        <v>3074069340.0999999</v>
      </c>
      <c r="AD226" s="597">
        <f t="shared" si="122"/>
        <v>19775.471235381789</v>
      </c>
      <c r="AE226" s="610">
        <f t="shared" si="123"/>
        <v>19775.471235381789</v>
      </c>
      <c r="AF226" s="572">
        <f t="shared" si="124"/>
        <v>13573.39</v>
      </c>
      <c r="AG226" s="599">
        <f t="shared" si="125"/>
        <v>0.12328722531170187</v>
      </c>
      <c r="AH226" s="600">
        <f t="shared" si="126"/>
        <v>3.0582483106376522E-6</v>
      </c>
      <c r="AI226" s="627" t="s">
        <v>623</v>
      </c>
    </row>
    <row r="227" spans="1:35" ht="14.4" hidden="1" x14ac:dyDescent="0.3">
      <c r="A227" s="560" t="s">
        <v>568</v>
      </c>
      <c r="B227" s="557" t="str">
        <f t="shared" si="119"/>
        <v>2010s</v>
      </c>
      <c r="C227" s="2176">
        <v>2021</v>
      </c>
      <c r="D227" s="562">
        <f t="shared" si="99"/>
        <v>2017</v>
      </c>
      <c r="E227" s="563">
        <f t="shared" si="100"/>
        <v>2019</v>
      </c>
      <c r="F227" s="587">
        <f t="shared" si="101"/>
        <v>152309</v>
      </c>
      <c r="G227" s="587">
        <f t="shared" si="102"/>
        <v>159340</v>
      </c>
      <c r="H227" s="587">
        <f t="shared" si="103"/>
        <v>158783</v>
      </c>
      <c r="I227" s="2122">
        <f t="shared" si="104"/>
        <v>76255</v>
      </c>
      <c r="J227" s="2126">
        <f t="shared" si="105"/>
        <v>0.69723956952279942</v>
      </c>
      <c r="K227" s="2173">
        <f t="shared" si="106"/>
        <v>114039</v>
      </c>
      <c r="L227" s="591">
        <f t="shared" si="114"/>
        <v>111098.15300776286</v>
      </c>
      <c r="M227" s="589">
        <f t="shared" si="115"/>
        <v>76255</v>
      </c>
      <c r="N227" s="591">
        <f t="shared" si="98"/>
        <v>12150471700</v>
      </c>
      <c r="O227" s="569">
        <f t="shared" si="107"/>
        <v>5.9746454123258443E-3</v>
      </c>
      <c r="P227" s="592">
        <f t="shared" si="108"/>
        <v>0.69723956952279942</v>
      </c>
      <c r="Q227" s="629">
        <f t="shared" si="109"/>
        <v>0</v>
      </c>
      <c r="R227" s="599">
        <f t="shared" si="110"/>
        <v>0.69262486130169598</v>
      </c>
      <c r="S227" s="624">
        <f t="shared" si="111"/>
        <v>0.24521516787061587</v>
      </c>
      <c r="T227" s="574">
        <v>1.2</v>
      </c>
      <c r="U227" s="557">
        <f t="shared" si="112"/>
        <v>3.9999999999999996</v>
      </c>
      <c r="V227" s="575">
        <f t="shared" si="113"/>
        <v>1</v>
      </c>
      <c r="W227" s="2205">
        <v>0.59799999999999998</v>
      </c>
      <c r="X227" s="595">
        <f t="shared" si="118"/>
        <v>95285.319999999992</v>
      </c>
      <c r="Y227" s="2201">
        <v>0.76500000000000001</v>
      </c>
      <c r="Z227" s="2194">
        <f t="shared" si="116"/>
        <v>87239.835000000006</v>
      </c>
      <c r="AA227" s="2328" t="s">
        <v>1331</v>
      </c>
      <c r="AB227" s="597">
        <f t="shared" si="120"/>
        <v>66436.695498642192</v>
      </c>
      <c r="AC227" s="597">
        <f t="shared" si="121"/>
        <v>7265982076.5999994</v>
      </c>
      <c r="AD227" s="597">
        <f t="shared" si="122"/>
        <v>84990.087050938586</v>
      </c>
      <c r="AE227" s="610">
        <f t="shared" si="123"/>
        <v>84990.087050938586</v>
      </c>
      <c r="AF227" s="572">
        <f t="shared" si="124"/>
        <v>58335.075000000004</v>
      </c>
      <c r="AG227" s="599">
        <f t="shared" si="125"/>
        <v>0.52985801889579742</v>
      </c>
      <c r="AH227" s="600">
        <f t="shared" si="126"/>
        <v>5.5607518439965089E-6</v>
      </c>
    </row>
    <row r="228" spans="1:35" ht="14.4" hidden="1" x14ac:dyDescent="0.3">
      <c r="A228" s="560" t="s">
        <v>568</v>
      </c>
      <c r="B228" s="557" t="str">
        <f t="shared" si="119"/>
        <v>2010s</v>
      </c>
      <c r="C228" s="2176">
        <v>2021</v>
      </c>
      <c r="D228" s="562">
        <f t="shared" si="99"/>
        <v>2016</v>
      </c>
      <c r="E228" s="563">
        <f t="shared" si="100"/>
        <v>2018</v>
      </c>
      <c r="F228" s="587">
        <f t="shared" si="101"/>
        <v>152309</v>
      </c>
      <c r="G228" s="587">
        <f t="shared" si="102"/>
        <v>159340</v>
      </c>
      <c r="H228" s="587">
        <f t="shared" si="103"/>
        <v>158783</v>
      </c>
      <c r="I228" s="2122">
        <f t="shared" si="104"/>
        <v>76255</v>
      </c>
      <c r="J228" s="2126">
        <f t="shared" si="105"/>
        <v>0.69723956952279942</v>
      </c>
      <c r="K228" s="2173">
        <f t="shared" si="106"/>
        <v>114039</v>
      </c>
      <c r="L228" s="591">
        <f t="shared" si="114"/>
        <v>111098.15300776286</v>
      </c>
      <c r="M228" s="589">
        <f t="shared" si="115"/>
        <v>76255</v>
      </c>
      <c r="N228" s="591">
        <f t="shared" si="98"/>
        <v>12150471700</v>
      </c>
      <c r="O228" s="569">
        <f t="shared" si="107"/>
        <v>5.9746454123258443E-3</v>
      </c>
      <c r="P228" s="592">
        <f t="shared" si="108"/>
        <v>0.69723956952279942</v>
      </c>
      <c r="Q228" s="629">
        <f t="shared" si="109"/>
        <v>0</v>
      </c>
      <c r="R228" s="599">
        <f t="shared" si="110"/>
        <v>0.69262486130169598</v>
      </c>
      <c r="S228" s="624">
        <f t="shared" si="111"/>
        <v>0.24521516787061587</v>
      </c>
      <c r="T228" s="574">
        <v>1.3</v>
      </c>
      <c r="U228" s="557">
        <f t="shared" si="112"/>
        <v>5</v>
      </c>
      <c r="V228" s="575">
        <f t="shared" si="113"/>
        <v>1</v>
      </c>
      <c r="W228" s="2205">
        <v>0.114</v>
      </c>
      <c r="X228" s="595">
        <f t="shared" si="118"/>
        <v>18164.760000000002</v>
      </c>
      <c r="Y228" s="2201">
        <v>5.7000000000000002E-2</v>
      </c>
      <c r="Z228" s="2194">
        <f t="shared" si="116"/>
        <v>6500.223</v>
      </c>
      <c r="AA228" s="2328" t="s">
        <v>1331</v>
      </c>
      <c r="AB228" s="597">
        <f t="shared" si="120"/>
        <v>12665.189442884966</v>
      </c>
      <c r="AC228" s="597">
        <f t="shared" si="121"/>
        <v>1385153773.8</v>
      </c>
      <c r="AD228" s="597">
        <f t="shared" si="122"/>
        <v>6332.5947214424832</v>
      </c>
      <c r="AE228" s="610">
        <f t="shared" si="123"/>
        <v>6332.5947214424832</v>
      </c>
      <c r="AF228" s="572">
        <f t="shared" si="124"/>
        <v>4346.5349999999999</v>
      </c>
      <c r="AG228" s="599">
        <f t="shared" si="125"/>
        <v>3.9479617094196673E-2</v>
      </c>
      <c r="AH228" s="600">
        <f t="shared" si="126"/>
        <v>2.1734180409868705E-6</v>
      </c>
    </row>
    <row r="229" spans="1:35" ht="14.4" hidden="1" x14ac:dyDescent="0.3">
      <c r="A229" s="560" t="s">
        <v>568</v>
      </c>
      <c r="B229" s="557" t="str">
        <f t="shared" si="119"/>
        <v>2020s</v>
      </c>
      <c r="C229" s="2176">
        <v>2021</v>
      </c>
      <c r="D229" s="562">
        <f t="shared" si="99"/>
        <v>2017</v>
      </c>
      <c r="E229" s="563">
        <f t="shared" si="100"/>
        <v>2020</v>
      </c>
      <c r="F229" s="587">
        <f t="shared" si="101"/>
        <v>152309</v>
      </c>
      <c r="G229" s="587">
        <f t="shared" si="102"/>
        <v>159340</v>
      </c>
      <c r="H229" s="587">
        <f t="shared" si="103"/>
        <v>158783</v>
      </c>
      <c r="I229" s="2122">
        <f t="shared" si="104"/>
        <v>76255</v>
      </c>
      <c r="J229" s="2126">
        <f t="shared" si="105"/>
        <v>0.69723956952279942</v>
      </c>
      <c r="K229" s="2173">
        <f t="shared" si="106"/>
        <v>114039</v>
      </c>
      <c r="L229" s="591">
        <f t="shared" si="114"/>
        <v>111098.15300776286</v>
      </c>
      <c r="M229" s="589">
        <f t="shared" si="115"/>
        <v>76255</v>
      </c>
      <c r="N229" s="591">
        <f t="shared" si="98"/>
        <v>12150471700</v>
      </c>
      <c r="O229" s="569">
        <f t="shared" si="107"/>
        <v>5.9746454123258443E-3</v>
      </c>
      <c r="P229" s="592">
        <f t="shared" si="108"/>
        <v>0.69723956952279942</v>
      </c>
      <c r="Q229" s="629">
        <f t="shared" si="109"/>
        <v>0</v>
      </c>
      <c r="R229" s="599">
        <f t="shared" si="110"/>
        <v>0.69262486130169598</v>
      </c>
      <c r="S229" s="624">
        <f t="shared" si="111"/>
        <v>0.24521516787061587</v>
      </c>
      <c r="T229" s="574">
        <v>2.1</v>
      </c>
      <c r="U229" s="557">
        <f t="shared" si="112"/>
        <v>4.0000000000000009</v>
      </c>
      <c r="V229" s="575">
        <f t="shared" si="113"/>
        <v>2</v>
      </c>
      <c r="W229" s="2205">
        <v>0.03</v>
      </c>
      <c r="X229" s="595">
        <f t="shared" si="118"/>
        <v>4780.2</v>
      </c>
      <c r="Y229" s="2201"/>
      <c r="Z229" s="2194">
        <f t="shared" si="116"/>
        <v>0</v>
      </c>
      <c r="AA229" s="2328" t="s">
        <v>1331</v>
      </c>
      <c r="AB229" s="597">
        <f t="shared" si="120"/>
        <v>3332.9445902328857</v>
      </c>
      <c r="AC229" s="597">
        <f t="shared" si="121"/>
        <v>364514151</v>
      </c>
      <c r="AD229" s="597" t="str">
        <f t="shared" si="122"/>
        <v/>
      </c>
      <c r="AE229" s="610">
        <f t="shared" si="123"/>
        <v>3332.9445902328857</v>
      </c>
      <c r="AF229" s="572">
        <f t="shared" si="124"/>
        <v>0</v>
      </c>
      <c r="AG229" s="599">
        <f t="shared" si="125"/>
        <v>0</v>
      </c>
      <c r="AH229" s="600">
        <f t="shared" si="126"/>
        <v>0</v>
      </c>
    </row>
    <row r="230" spans="1:35" ht="14.4" hidden="1" x14ac:dyDescent="0.3">
      <c r="A230" s="560" t="s">
        <v>568</v>
      </c>
      <c r="B230" s="557" t="str">
        <f t="shared" si="119"/>
        <v>2010s</v>
      </c>
      <c r="C230" s="2176">
        <v>2021</v>
      </c>
      <c r="D230" s="562">
        <f t="shared" si="99"/>
        <v>2016</v>
      </c>
      <c r="E230" s="563">
        <f t="shared" si="100"/>
        <v>2019</v>
      </c>
      <c r="F230" s="587">
        <f t="shared" si="101"/>
        <v>152309</v>
      </c>
      <c r="G230" s="587">
        <f t="shared" si="102"/>
        <v>159340</v>
      </c>
      <c r="H230" s="587">
        <f t="shared" si="103"/>
        <v>158783</v>
      </c>
      <c r="I230" s="2122">
        <f t="shared" si="104"/>
        <v>76255</v>
      </c>
      <c r="J230" s="2126">
        <f t="shared" si="105"/>
        <v>0.69723956952279942</v>
      </c>
      <c r="K230" s="2173">
        <f t="shared" si="106"/>
        <v>114039</v>
      </c>
      <c r="L230" s="591">
        <f t="shared" si="114"/>
        <v>111098.15300776286</v>
      </c>
      <c r="M230" s="589">
        <f t="shared" si="115"/>
        <v>76255</v>
      </c>
      <c r="N230" s="591">
        <f t="shared" si="98"/>
        <v>12150471700</v>
      </c>
      <c r="O230" s="569">
        <f t="shared" si="107"/>
        <v>5.9746454123258443E-3</v>
      </c>
      <c r="P230" s="592">
        <f t="shared" si="108"/>
        <v>0.69723956952279942</v>
      </c>
      <c r="Q230" s="629">
        <f t="shared" si="109"/>
        <v>0</v>
      </c>
      <c r="R230" s="599">
        <f t="shared" si="110"/>
        <v>0.69262486130169598</v>
      </c>
      <c r="S230" s="624">
        <f t="shared" si="111"/>
        <v>0.24521516787061587</v>
      </c>
      <c r="T230" s="574">
        <v>2.2000000000000002</v>
      </c>
      <c r="U230" s="557">
        <f t="shared" si="112"/>
        <v>5.0000000000000018</v>
      </c>
      <c r="V230" s="575">
        <f t="shared" si="113"/>
        <v>2</v>
      </c>
      <c r="W230" s="2205">
        <v>5.0000000000000001E-3</v>
      </c>
      <c r="X230" s="595">
        <f t="shared" si="118"/>
        <v>796.7</v>
      </c>
      <c r="Y230" s="2201"/>
      <c r="Z230" s="2194">
        <f t="shared" si="116"/>
        <v>0</v>
      </c>
      <c r="AA230" s="2328" t="s">
        <v>1331</v>
      </c>
      <c r="AB230" s="597">
        <f t="shared" si="120"/>
        <v>555.49076503881429</v>
      </c>
      <c r="AC230" s="597">
        <f t="shared" si="121"/>
        <v>60752358.5</v>
      </c>
      <c r="AD230" s="597" t="str">
        <f t="shared" si="122"/>
        <v/>
      </c>
      <c r="AE230" s="610">
        <f t="shared" si="123"/>
        <v>555.49076503881429</v>
      </c>
      <c r="AF230" s="572">
        <f t="shared" si="124"/>
        <v>0</v>
      </c>
      <c r="AG230" s="599">
        <f t="shared" si="125"/>
        <v>0</v>
      </c>
      <c r="AH230" s="600">
        <f t="shared" si="126"/>
        <v>0</v>
      </c>
    </row>
    <row r="231" spans="1:35" ht="15" hidden="1" thickBot="1" x14ac:dyDescent="0.35">
      <c r="A231" s="630" t="s">
        <v>568</v>
      </c>
      <c r="B231" s="631" t="str">
        <f t="shared" si="119"/>
        <v>2010s</v>
      </c>
      <c r="C231" s="2177">
        <v>2021</v>
      </c>
      <c r="D231" s="632">
        <f t="shared" si="99"/>
        <v>2015</v>
      </c>
      <c r="E231" s="633">
        <f t="shared" si="100"/>
        <v>2018</v>
      </c>
      <c r="F231" s="634">
        <f t="shared" si="101"/>
        <v>152309</v>
      </c>
      <c r="G231" s="634">
        <f t="shared" si="102"/>
        <v>159340</v>
      </c>
      <c r="H231" s="634">
        <f t="shared" si="103"/>
        <v>158783</v>
      </c>
      <c r="I231" s="2123">
        <f t="shared" si="104"/>
        <v>76255</v>
      </c>
      <c r="J231" s="2127">
        <f t="shared" si="105"/>
        <v>0.69723956952279942</v>
      </c>
      <c r="K231" s="2174">
        <f t="shared" si="106"/>
        <v>114039</v>
      </c>
      <c r="L231" s="636">
        <f t="shared" si="114"/>
        <v>111098.15300776286</v>
      </c>
      <c r="M231" s="635">
        <f t="shared" si="115"/>
        <v>76255</v>
      </c>
      <c r="N231" s="636">
        <f t="shared" si="98"/>
        <v>12150471700</v>
      </c>
      <c r="O231" s="637">
        <f t="shared" si="107"/>
        <v>5.9746454123258443E-3</v>
      </c>
      <c r="P231" s="638">
        <f t="shared" si="108"/>
        <v>0.69723956952279942</v>
      </c>
      <c r="Q231" s="639">
        <f t="shared" si="109"/>
        <v>0</v>
      </c>
      <c r="R231" s="640">
        <f t="shared" si="110"/>
        <v>0.69262486130169598</v>
      </c>
      <c r="S231" s="641">
        <f t="shared" si="111"/>
        <v>0.24521516787061587</v>
      </c>
      <c r="T231" s="642">
        <v>2.2999999999999998</v>
      </c>
      <c r="U231" s="631">
        <f t="shared" si="112"/>
        <v>5.9999999999999982</v>
      </c>
      <c r="V231" s="643">
        <f t="shared" si="113"/>
        <v>2</v>
      </c>
      <c r="W231" s="2206">
        <v>0</v>
      </c>
      <c r="X231" s="644">
        <f t="shared" si="118"/>
        <v>0</v>
      </c>
      <c r="Y231" s="2207"/>
      <c r="Z231" s="2195">
        <f t="shared" si="116"/>
        <v>0</v>
      </c>
      <c r="AA231" s="2328" t="s">
        <v>1331</v>
      </c>
      <c r="AB231" s="645">
        <f t="shared" si="120"/>
        <v>0</v>
      </c>
      <c r="AC231" s="645">
        <f t="shared" si="121"/>
        <v>0</v>
      </c>
      <c r="AD231" s="645" t="str">
        <f t="shared" si="122"/>
        <v/>
      </c>
      <c r="AE231" s="611">
        <f>IF(ISNUMBER(Y231),Y231*L231,W231*L231)</f>
        <v>0</v>
      </c>
      <c r="AF231" s="646">
        <f t="shared" si="124"/>
        <v>0</v>
      </c>
      <c r="AG231" s="640">
        <f t="shared" si="125"/>
        <v>0</v>
      </c>
      <c r="AH231" s="647">
        <f t="shared" si="126"/>
        <v>0</v>
      </c>
    </row>
    <row r="232" spans="1:35" ht="14.4" hidden="1" x14ac:dyDescent="0.3">
      <c r="A232" s="2169" t="s">
        <v>568</v>
      </c>
      <c r="B232" s="2168" t="str">
        <f t="shared" si="119"/>
        <v>2020s</v>
      </c>
      <c r="C232" s="2175">
        <v>2022</v>
      </c>
      <c r="D232" s="2170">
        <f t="shared" si="99"/>
        <v>2019</v>
      </c>
      <c r="E232" s="2171">
        <f t="shared" si="100"/>
        <v>2021</v>
      </c>
      <c r="F232" s="587">
        <f t="shared" si="101"/>
        <v>663253</v>
      </c>
      <c r="G232" s="587">
        <f t="shared" si="102"/>
        <v>704203</v>
      </c>
      <c r="H232" s="587">
        <f t="shared" si="103"/>
        <v>702522</v>
      </c>
      <c r="I232" s="2122">
        <f t="shared" si="104"/>
        <v>478418</v>
      </c>
      <c r="J232" s="2126">
        <f t="shared" si="105"/>
        <v>0.72494935091895696</v>
      </c>
      <c r="K232" s="2172">
        <f t="shared" si="106"/>
        <v>582555</v>
      </c>
      <c r="L232" s="591">
        <f t="shared" si="114"/>
        <v>510511.50776518224</v>
      </c>
      <c r="M232" s="589">
        <f t="shared" si="115"/>
        <v>478418</v>
      </c>
      <c r="N232" s="591">
        <f t="shared" si="98"/>
        <v>336903390854</v>
      </c>
      <c r="O232" s="569">
        <f t="shared" ref="O232:O237" si="127">VLOOKUP($C232,SockeyeReturnsData,6)/G232</f>
        <v>3.3072849732250502E-3</v>
      </c>
      <c r="P232" s="592">
        <f t="shared" si="108"/>
        <v>0.72494935091895696</v>
      </c>
      <c r="Q232" s="629">
        <f t="shared" si="109"/>
        <v>0</v>
      </c>
      <c r="R232" s="599">
        <f t="shared" si="110"/>
        <v>0</v>
      </c>
      <c r="S232" s="624">
        <f t="shared" si="111"/>
        <v>1.671122043153097E-2</v>
      </c>
      <c r="T232" s="2167">
        <v>1.1000000000000001</v>
      </c>
      <c r="U232" s="2168">
        <f t="shared" si="112"/>
        <v>3.0000000000000009</v>
      </c>
      <c r="V232" s="2181">
        <f t="shared" si="113"/>
        <v>1</v>
      </c>
      <c r="W232" s="2204">
        <v>0.02</v>
      </c>
      <c r="X232" s="595">
        <f t="shared" si="118"/>
        <v>14084.06</v>
      </c>
      <c r="Y232" s="2200">
        <v>1.9E-2</v>
      </c>
      <c r="Z232" s="2193">
        <f t="shared" si="116"/>
        <v>11068.545</v>
      </c>
      <c r="AA232" s="2328" t="s">
        <v>1331</v>
      </c>
      <c r="AI232" s="627" t="s">
        <v>623</v>
      </c>
    </row>
    <row r="233" spans="1:35" ht="14.4" hidden="1" x14ac:dyDescent="0.3">
      <c r="A233" s="560" t="s">
        <v>568</v>
      </c>
      <c r="B233" s="557" t="str">
        <f t="shared" si="119"/>
        <v>2020s</v>
      </c>
      <c r="C233" s="2176">
        <v>2022</v>
      </c>
      <c r="D233" s="562">
        <f t="shared" si="99"/>
        <v>2018</v>
      </c>
      <c r="E233" s="563">
        <f t="shared" si="100"/>
        <v>2020</v>
      </c>
      <c r="F233" s="587">
        <f t="shared" si="101"/>
        <v>663253</v>
      </c>
      <c r="G233" s="587">
        <f t="shared" si="102"/>
        <v>704203</v>
      </c>
      <c r="H233" s="587">
        <f t="shared" si="103"/>
        <v>702522</v>
      </c>
      <c r="I233" s="2122">
        <f t="shared" si="104"/>
        <v>478418</v>
      </c>
      <c r="J233" s="2126">
        <f t="shared" si="105"/>
        <v>0.72494935091895696</v>
      </c>
      <c r="K233" s="2173">
        <f t="shared" si="106"/>
        <v>582555</v>
      </c>
      <c r="L233" s="591">
        <f t="shared" si="114"/>
        <v>510511.50776518224</v>
      </c>
      <c r="M233" s="589">
        <f t="shared" si="115"/>
        <v>478418</v>
      </c>
      <c r="N233" s="591">
        <f t="shared" si="98"/>
        <v>336903390854</v>
      </c>
      <c r="O233" s="569">
        <f t="shared" si="127"/>
        <v>3.3072849732250502E-3</v>
      </c>
      <c r="P233" s="592">
        <f t="shared" si="108"/>
        <v>0.72494935091895696</v>
      </c>
      <c r="Q233" s="629">
        <f t="shared" si="109"/>
        <v>0</v>
      </c>
      <c r="R233" s="599">
        <f t="shared" si="110"/>
        <v>0</v>
      </c>
      <c r="S233" s="624">
        <f t="shared" si="111"/>
        <v>1.671122043153097E-2</v>
      </c>
      <c r="T233" s="574">
        <v>1.2</v>
      </c>
      <c r="U233" s="557">
        <f t="shared" si="112"/>
        <v>3.9999999999999996</v>
      </c>
      <c r="V233" s="575">
        <f t="shared" si="113"/>
        <v>1</v>
      </c>
      <c r="W233" s="2205">
        <v>0.94399999999999995</v>
      </c>
      <c r="X233" s="595">
        <f t="shared" si="118"/>
        <v>664767.63199999998</v>
      </c>
      <c r="Y233" s="2201">
        <v>0.86099999999999999</v>
      </c>
      <c r="Z233" s="2194">
        <f t="shared" si="116"/>
        <v>501579.85499999998</v>
      </c>
      <c r="AA233" s="2328" t="s">
        <v>1331</v>
      </c>
    </row>
    <row r="234" spans="1:35" ht="14.4" hidden="1" x14ac:dyDescent="0.3">
      <c r="A234" s="560" t="s">
        <v>568</v>
      </c>
      <c r="B234" s="557" t="str">
        <f t="shared" si="119"/>
        <v>2010s</v>
      </c>
      <c r="C234" s="2176">
        <v>2022</v>
      </c>
      <c r="D234" s="562">
        <f t="shared" si="99"/>
        <v>2017</v>
      </c>
      <c r="E234" s="563">
        <f t="shared" si="100"/>
        <v>2019</v>
      </c>
      <c r="F234" s="587">
        <f t="shared" si="101"/>
        <v>663253</v>
      </c>
      <c r="G234" s="587">
        <f t="shared" si="102"/>
        <v>704203</v>
      </c>
      <c r="H234" s="587">
        <f t="shared" si="103"/>
        <v>702522</v>
      </c>
      <c r="I234" s="2122">
        <f t="shared" si="104"/>
        <v>478418</v>
      </c>
      <c r="J234" s="2126">
        <f t="shared" si="105"/>
        <v>0.72494935091895696</v>
      </c>
      <c r="K234" s="2173">
        <f t="shared" si="106"/>
        <v>582555</v>
      </c>
      <c r="L234" s="591">
        <f t="shared" si="114"/>
        <v>510511.50776518224</v>
      </c>
      <c r="M234" s="589">
        <f t="shared" si="115"/>
        <v>478418</v>
      </c>
      <c r="N234" s="591">
        <f t="shared" si="98"/>
        <v>336903390854</v>
      </c>
      <c r="O234" s="569">
        <f t="shared" si="127"/>
        <v>3.3072849732250502E-3</v>
      </c>
      <c r="P234" s="592">
        <f t="shared" si="108"/>
        <v>0.72494935091895696</v>
      </c>
      <c r="Q234" s="629">
        <f t="shared" si="109"/>
        <v>0</v>
      </c>
      <c r="R234" s="599">
        <f t="shared" si="110"/>
        <v>0</v>
      </c>
      <c r="S234" s="624">
        <f t="shared" si="111"/>
        <v>1.671122043153097E-2</v>
      </c>
      <c r="T234" s="574">
        <v>1.3</v>
      </c>
      <c r="U234" s="557">
        <f t="shared" si="112"/>
        <v>5</v>
      </c>
      <c r="V234" s="575">
        <f t="shared" si="113"/>
        <v>1</v>
      </c>
      <c r="W234" s="2205">
        <v>2.3E-2</v>
      </c>
      <c r="X234" s="595">
        <f t="shared" si="118"/>
        <v>16196.669</v>
      </c>
      <c r="Y234" s="2201">
        <v>0.12</v>
      </c>
      <c r="Z234" s="2194">
        <f t="shared" si="116"/>
        <v>69906.599999999991</v>
      </c>
      <c r="AA234" s="2328" t="s">
        <v>1331</v>
      </c>
    </row>
    <row r="235" spans="1:35" ht="14.4" hidden="1" x14ac:dyDescent="0.3">
      <c r="A235" s="560" t="s">
        <v>568</v>
      </c>
      <c r="B235" s="557" t="str">
        <f t="shared" si="119"/>
        <v>2020s</v>
      </c>
      <c r="C235" s="2176">
        <v>2022</v>
      </c>
      <c r="D235" s="562">
        <f t="shared" si="99"/>
        <v>2018</v>
      </c>
      <c r="E235" s="563">
        <f t="shared" si="100"/>
        <v>2021</v>
      </c>
      <c r="F235" s="587">
        <f t="shared" si="101"/>
        <v>663253</v>
      </c>
      <c r="G235" s="587">
        <f t="shared" si="102"/>
        <v>704203</v>
      </c>
      <c r="H235" s="587">
        <f t="shared" si="103"/>
        <v>702522</v>
      </c>
      <c r="I235" s="2122">
        <f t="shared" si="104"/>
        <v>478418</v>
      </c>
      <c r="J235" s="2126">
        <f t="shared" si="105"/>
        <v>0.72494935091895696</v>
      </c>
      <c r="K235" s="2173">
        <f t="shared" si="106"/>
        <v>582555</v>
      </c>
      <c r="L235" s="591">
        <f t="shared" si="114"/>
        <v>510511.50776518224</v>
      </c>
      <c r="M235" s="589">
        <f t="shared" si="115"/>
        <v>478418</v>
      </c>
      <c r="N235" s="591">
        <f>IF(M235,M235*G235,J235*G235)</f>
        <v>336903390854</v>
      </c>
      <c r="O235" s="569">
        <f t="shared" si="127"/>
        <v>3.3072849732250502E-3</v>
      </c>
      <c r="P235" s="592">
        <f t="shared" si="108"/>
        <v>0.72494935091895696</v>
      </c>
      <c r="Q235" s="629">
        <f t="shared" si="109"/>
        <v>0</v>
      </c>
      <c r="R235" s="599">
        <f t="shared" si="110"/>
        <v>0</v>
      </c>
      <c r="S235" s="624">
        <f t="shared" si="111"/>
        <v>1.671122043153097E-2</v>
      </c>
      <c r="T235" s="574">
        <v>2.1</v>
      </c>
      <c r="U235" s="557">
        <f t="shared" si="112"/>
        <v>4.0000000000000009</v>
      </c>
      <c r="V235" s="575">
        <f t="shared" si="113"/>
        <v>2</v>
      </c>
      <c r="W235" s="2205">
        <v>8.0000000000000002E-3</v>
      </c>
      <c r="X235" s="595">
        <f t="shared" si="118"/>
        <v>5633.6239999999998</v>
      </c>
      <c r="Y235" s="2201"/>
      <c r="Z235" s="2194">
        <f t="shared" si="116"/>
        <v>0</v>
      </c>
      <c r="AA235" s="2328" t="s">
        <v>1331</v>
      </c>
    </row>
    <row r="236" spans="1:35" ht="14.4" hidden="1" x14ac:dyDescent="0.3">
      <c r="A236" s="560" t="s">
        <v>568</v>
      </c>
      <c r="B236" s="557" t="str">
        <f t="shared" si="119"/>
        <v>2020s</v>
      </c>
      <c r="C236" s="2176">
        <v>2022</v>
      </c>
      <c r="D236" s="562">
        <f t="shared" si="99"/>
        <v>2017</v>
      </c>
      <c r="E236" s="563">
        <f t="shared" si="100"/>
        <v>2020</v>
      </c>
      <c r="F236" s="587">
        <f t="shared" si="101"/>
        <v>663253</v>
      </c>
      <c r="G236" s="587">
        <f t="shared" si="102"/>
        <v>704203</v>
      </c>
      <c r="H236" s="587">
        <f t="shared" si="103"/>
        <v>702522</v>
      </c>
      <c r="I236" s="2122">
        <f t="shared" si="104"/>
        <v>478418</v>
      </c>
      <c r="J236" s="2126">
        <f t="shared" si="105"/>
        <v>0.72494935091895696</v>
      </c>
      <c r="K236" s="2173">
        <f t="shared" si="106"/>
        <v>582555</v>
      </c>
      <c r="L236" s="591">
        <f t="shared" si="114"/>
        <v>510511.50776518224</v>
      </c>
      <c r="M236" s="589">
        <f t="shared" si="115"/>
        <v>478418</v>
      </c>
      <c r="N236" s="591">
        <f>IF(M236,M236*G236,J236*G236)</f>
        <v>336903390854</v>
      </c>
      <c r="O236" s="569">
        <f t="shared" si="127"/>
        <v>3.3072849732250502E-3</v>
      </c>
      <c r="P236" s="592">
        <f t="shared" si="108"/>
        <v>0.72494935091895696</v>
      </c>
      <c r="Q236" s="629">
        <f t="shared" si="109"/>
        <v>0</v>
      </c>
      <c r="R236" s="599">
        <f t="shared" si="110"/>
        <v>0</v>
      </c>
      <c r="S236" s="624">
        <f t="shared" si="111"/>
        <v>1.671122043153097E-2</v>
      </c>
      <c r="T236" s="574">
        <v>2.2000000000000002</v>
      </c>
      <c r="U236" s="557">
        <f t="shared" si="112"/>
        <v>5.0000000000000018</v>
      </c>
      <c r="V236" s="575">
        <f t="shared" si="113"/>
        <v>2</v>
      </c>
      <c r="W236" s="2205">
        <v>4.0000000000000001E-3</v>
      </c>
      <c r="X236" s="595">
        <f t="shared" si="118"/>
        <v>2816.8119999999999</v>
      </c>
      <c r="Y236" s="2201"/>
      <c r="Z236" s="2194">
        <f t="shared" si="116"/>
        <v>0</v>
      </c>
      <c r="AA236" s="2328" t="s">
        <v>1331</v>
      </c>
    </row>
    <row r="237" spans="1:35" ht="15" hidden="1" thickBot="1" x14ac:dyDescent="0.35">
      <c r="A237" s="630" t="s">
        <v>568</v>
      </c>
      <c r="B237" s="631" t="str">
        <f t="shared" si="119"/>
        <v>2010s</v>
      </c>
      <c r="C237" s="2177">
        <v>2022</v>
      </c>
      <c r="D237" s="632">
        <f t="shared" si="99"/>
        <v>2016</v>
      </c>
      <c r="E237" s="633">
        <f t="shared" si="100"/>
        <v>2019</v>
      </c>
      <c r="F237" s="587">
        <f t="shared" si="101"/>
        <v>663253</v>
      </c>
      <c r="G237" s="587">
        <f t="shared" si="102"/>
        <v>704203</v>
      </c>
      <c r="H237" s="587">
        <f t="shared" si="103"/>
        <v>702522</v>
      </c>
      <c r="I237" s="2122">
        <f t="shared" si="104"/>
        <v>478418</v>
      </c>
      <c r="J237" s="2126">
        <f t="shared" si="105"/>
        <v>0.72494935091895696</v>
      </c>
      <c r="K237" s="2174">
        <f t="shared" si="106"/>
        <v>582555</v>
      </c>
      <c r="L237" s="636">
        <f t="shared" si="114"/>
        <v>510511.50776518224</v>
      </c>
      <c r="M237" s="635">
        <f t="shared" si="115"/>
        <v>478418</v>
      </c>
      <c r="N237" s="636">
        <f>IF(M237,M237*G237,J237*G237)</f>
        <v>336903390854</v>
      </c>
      <c r="O237" s="637">
        <f t="shared" si="127"/>
        <v>3.3072849732250502E-3</v>
      </c>
      <c r="P237" s="638">
        <f t="shared" si="108"/>
        <v>0.72494935091895696</v>
      </c>
      <c r="Q237" s="639">
        <f t="shared" si="109"/>
        <v>0</v>
      </c>
      <c r="R237" s="640">
        <f t="shared" si="110"/>
        <v>0</v>
      </c>
      <c r="S237" s="641">
        <f t="shared" si="111"/>
        <v>1.671122043153097E-2</v>
      </c>
      <c r="T237" s="642">
        <v>2.2999999999999998</v>
      </c>
      <c r="U237" s="631">
        <f t="shared" si="112"/>
        <v>5.9999999999999982</v>
      </c>
      <c r="V237" s="643">
        <f t="shared" si="113"/>
        <v>2</v>
      </c>
      <c r="W237" s="2206">
        <v>0</v>
      </c>
      <c r="X237" s="644">
        <f t="shared" si="118"/>
        <v>0</v>
      </c>
      <c r="Y237" s="2207"/>
      <c r="Z237" s="2195">
        <f t="shared" si="116"/>
        <v>0</v>
      </c>
      <c r="AA237" s="2328" t="s">
        <v>1331</v>
      </c>
    </row>
    <row r="238" spans="1:35" ht="14.4" hidden="1" x14ac:dyDescent="0.3">
      <c r="A238" s="2169" t="s">
        <v>568</v>
      </c>
      <c r="B238" s="2168" t="str">
        <f t="shared" ref="B238:B243" si="128">LEFT(E238,3)*10 &amp; "s"</f>
        <v>2020s</v>
      </c>
      <c r="C238" s="2175">
        <v>2023</v>
      </c>
      <c r="D238" s="2170">
        <f t="shared" ref="D238:D243" si="129">C238-U238</f>
        <v>2020</v>
      </c>
      <c r="E238" s="2171">
        <f t="shared" ref="E238:E243" si="130">C238-(T238-INT(T238))*10</f>
        <v>2022</v>
      </c>
      <c r="F238" s="2129">
        <f t="shared" si="101"/>
        <v>327600</v>
      </c>
      <c r="G238" s="2129">
        <f t="shared" si="102"/>
        <v>347145</v>
      </c>
      <c r="H238" s="2129">
        <f t="shared" si="103"/>
        <v>345705</v>
      </c>
      <c r="I238" s="2130">
        <f t="shared" si="104"/>
        <v>136956</v>
      </c>
      <c r="J238" s="2131">
        <f t="shared" si="105"/>
        <v>0.55275010897115084</v>
      </c>
      <c r="K238" s="2172">
        <f t="shared" si="106"/>
        <v>207088</v>
      </c>
      <c r="T238" s="2167">
        <v>1.1000000000000001</v>
      </c>
      <c r="U238" s="2168">
        <f t="shared" ref="U238:U243" si="131">INT(T238) + (T238-INT(T238))*10 + 1</f>
        <v>3.0000000000000009</v>
      </c>
      <c r="V238" s="2181">
        <f t="shared" ref="V238:V243" si="132">INT(T238)</f>
        <v>1</v>
      </c>
      <c r="W238" s="2204"/>
      <c r="Y238" s="2200">
        <v>8.8999999999999996E-2</v>
      </c>
      <c r="Z238" s="2193">
        <f t="shared" si="116"/>
        <v>18430.831999999999</v>
      </c>
      <c r="AA238" s="2328" t="s">
        <v>1331</v>
      </c>
      <c r="AI238" s="627" t="s">
        <v>623</v>
      </c>
    </row>
    <row r="239" spans="1:35" ht="14.4" hidden="1" x14ac:dyDescent="0.3">
      <c r="A239" s="560" t="s">
        <v>568</v>
      </c>
      <c r="B239" s="557" t="str">
        <f t="shared" si="128"/>
        <v>2020s</v>
      </c>
      <c r="C239" s="2176">
        <v>2023</v>
      </c>
      <c r="D239" s="562">
        <f t="shared" si="129"/>
        <v>2019</v>
      </c>
      <c r="E239" s="563">
        <f t="shared" si="130"/>
        <v>2021</v>
      </c>
      <c r="F239" s="587">
        <f t="shared" si="101"/>
        <v>327600</v>
      </c>
      <c r="G239" s="587">
        <f t="shared" si="102"/>
        <v>347145</v>
      </c>
      <c r="H239" s="587">
        <f t="shared" si="103"/>
        <v>345705</v>
      </c>
      <c r="I239" s="2122">
        <f t="shared" si="104"/>
        <v>136956</v>
      </c>
      <c r="J239" s="2126">
        <f t="shared" si="105"/>
        <v>0.55275010897115084</v>
      </c>
      <c r="K239" s="2173">
        <f t="shared" si="106"/>
        <v>207088</v>
      </c>
      <c r="T239" s="574">
        <v>1.2</v>
      </c>
      <c r="U239" s="557">
        <f t="shared" si="131"/>
        <v>3.9999999999999996</v>
      </c>
      <c r="V239" s="575">
        <f t="shared" si="132"/>
        <v>1</v>
      </c>
      <c r="W239" s="2205"/>
      <c r="Y239" s="2201">
        <v>0.81200000000000006</v>
      </c>
      <c r="Z239" s="2194">
        <f t="shared" si="116"/>
        <v>168155.45600000001</v>
      </c>
      <c r="AA239" s="2328" t="s">
        <v>1331</v>
      </c>
    </row>
    <row r="240" spans="1:35" ht="14.4" hidden="1" x14ac:dyDescent="0.3">
      <c r="A240" s="560" t="s">
        <v>568</v>
      </c>
      <c r="B240" s="557" t="str">
        <f t="shared" si="128"/>
        <v>2020s</v>
      </c>
      <c r="C240" s="2176">
        <v>2023</v>
      </c>
      <c r="D240" s="562">
        <f t="shared" si="129"/>
        <v>2018</v>
      </c>
      <c r="E240" s="563">
        <f t="shared" si="130"/>
        <v>2020</v>
      </c>
      <c r="F240" s="587">
        <f t="shared" si="101"/>
        <v>327600</v>
      </c>
      <c r="G240" s="587">
        <f t="shared" si="102"/>
        <v>347145</v>
      </c>
      <c r="H240" s="587">
        <f t="shared" si="103"/>
        <v>345705</v>
      </c>
      <c r="I240" s="2122">
        <f t="shared" si="104"/>
        <v>136956</v>
      </c>
      <c r="J240" s="2126">
        <f t="shared" si="105"/>
        <v>0.55275010897115084</v>
      </c>
      <c r="K240" s="2173">
        <f t="shared" si="106"/>
        <v>207088</v>
      </c>
      <c r="T240" s="574">
        <v>1.3</v>
      </c>
      <c r="U240" s="557">
        <f t="shared" si="131"/>
        <v>5</v>
      </c>
      <c r="V240" s="575">
        <f t="shared" si="132"/>
        <v>1</v>
      </c>
      <c r="W240" s="2205"/>
      <c r="Y240" s="2201">
        <v>9.6000000000000002E-2</v>
      </c>
      <c r="Z240" s="2194">
        <f t="shared" si="116"/>
        <v>19880.448</v>
      </c>
      <c r="AA240" s="2328" t="s">
        <v>1331</v>
      </c>
    </row>
    <row r="241" spans="1:27" ht="14.4" hidden="1" x14ac:dyDescent="0.3">
      <c r="A241" s="560" t="s">
        <v>568</v>
      </c>
      <c r="B241" s="557" t="str">
        <f t="shared" si="128"/>
        <v>2020s</v>
      </c>
      <c r="C241" s="2176">
        <v>2023</v>
      </c>
      <c r="D241" s="562">
        <f t="shared" si="129"/>
        <v>2019</v>
      </c>
      <c r="E241" s="563">
        <f t="shared" si="130"/>
        <v>2022</v>
      </c>
      <c r="F241" s="587">
        <f t="shared" si="101"/>
        <v>327600</v>
      </c>
      <c r="G241" s="587">
        <f t="shared" si="102"/>
        <v>347145</v>
      </c>
      <c r="H241" s="587">
        <f t="shared" si="103"/>
        <v>345705</v>
      </c>
      <c r="I241" s="2122">
        <f t="shared" si="104"/>
        <v>136956</v>
      </c>
      <c r="J241" s="2126">
        <f t="shared" si="105"/>
        <v>0.55275010897115084</v>
      </c>
      <c r="K241" s="2173">
        <f t="shared" si="106"/>
        <v>207088</v>
      </c>
      <c r="L241" s="559"/>
      <c r="M241" s="559"/>
      <c r="N241" s="559"/>
      <c r="O241" s="559"/>
      <c r="T241" s="574">
        <v>2.1</v>
      </c>
      <c r="U241" s="557">
        <f t="shared" si="131"/>
        <v>4.0000000000000009</v>
      </c>
      <c r="V241" s="575">
        <f t="shared" si="132"/>
        <v>2</v>
      </c>
      <c r="W241" s="2205"/>
      <c r="Y241" s="2201">
        <v>3.0000000000000001E-3</v>
      </c>
      <c r="Z241" s="2194">
        <f t="shared" si="116"/>
        <v>621.26400000000001</v>
      </c>
      <c r="AA241" s="2328" t="s">
        <v>1331</v>
      </c>
    </row>
    <row r="242" spans="1:27" ht="14.4" hidden="1" x14ac:dyDescent="0.3">
      <c r="A242" s="560" t="s">
        <v>568</v>
      </c>
      <c r="B242" s="557" t="str">
        <f t="shared" si="128"/>
        <v>2020s</v>
      </c>
      <c r="C242" s="2176">
        <v>2023</v>
      </c>
      <c r="D242" s="562">
        <f t="shared" si="129"/>
        <v>2018</v>
      </c>
      <c r="E242" s="563">
        <f t="shared" si="130"/>
        <v>2021</v>
      </c>
      <c r="F242" s="587">
        <f t="shared" si="101"/>
        <v>327600</v>
      </c>
      <c r="G242" s="587">
        <f t="shared" si="102"/>
        <v>347145</v>
      </c>
      <c r="H242" s="587">
        <f t="shared" si="103"/>
        <v>345705</v>
      </c>
      <c r="I242" s="2122">
        <f t="shared" si="104"/>
        <v>136956</v>
      </c>
      <c r="J242" s="2126">
        <f t="shared" si="105"/>
        <v>0.55275010897115084</v>
      </c>
      <c r="K242" s="2173">
        <f t="shared" si="106"/>
        <v>207088</v>
      </c>
      <c r="L242" s="559"/>
      <c r="M242" s="559"/>
      <c r="N242" s="559"/>
      <c r="O242" s="559"/>
      <c r="T242" s="574">
        <v>2.2000000000000002</v>
      </c>
      <c r="U242" s="557">
        <f t="shared" si="131"/>
        <v>5.0000000000000018</v>
      </c>
      <c r="V242" s="575">
        <f t="shared" si="132"/>
        <v>2</v>
      </c>
      <c r="W242" s="2205"/>
      <c r="Y242" s="2201"/>
      <c r="Z242" s="2194">
        <f t="shared" si="116"/>
        <v>0</v>
      </c>
      <c r="AA242" s="2328" t="s">
        <v>1331</v>
      </c>
    </row>
    <row r="243" spans="1:27" ht="15" hidden="1" thickBot="1" x14ac:dyDescent="0.35">
      <c r="A243" s="630" t="s">
        <v>568</v>
      </c>
      <c r="B243" s="631" t="str">
        <f t="shared" si="128"/>
        <v>2020s</v>
      </c>
      <c r="C243" s="2177">
        <v>2023</v>
      </c>
      <c r="D243" s="632">
        <f t="shared" si="129"/>
        <v>2017</v>
      </c>
      <c r="E243" s="633">
        <f t="shared" si="130"/>
        <v>2020</v>
      </c>
      <c r="F243" s="634">
        <f t="shared" si="101"/>
        <v>327600</v>
      </c>
      <c r="G243" s="634">
        <f t="shared" si="102"/>
        <v>347145</v>
      </c>
      <c r="H243" s="634">
        <f t="shared" si="103"/>
        <v>345705</v>
      </c>
      <c r="I243" s="2123">
        <f t="shared" si="104"/>
        <v>136956</v>
      </c>
      <c r="J243" s="2127">
        <f t="shared" si="105"/>
        <v>0.55275010897115084</v>
      </c>
      <c r="K243" s="2174">
        <f t="shared" si="106"/>
        <v>207088</v>
      </c>
      <c r="L243" s="559"/>
      <c r="M243" s="559"/>
      <c r="N243" s="559"/>
      <c r="O243" s="559"/>
      <c r="T243" s="642">
        <v>2.2999999999999998</v>
      </c>
      <c r="U243" s="631">
        <f t="shared" si="131"/>
        <v>5.9999999999999982</v>
      </c>
      <c r="V243" s="643">
        <f t="shared" si="132"/>
        <v>2</v>
      </c>
      <c r="W243" s="2206"/>
      <c r="Y243" s="2207"/>
      <c r="Z243" s="2195">
        <f t="shared" si="116"/>
        <v>0</v>
      </c>
      <c r="AA243" s="2328" t="s">
        <v>1331</v>
      </c>
    </row>
    <row r="244" spans="1:27" x14ac:dyDescent="0.25">
      <c r="I244" s="613"/>
      <c r="J244" s="559"/>
      <c r="K244" s="649"/>
      <c r="L244" s="559"/>
      <c r="M244" s="559"/>
      <c r="N244" s="559"/>
      <c r="O244" s="559"/>
    </row>
    <row r="245" spans="1:27" x14ac:dyDescent="0.25">
      <c r="I245" s="613"/>
      <c r="J245" s="559"/>
      <c r="K245" s="649"/>
      <c r="L245" s="559"/>
      <c r="M245" s="559"/>
      <c r="N245" s="559"/>
      <c r="O245" s="559"/>
    </row>
    <row r="250" spans="1:27" x14ac:dyDescent="0.25">
      <c r="P250" s="652"/>
      <c r="Q250" s="652"/>
    </row>
    <row r="254" spans="1:27" x14ac:dyDescent="0.25">
      <c r="P254" s="652"/>
      <c r="Q254" s="652"/>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3">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4.6640625" style="664" bestFit="1" customWidth="1"/>
    <col min="2" max="2" width="19.44140625" bestFit="1" customWidth="1"/>
    <col min="3" max="3" width="13.33203125" bestFit="1" customWidth="1"/>
    <col min="4" max="4" width="92.88671875" bestFit="1"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568</v>
      </c>
      <c r="C1" s="700" t="s">
        <v>624</v>
      </c>
      <c r="D1" s="2128" t="s">
        <v>625</v>
      </c>
      <c r="E1" s="514"/>
      <c r="F1" s="514"/>
      <c r="G1" s="514"/>
      <c r="H1" s="514"/>
      <c r="I1" s="514"/>
      <c r="J1" s="514"/>
      <c r="K1" s="514"/>
      <c r="L1" s="514"/>
      <c r="M1" s="514"/>
      <c r="N1" s="514"/>
      <c r="O1" s="514"/>
      <c r="P1" s="514"/>
    </row>
    <row r="3" spans="1:16" ht="15" thickBot="1" x14ac:dyDescent="0.35">
      <c r="B3" s="660" t="s">
        <v>626</v>
      </c>
    </row>
    <row r="4" spans="1:16" ht="15" thickBot="1" x14ac:dyDescent="0.35">
      <c r="B4" s="2133">
        <v>1</v>
      </c>
      <c r="C4" s="2116"/>
      <c r="D4" s="2133">
        <v>2</v>
      </c>
      <c r="E4" s="2135"/>
      <c r="F4" s="2134">
        <v>3</v>
      </c>
      <c r="G4" s="2135"/>
      <c r="H4" s="2134">
        <v>4</v>
      </c>
      <c r="I4" s="2116"/>
      <c r="J4" s="2346" t="s">
        <v>627</v>
      </c>
      <c r="K4" s="2346" t="s">
        <v>628</v>
      </c>
    </row>
    <row r="5" spans="1:16" ht="15" thickBot="1" x14ac:dyDescent="0.35">
      <c r="A5" s="2121" t="s">
        <v>540</v>
      </c>
      <c r="B5" s="2345" t="s">
        <v>629</v>
      </c>
      <c r="C5" s="2345" t="s">
        <v>630</v>
      </c>
      <c r="D5" s="2345" t="s">
        <v>629</v>
      </c>
      <c r="E5" s="2345" t="s">
        <v>630</v>
      </c>
      <c r="F5" s="2345" t="s">
        <v>629</v>
      </c>
      <c r="G5" s="2345" t="s">
        <v>630</v>
      </c>
      <c r="H5" s="2345" t="s">
        <v>629</v>
      </c>
      <c r="I5" s="2345" t="s">
        <v>630</v>
      </c>
      <c r="J5" s="2338"/>
      <c r="K5" s="2338"/>
    </row>
    <row r="6" spans="1:16" x14ac:dyDescent="0.3">
      <c r="A6" s="669">
        <v>1977</v>
      </c>
      <c r="B6" s="701">
        <v>3243.9798476300798</v>
      </c>
      <c r="C6" s="982">
        <v>1</v>
      </c>
      <c r="D6" s="701"/>
      <c r="E6" s="982">
        <v>0</v>
      </c>
      <c r="F6" s="701"/>
      <c r="G6" s="982">
        <v>0</v>
      </c>
      <c r="H6" s="701"/>
      <c r="I6" s="982">
        <v>0</v>
      </c>
      <c r="J6" s="2347">
        <v>3243.9798476300798</v>
      </c>
      <c r="K6" s="982">
        <v>1</v>
      </c>
    </row>
    <row r="7" spans="1:16" x14ac:dyDescent="0.3">
      <c r="A7" s="669">
        <v>1978</v>
      </c>
      <c r="B7" s="701">
        <v>35756.600652323708</v>
      </c>
      <c r="C7" s="982">
        <v>0.98281165306666063</v>
      </c>
      <c r="D7" s="701">
        <v>625.34551279615994</v>
      </c>
      <c r="E7" s="982">
        <v>1.7188346933339475E-2</v>
      </c>
      <c r="F7" s="701"/>
      <c r="G7" s="982">
        <v>0</v>
      </c>
      <c r="H7" s="701"/>
      <c r="I7" s="982">
        <v>0</v>
      </c>
      <c r="J7" s="2347">
        <v>36381.946165119865</v>
      </c>
      <c r="K7" s="982">
        <v>1</v>
      </c>
    </row>
    <row r="8" spans="1:16" x14ac:dyDescent="0.3">
      <c r="A8" s="669">
        <v>1979</v>
      </c>
      <c r="B8" s="701">
        <v>39186.249362769238</v>
      </c>
      <c r="C8" s="982">
        <v>0.96133703150634975</v>
      </c>
      <c r="D8" s="701">
        <v>1575.9891430823998</v>
      </c>
      <c r="E8" s="982">
        <v>3.8662968493650272E-2</v>
      </c>
      <c r="F8" s="701"/>
      <c r="G8" s="982">
        <v>0</v>
      </c>
      <c r="H8" s="701"/>
      <c r="I8" s="982">
        <v>0</v>
      </c>
      <c r="J8" s="2347">
        <v>40762.238505851637</v>
      </c>
      <c r="K8" s="982">
        <v>1</v>
      </c>
    </row>
    <row r="9" spans="1:16" x14ac:dyDescent="0.3">
      <c r="A9" s="669">
        <v>1980</v>
      </c>
      <c r="B9" s="701">
        <v>27705.925693210527</v>
      </c>
      <c r="C9" s="982">
        <v>0.95171356904995563</v>
      </c>
      <c r="D9" s="701">
        <v>1405.6963264984697</v>
      </c>
      <c r="E9" s="982">
        <v>4.8286430950044368E-2</v>
      </c>
      <c r="F9" s="701"/>
      <c r="G9" s="982">
        <v>0</v>
      </c>
      <c r="H9" s="701"/>
      <c r="I9" s="982">
        <v>0</v>
      </c>
      <c r="J9" s="2347">
        <v>29111.622019708997</v>
      </c>
      <c r="K9" s="982">
        <v>1</v>
      </c>
    </row>
    <row r="10" spans="1:16" x14ac:dyDescent="0.3">
      <c r="A10" s="669">
        <v>1981</v>
      </c>
      <c r="B10" s="701">
        <v>45016.012516164672</v>
      </c>
      <c r="C10" s="982">
        <v>0.97319073711403992</v>
      </c>
      <c r="D10" s="701">
        <v>1240.0920678739599</v>
      </c>
      <c r="E10" s="982">
        <v>2.6809262885960191E-2</v>
      </c>
      <c r="F10" s="701"/>
      <c r="G10" s="982">
        <v>0</v>
      </c>
      <c r="H10" s="701"/>
      <c r="I10" s="982">
        <v>0</v>
      </c>
      <c r="J10" s="2347">
        <v>46256.104584038629</v>
      </c>
      <c r="K10" s="982">
        <v>1</v>
      </c>
    </row>
    <row r="11" spans="1:16" x14ac:dyDescent="0.3">
      <c r="A11" s="669">
        <v>1982</v>
      </c>
      <c r="B11" s="701">
        <v>119236.71091408974</v>
      </c>
      <c r="C11" s="982">
        <v>0.9742743486285097</v>
      </c>
      <c r="D11" s="701">
        <v>3148.4376654040898</v>
      </c>
      <c r="E11" s="982">
        <v>2.5725651371490219E-2</v>
      </c>
      <c r="F11" s="701"/>
      <c r="G11" s="982">
        <v>0</v>
      </c>
      <c r="H11" s="701"/>
      <c r="I11" s="982">
        <v>0</v>
      </c>
      <c r="J11" s="2347">
        <v>122385.14857949383</v>
      </c>
      <c r="K11" s="982">
        <v>1</v>
      </c>
    </row>
    <row r="12" spans="1:16" x14ac:dyDescent="0.3">
      <c r="A12" s="669">
        <v>1983</v>
      </c>
      <c r="B12" s="701">
        <v>118097.43318045521</v>
      </c>
      <c r="C12" s="982">
        <v>0.94126384245296413</v>
      </c>
      <c r="D12" s="701">
        <v>7369.4421567398003</v>
      </c>
      <c r="E12" s="982">
        <v>5.8736157547035914E-2</v>
      </c>
      <c r="F12" s="701"/>
      <c r="G12" s="982">
        <v>0</v>
      </c>
      <c r="H12" s="701"/>
      <c r="I12" s="982">
        <v>0</v>
      </c>
      <c r="J12" s="2347">
        <v>125466.875337195</v>
      </c>
      <c r="K12" s="982">
        <v>1</v>
      </c>
    </row>
    <row r="13" spans="1:16" x14ac:dyDescent="0.3">
      <c r="A13" s="669">
        <v>1984</v>
      </c>
      <c r="B13" s="701">
        <v>51678.502</v>
      </c>
      <c r="C13" s="982">
        <v>0.96060060840421646</v>
      </c>
      <c r="D13" s="701">
        <v>2119.6129999999998</v>
      </c>
      <c r="E13" s="982">
        <v>3.9399391595783602E-2</v>
      </c>
      <c r="F13" s="701"/>
      <c r="G13" s="982">
        <v>0</v>
      </c>
      <c r="H13" s="701"/>
      <c r="I13" s="982">
        <v>0</v>
      </c>
      <c r="J13" s="2347">
        <v>53798.114999999998</v>
      </c>
      <c r="K13" s="982">
        <v>1</v>
      </c>
    </row>
    <row r="14" spans="1:16" x14ac:dyDescent="0.3">
      <c r="A14" s="669">
        <v>1985</v>
      </c>
      <c r="B14" s="701">
        <v>49208.364000000001</v>
      </c>
      <c r="C14" s="982">
        <v>0.95865705156809344</v>
      </c>
      <c r="D14" s="701">
        <v>2122.1550000000002</v>
      </c>
      <c r="E14" s="982">
        <v>4.1342948431906563E-2</v>
      </c>
      <c r="F14" s="701"/>
      <c r="G14" s="982">
        <v>0</v>
      </c>
      <c r="H14" s="701"/>
      <c r="I14" s="982">
        <v>0</v>
      </c>
      <c r="J14" s="2347">
        <v>51330.519</v>
      </c>
      <c r="K14" s="982">
        <v>1</v>
      </c>
    </row>
    <row r="15" spans="1:16" x14ac:dyDescent="0.3">
      <c r="A15" s="669">
        <v>1986</v>
      </c>
      <c r="B15" s="701">
        <v>125259.74399999999</v>
      </c>
      <c r="C15" s="982">
        <v>0.98845996281533233</v>
      </c>
      <c r="D15" s="701">
        <v>1462.3780000000002</v>
      </c>
      <c r="E15" s="982">
        <v>1.1540037184667727E-2</v>
      </c>
      <c r="F15" s="701"/>
      <c r="G15" s="982">
        <v>0</v>
      </c>
      <c r="H15" s="701"/>
      <c r="I15" s="982">
        <v>0</v>
      </c>
      <c r="J15" s="2347">
        <v>126722.12199999999</v>
      </c>
      <c r="K15" s="982">
        <v>1</v>
      </c>
    </row>
    <row r="16" spans="1:16" x14ac:dyDescent="0.3">
      <c r="A16" s="669">
        <v>1987</v>
      </c>
      <c r="B16" s="701">
        <v>19953.93</v>
      </c>
      <c r="C16" s="982">
        <v>0.95457601061796116</v>
      </c>
      <c r="D16" s="701">
        <v>949.51800000000003</v>
      </c>
      <c r="E16" s="982">
        <v>4.5423989382038794E-2</v>
      </c>
      <c r="F16" s="701"/>
      <c r="G16" s="982">
        <v>0</v>
      </c>
      <c r="H16" s="701"/>
      <c r="I16" s="982">
        <v>0</v>
      </c>
      <c r="J16" s="2347">
        <v>20903.448</v>
      </c>
      <c r="K16" s="982">
        <v>1</v>
      </c>
    </row>
    <row r="17" spans="1:11" x14ac:dyDescent="0.3">
      <c r="A17" s="669">
        <v>1988</v>
      </c>
      <c r="B17" s="701">
        <v>4391.1210000000001</v>
      </c>
      <c r="C17" s="982">
        <v>0.88989751970447539</v>
      </c>
      <c r="D17" s="701">
        <v>543.29100000000005</v>
      </c>
      <c r="E17" s="982">
        <v>0.11010248029552458</v>
      </c>
      <c r="F17" s="701"/>
      <c r="G17" s="982">
        <v>0</v>
      </c>
      <c r="H17" s="701"/>
      <c r="I17" s="982">
        <v>0</v>
      </c>
      <c r="J17" s="2347">
        <v>4934.4120000000003</v>
      </c>
      <c r="K17" s="982">
        <v>1</v>
      </c>
    </row>
    <row r="18" spans="1:11" x14ac:dyDescent="0.3">
      <c r="A18" s="669">
        <v>1989</v>
      </c>
      <c r="B18" s="701">
        <v>36676.896000000001</v>
      </c>
      <c r="C18" s="982">
        <v>0.98935765157976263</v>
      </c>
      <c r="D18" s="701">
        <v>394.52699999999999</v>
      </c>
      <c r="E18" s="982">
        <v>1.0642348420237334E-2</v>
      </c>
      <c r="F18" s="701"/>
      <c r="G18" s="982">
        <v>0</v>
      </c>
      <c r="H18" s="701"/>
      <c r="I18" s="982">
        <v>0</v>
      </c>
      <c r="J18" s="2347">
        <v>37071.423000000003</v>
      </c>
      <c r="K18" s="982">
        <v>1</v>
      </c>
    </row>
    <row r="19" spans="1:11" x14ac:dyDescent="0.3">
      <c r="A19" s="669">
        <v>1990</v>
      </c>
      <c r="B19" s="701">
        <v>52952.235999999997</v>
      </c>
      <c r="C19" s="982">
        <v>0.93637152875250962</v>
      </c>
      <c r="D19" s="701">
        <v>3598.2190000000001</v>
      </c>
      <c r="E19" s="982">
        <v>6.3628471247490409E-2</v>
      </c>
      <c r="F19" s="701"/>
      <c r="G19" s="982">
        <v>0</v>
      </c>
      <c r="H19" s="701"/>
      <c r="I19" s="982">
        <v>0</v>
      </c>
      <c r="J19" s="2347">
        <v>56550.454999999994</v>
      </c>
      <c r="K19" s="982">
        <v>1</v>
      </c>
    </row>
    <row r="20" spans="1:11" x14ac:dyDescent="0.3">
      <c r="A20" s="669">
        <v>1991</v>
      </c>
      <c r="B20" s="701">
        <v>47370.430000000008</v>
      </c>
      <c r="C20" s="982">
        <v>0.87848782184361929</v>
      </c>
      <c r="D20" s="701">
        <v>6552.2640000000001</v>
      </c>
      <c r="E20" s="982">
        <v>0.12151217815638067</v>
      </c>
      <c r="F20" s="701"/>
      <c r="G20" s="982">
        <v>0</v>
      </c>
      <c r="H20" s="701"/>
      <c r="I20" s="982">
        <v>0</v>
      </c>
      <c r="J20" s="2347">
        <v>53922.69400000001</v>
      </c>
      <c r="K20" s="982">
        <v>1</v>
      </c>
    </row>
    <row r="21" spans="1:11" x14ac:dyDescent="0.3">
      <c r="A21" s="669">
        <v>1992</v>
      </c>
      <c r="B21" s="701">
        <v>345.54599999999999</v>
      </c>
      <c r="C21" s="982">
        <v>0.74618427758246886</v>
      </c>
      <c r="D21" s="701">
        <v>117.53800000000001</v>
      </c>
      <c r="E21" s="982">
        <v>0.2538157224175312</v>
      </c>
      <c r="F21" s="701"/>
      <c r="G21" s="982">
        <v>0</v>
      </c>
      <c r="H21" s="701"/>
      <c r="I21" s="982">
        <v>0</v>
      </c>
      <c r="J21" s="2347">
        <v>463.084</v>
      </c>
      <c r="K21" s="982">
        <v>1</v>
      </c>
    </row>
    <row r="22" spans="1:11" x14ac:dyDescent="0.3">
      <c r="A22" s="669">
        <v>1993</v>
      </c>
      <c r="B22" s="701">
        <v>3887.2979999999998</v>
      </c>
      <c r="C22" s="982">
        <v>0.99101804192702159</v>
      </c>
      <c r="D22" s="701">
        <v>35.231999999999999</v>
      </c>
      <c r="E22" s="982">
        <v>8.9819580729784097E-3</v>
      </c>
      <c r="F22" s="701"/>
      <c r="G22" s="982">
        <v>0</v>
      </c>
      <c r="H22" s="701"/>
      <c r="I22" s="982">
        <v>0</v>
      </c>
      <c r="J22" s="2347">
        <v>3922.5299999999997</v>
      </c>
      <c r="K22" s="982">
        <v>1</v>
      </c>
    </row>
    <row r="23" spans="1:11" x14ac:dyDescent="0.3">
      <c r="A23" s="669">
        <v>1994</v>
      </c>
      <c r="B23" s="701">
        <v>23284.963999999996</v>
      </c>
      <c r="C23" s="982">
        <v>0.96162878403679708</v>
      </c>
      <c r="D23" s="701">
        <v>929.12400000000002</v>
      </c>
      <c r="E23" s="982">
        <v>3.8371215963202913E-2</v>
      </c>
      <c r="F23" s="701"/>
      <c r="G23" s="982">
        <v>0</v>
      </c>
      <c r="H23" s="701"/>
      <c r="I23" s="982">
        <v>0</v>
      </c>
      <c r="J23" s="2347">
        <v>24214.087999999996</v>
      </c>
      <c r="K23" s="982">
        <v>1</v>
      </c>
    </row>
    <row r="24" spans="1:11" x14ac:dyDescent="0.3">
      <c r="A24" s="669">
        <v>1995</v>
      </c>
      <c r="B24" s="701">
        <v>37520.464999999997</v>
      </c>
      <c r="C24" s="982">
        <v>1</v>
      </c>
      <c r="D24" s="701">
        <v>0</v>
      </c>
      <c r="E24" s="982">
        <v>0</v>
      </c>
      <c r="F24" s="701"/>
      <c r="G24" s="982">
        <v>0</v>
      </c>
      <c r="H24" s="701"/>
      <c r="I24" s="982">
        <v>0</v>
      </c>
      <c r="J24" s="2347">
        <v>37520.464999999997</v>
      </c>
      <c r="K24" s="982">
        <v>1</v>
      </c>
    </row>
    <row r="25" spans="1:11" x14ac:dyDescent="0.3">
      <c r="A25" s="669">
        <v>1996</v>
      </c>
      <c r="B25" s="701">
        <v>6079.2449999999999</v>
      </c>
      <c r="C25" s="982">
        <v>0.949273902656111</v>
      </c>
      <c r="D25" s="701">
        <v>324.85499999999996</v>
      </c>
      <c r="E25" s="982">
        <v>5.0726097343889068E-2</v>
      </c>
      <c r="F25" s="701"/>
      <c r="G25" s="982">
        <v>0</v>
      </c>
      <c r="H25" s="701"/>
      <c r="I25" s="982">
        <v>0</v>
      </c>
      <c r="J25" s="2347">
        <v>6404.0999999999995</v>
      </c>
      <c r="K25" s="982">
        <v>1</v>
      </c>
    </row>
    <row r="26" spans="1:11" x14ac:dyDescent="0.3">
      <c r="A26" s="669">
        <v>1997</v>
      </c>
      <c r="B26" s="701">
        <v>15338.06</v>
      </c>
      <c r="C26" s="982">
        <v>1</v>
      </c>
      <c r="D26" s="701">
        <v>0</v>
      </c>
      <c r="E26" s="982">
        <v>0</v>
      </c>
      <c r="F26" s="701"/>
      <c r="G26" s="982">
        <v>0</v>
      </c>
      <c r="H26" s="701"/>
      <c r="I26" s="982">
        <v>0</v>
      </c>
      <c r="J26" s="2347">
        <v>15338.06</v>
      </c>
      <c r="K26" s="982">
        <v>1</v>
      </c>
    </row>
    <row r="27" spans="1:11" x14ac:dyDescent="0.3">
      <c r="A27" s="669">
        <v>1998</v>
      </c>
      <c r="B27" s="701">
        <v>65794.504000000001</v>
      </c>
      <c r="C27" s="982">
        <v>0.97954646306993409</v>
      </c>
      <c r="D27" s="701">
        <v>1373.83</v>
      </c>
      <c r="E27" s="982">
        <v>2.0453536930065883E-2</v>
      </c>
      <c r="F27" s="701"/>
      <c r="G27" s="982">
        <v>0</v>
      </c>
      <c r="H27" s="701"/>
      <c r="I27" s="982">
        <v>0</v>
      </c>
      <c r="J27" s="2347">
        <v>67168.334000000003</v>
      </c>
      <c r="K27" s="982">
        <v>1</v>
      </c>
    </row>
    <row r="28" spans="1:11" x14ac:dyDescent="0.3">
      <c r="A28" s="669">
        <v>1999</v>
      </c>
      <c r="B28" s="701">
        <v>90754.076000000001</v>
      </c>
      <c r="C28" s="982">
        <v>0.97596825177871127</v>
      </c>
      <c r="D28" s="701">
        <v>2234.6824299999998</v>
      </c>
      <c r="E28" s="982">
        <v>2.4031748221288729E-2</v>
      </c>
      <c r="F28" s="701"/>
      <c r="G28" s="982">
        <v>0</v>
      </c>
      <c r="H28" s="701"/>
      <c r="I28" s="982">
        <v>0</v>
      </c>
      <c r="J28" s="2347">
        <v>92988.758430000002</v>
      </c>
      <c r="K28" s="982">
        <v>1</v>
      </c>
    </row>
    <row r="29" spans="1:11" x14ac:dyDescent="0.3">
      <c r="A29" s="669">
        <v>2000</v>
      </c>
      <c r="B29" s="701">
        <v>10586.961000000001</v>
      </c>
      <c r="C29" s="982">
        <v>0.74758102786242497</v>
      </c>
      <c r="D29" s="701">
        <v>3539.6704300000001</v>
      </c>
      <c r="E29" s="982">
        <v>0.24994806898350069</v>
      </c>
      <c r="F29" s="701">
        <v>34.991999999999997</v>
      </c>
      <c r="G29" s="982">
        <v>2.4709031540743344E-3</v>
      </c>
      <c r="H29" s="701"/>
      <c r="I29" s="982">
        <v>0</v>
      </c>
      <c r="J29" s="2347">
        <v>14161.623430000001</v>
      </c>
      <c r="K29" s="982">
        <v>1</v>
      </c>
    </row>
    <row r="30" spans="1:11" x14ac:dyDescent="0.3">
      <c r="A30" s="669">
        <v>2001</v>
      </c>
      <c r="B30" s="701">
        <v>17434.199999999997</v>
      </c>
      <c r="C30" s="982">
        <v>0.92336341088670781</v>
      </c>
      <c r="D30" s="701">
        <v>467.21399999999994</v>
      </c>
      <c r="E30" s="982">
        <v>2.4744944571819888E-2</v>
      </c>
      <c r="F30" s="701">
        <v>979.77600000000007</v>
      </c>
      <c r="G30" s="982">
        <v>5.1891644541472236E-2</v>
      </c>
      <c r="H30" s="701"/>
      <c r="I30" s="982">
        <v>0</v>
      </c>
      <c r="J30" s="2347">
        <v>18881.189999999999</v>
      </c>
      <c r="K30" s="982">
        <v>1</v>
      </c>
    </row>
    <row r="31" spans="1:11" x14ac:dyDescent="0.3">
      <c r="A31" s="669">
        <v>2002</v>
      </c>
      <c r="B31" s="701">
        <v>97400.33600000001</v>
      </c>
      <c r="C31" s="982">
        <v>0.92247786967597745</v>
      </c>
      <c r="D31" s="701">
        <v>4056.1610000000001</v>
      </c>
      <c r="E31" s="982">
        <v>3.8415871156160922E-2</v>
      </c>
      <c r="F31" s="701">
        <v>2449.4399999999996</v>
      </c>
      <c r="G31" s="982">
        <v>2.319862831991797E-2</v>
      </c>
      <c r="H31" s="701">
        <v>1679.616</v>
      </c>
      <c r="I31" s="982">
        <v>1.5907630847943752E-2</v>
      </c>
      <c r="J31" s="2347">
        <v>105585.553</v>
      </c>
      <c r="K31" s="982">
        <v>1</v>
      </c>
    </row>
    <row r="32" spans="1:11" x14ac:dyDescent="0.3">
      <c r="A32" s="669">
        <v>2003</v>
      </c>
      <c r="B32" s="701">
        <v>58583.036523809526</v>
      </c>
      <c r="C32" s="982">
        <v>0.95056418652034758</v>
      </c>
      <c r="D32" s="701">
        <v>1398.8710000000001</v>
      </c>
      <c r="E32" s="982">
        <v>2.2697981413467311E-2</v>
      </c>
      <c r="F32" s="701">
        <v>1647.8459999999998</v>
      </c>
      <c r="G32" s="982">
        <v>2.6737832066185123E-2</v>
      </c>
      <c r="H32" s="701"/>
      <c r="I32" s="982">
        <v>0</v>
      </c>
      <c r="J32" s="2347">
        <v>61629.753523809522</v>
      </c>
      <c r="K32" s="982">
        <v>1</v>
      </c>
    </row>
    <row r="33" spans="1:11" x14ac:dyDescent="0.3">
      <c r="A33" s="669">
        <v>2004</v>
      </c>
      <c r="B33" s="701">
        <v>28183.501515151511</v>
      </c>
      <c r="C33" s="982">
        <v>0.94970956421458119</v>
      </c>
      <c r="D33" s="701">
        <v>1492.4147619047619</v>
      </c>
      <c r="E33" s="982">
        <v>5.0290435785418766E-2</v>
      </c>
      <c r="F33" s="701"/>
      <c r="G33" s="982">
        <v>0</v>
      </c>
      <c r="H33" s="701"/>
      <c r="I33" s="982">
        <v>0</v>
      </c>
      <c r="J33" s="2347">
        <v>29675.916277056273</v>
      </c>
      <c r="K33" s="982">
        <v>1</v>
      </c>
    </row>
    <row r="34" spans="1:11" x14ac:dyDescent="0.3">
      <c r="A34" s="669">
        <v>2005</v>
      </c>
      <c r="B34" s="701">
        <v>13269.036611008039</v>
      </c>
      <c r="C34" s="982">
        <v>0.98280554595750969</v>
      </c>
      <c r="D34" s="701">
        <v>232.14545454545456</v>
      </c>
      <c r="E34" s="982">
        <v>1.7194454042490356E-2</v>
      </c>
      <c r="F34" s="701"/>
      <c r="G34" s="982">
        <v>0</v>
      </c>
      <c r="H34" s="701"/>
      <c r="I34" s="982">
        <v>0</v>
      </c>
      <c r="J34" s="2347">
        <v>13501.182065553494</v>
      </c>
      <c r="K34" s="982">
        <v>1</v>
      </c>
    </row>
    <row r="35" spans="1:11" x14ac:dyDescent="0.3">
      <c r="A35" s="669">
        <v>2006</v>
      </c>
      <c r="B35" s="701">
        <v>194084.08484084992</v>
      </c>
      <c r="C35" s="982">
        <v>0.9889985535052801</v>
      </c>
      <c r="D35" s="701">
        <v>2158.957328385899</v>
      </c>
      <c r="E35" s="982">
        <v>1.100144649471985E-2</v>
      </c>
      <c r="F35" s="701"/>
      <c r="G35" s="982">
        <v>0</v>
      </c>
      <c r="H35" s="701"/>
      <c r="I35" s="982">
        <v>0</v>
      </c>
      <c r="J35" s="2347">
        <v>196243.04216923582</v>
      </c>
      <c r="K35" s="982">
        <v>1</v>
      </c>
    </row>
    <row r="36" spans="1:11" x14ac:dyDescent="0.3">
      <c r="A36" s="669">
        <v>2007</v>
      </c>
      <c r="B36" s="701">
        <v>170907.58376681403</v>
      </c>
      <c r="C36" s="982">
        <v>0.97109054698427566</v>
      </c>
      <c r="D36" s="701">
        <v>5087.9341563786011</v>
      </c>
      <c r="E36" s="982">
        <v>2.8909453015724295E-2</v>
      </c>
      <c r="F36" s="701"/>
      <c r="G36" s="982">
        <v>0</v>
      </c>
      <c r="H36" s="701"/>
      <c r="I36" s="982">
        <v>0</v>
      </c>
      <c r="J36" s="2347">
        <v>175995.51792319264</v>
      </c>
      <c r="K36" s="982">
        <v>1</v>
      </c>
    </row>
    <row r="37" spans="1:11" x14ac:dyDescent="0.3">
      <c r="A37" s="669">
        <v>2008</v>
      </c>
      <c r="B37" s="701">
        <v>334990.62004115229</v>
      </c>
      <c r="C37" s="982">
        <v>0.99368113229931965</v>
      </c>
      <c r="D37" s="701">
        <v>2130.2220000000002</v>
      </c>
      <c r="E37" s="982">
        <v>6.318867700680352E-3</v>
      </c>
      <c r="F37" s="701"/>
      <c r="G37" s="982">
        <v>0</v>
      </c>
      <c r="H37" s="701"/>
      <c r="I37" s="982">
        <v>0</v>
      </c>
      <c r="J37" s="2347">
        <v>337120.8420411523</v>
      </c>
      <c r="K37" s="982">
        <v>1</v>
      </c>
    </row>
    <row r="38" spans="1:11" x14ac:dyDescent="0.3">
      <c r="A38" s="669">
        <v>2009</v>
      </c>
      <c r="B38" s="701">
        <v>120287.00074250442</v>
      </c>
      <c r="C38" s="982">
        <v>0.90315381136478379</v>
      </c>
      <c r="D38" s="701">
        <v>12898.509000000002</v>
      </c>
      <c r="E38" s="982">
        <v>9.6846188635216157E-2</v>
      </c>
      <c r="F38" s="701"/>
      <c r="G38" s="982">
        <v>0</v>
      </c>
      <c r="H38" s="701"/>
      <c r="I38" s="982">
        <v>0</v>
      </c>
      <c r="J38" s="2347">
        <v>133185.50974250442</v>
      </c>
      <c r="K38" s="982">
        <v>1</v>
      </c>
    </row>
    <row r="39" spans="1:11" x14ac:dyDescent="0.3">
      <c r="A39" s="669">
        <v>2010</v>
      </c>
      <c r="B39" s="701">
        <v>492506.37799999997</v>
      </c>
      <c r="C39" s="982">
        <v>0.97443978421382638</v>
      </c>
      <c r="D39" s="701">
        <v>12918.776</v>
      </c>
      <c r="E39" s="982">
        <v>2.5560215786173554E-2</v>
      </c>
      <c r="F39" s="701"/>
      <c r="G39" s="982">
        <v>0</v>
      </c>
      <c r="H39" s="701"/>
      <c r="I39" s="982">
        <v>0</v>
      </c>
      <c r="J39" s="2347">
        <v>505425.15399999998</v>
      </c>
      <c r="K39" s="982">
        <v>1</v>
      </c>
    </row>
    <row r="40" spans="1:11" x14ac:dyDescent="0.3">
      <c r="A40" s="669">
        <v>2011</v>
      </c>
      <c r="B40" s="701">
        <v>118570.791</v>
      </c>
      <c r="C40" s="982">
        <v>0.91369887712805575</v>
      </c>
      <c r="D40" s="701">
        <v>11199.305</v>
      </c>
      <c r="E40" s="982">
        <v>8.6301122871944247E-2</v>
      </c>
      <c r="F40" s="701"/>
      <c r="G40" s="982">
        <v>0</v>
      </c>
      <c r="H40" s="701"/>
      <c r="I40" s="982">
        <v>0</v>
      </c>
      <c r="J40" s="2347">
        <v>129770.09599999999</v>
      </c>
      <c r="K40" s="982">
        <v>1</v>
      </c>
    </row>
    <row r="41" spans="1:11" x14ac:dyDescent="0.3">
      <c r="A41" s="669">
        <v>2012</v>
      </c>
      <c r="B41" s="701">
        <v>514198.34799999994</v>
      </c>
      <c r="C41" s="982">
        <v>0.99582596906495224</v>
      </c>
      <c r="D41" s="701">
        <v>2155.2759999999998</v>
      </c>
      <c r="E41" s="982">
        <v>4.174030935047722E-3</v>
      </c>
      <c r="F41" s="701"/>
      <c r="G41" s="982">
        <v>0</v>
      </c>
      <c r="H41" s="701"/>
      <c r="I41" s="982">
        <v>0</v>
      </c>
      <c r="J41" s="2347">
        <v>516353.62399999995</v>
      </c>
      <c r="K41" s="982">
        <v>1</v>
      </c>
    </row>
    <row r="42" spans="1:11" x14ac:dyDescent="0.3">
      <c r="A42" s="669">
        <v>2013</v>
      </c>
      <c r="B42" s="701">
        <v>477921.42180000001</v>
      </c>
      <c r="C42" s="982">
        <v>0.98025001862791517</v>
      </c>
      <c r="D42" s="701">
        <v>9629.1139999999996</v>
      </c>
      <c r="E42" s="982">
        <v>1.9749981372084873E-2</v>
      </c>
      <c r="F42" s="701"/>
      <c r="G42" s="982">
        <v>0</v>
      </c>
      <c r="H42" s="701"/>
      <c r="I42" s="982">
        <v>0</v>
      </c>
      <c r="J42" s="2347">
        <v>487550.53580000001</v>
      </c>
      <c r="K42" s="982">
        <v>1</v>
      </c>
    </row>
    <row r="43" spans="1:11" x14ac:dyDescent="0.3">
      <c r="A43" s="669">
        <v>2014</v>
      </c>
      <c r="B43" s="701">
        <v>274539.41699999996</v>
      </c>
      <c r="C43" s="982">
        <v>0.99500887137789396</v>
      </c>
      <c r="D43" s="701">
        <v>1377.135</v>
      </c>
      <c r="E43" s="982">
        <v>4.9911286221060057E-3</v>
      </c>
      <c r="F43" s="701"/>
      <c r="G43" s="982">
        <v>0</v>
      </c>
      <c r="H43" s="701"/>
      <c r="I43" s="982">
        <v>0</v>
      </c>
      <c r="J43" s="2347">
        <v>275916.55199999997</v>
      </c>
      <c r="K43" s="982">
        <v>1</v>
      </c>
    </row>
    <row r="44" spans="1:11" x14ac:dyDescent="0.3">
      <c r="A44" s="669">
        <v>2015</v>
      </c>
      <c r="B44" s="701">
        <v>50789.052000000003</v>
      </c>
      <c r="C44" s="982">
        <v>0.97629742430670352</v>
      </c>
      <c r="D44" s="701">
        <v>1233.058</v>
      </c>
      <c r="E44" s="982">
        <v>2.3702575693296563E-2</v>
      </c>
      <c r="F44" s="701"/>
      <c r="G44" s="982">
        <v>0</v>
      </c>
      <c r="H44" s="701"/>
      <c r="I44" s="982">
        <v>0</v>
      </c>
      <c r="J44" s="2347">
        <v>52022.11</v>
      </c>
      <c r="K44" s="982">
        <v>1</v>
      </c>
    </row>
    <row r="45" spans="1:11" x14ac:dyDescent="0.3">
      <c r="A45" s="669">
        <v>2016</v>
      </c>
      <c r="B45" s="701">
        <v>198420.951</v>
      </c>
      <c r="C45" s="982">
        <v>0.99320221464431768</v>
      </c>
      <c r="D45" s="701">
        <v>1358.0547999999999</v>
      </c>
      <c r="E45" s="982">
        <v>6.7977853556822525E-3</v>
      </c>
      <c r="F45" s="701"/>
      <c r="G45" s="982">
        <v>0</v>
      </c>
      <c r="H45" s="701"/>
      <c r="I45" s="982">
        <v>0</v>
      </c>
      <c r="J45" s="2347">
        <v>199779.00580000001</v>
      </c>
      <c r="K45" s="982">
        <v>1</v>
      </c>
    </row>
    <row r="46" spans="1:11" x14ac:dyDescent="0.3">
      <c r="A46" s="669">
        <v>2017</v>
      </c>
      <c r="B46" s="701">
        <v>35610.4398</v>
      </c>
      <c r="C46" s="982">
        <v>0.98059784591226107</v>
      </c>
      <c r="D46" s="701">
        <v>704.58979999999997</v>
      </c>
      <c r="E46" s="982">
        <v>1.9402154087738922E-2</v>
      </c>
      <c r="F46" s="701"/>
      <c r="G46" s="982">
        <v>0</v>
      </c>
      <c r="H46" s="701"/>
      <c r="I46" s="982">
        <v>0</v>
      </c>
      <c r="J46" s="2347">
        <v>36315.029600000002</v>
      </c>
      <c r="K46" s="982">
        <v>1</v>
      </c>
    </row>
    <row r="47" spans="1:11" x14ac:dyDescent="0.3">
      <c r="A47" s="669">
        <v>2018</v>
      </c>
      <c r="B47" s="701">
        <v>316412.49799999996</v>
      </c>
      <c r="C47" s="982">
        <v>0.99965531578037847</v>
      </c>
      <c r="D47" s="701">
        <v>109.10000000000001</v>
      </c>
      <c r="E47" s="982">
        <v>3.4468421962156285E-4</v>
      </c>
      <c r="F47" s="701"/>
      <c r="G47" s="982">
        <v>0</v>
      </c>
      <c r="H47" s="701"/>
      <c r="I47" s="982">
        <v>0</v>
      </c>
      <c r="J47" s="2347">
        <v>316521.59799999994</v>
      </c>
      <c r="K47" s="982">
        <v>1</v>
      </c>
    </row>
    <row r="48" spans="1:11" x14ac:dyDescent="0.3">
      <c r="A48" s="669">
        <v>2019</v>
      </c>
      <c r="B48" s="701">
        <v>160542.96</v>
      </c>
      <c r="C48" s="982">
        <v>1</v>
      </c>
      <c r="D48" s="701">
        <v>0</v>
      </c>
      <c r="E48" s="982">
        <v>0</v>
      </c>
      <c r="F48" s="701"/>
      <c r="G48" s="982">
        <v>0</v>
      </c>
      <c r="H48" s="701"/>
      <c r="I48" s="982">
        <v>0</v>
      </c>
      <c r="J48" s="2347">
        <v>160542.96</v>
      </c>
      <c r="K48" s="982">
        <v>1</v>
      </c>
    </row>
    <row r="49" spans="1:11" x14ac:dyDescent="0.3">
      <c r="A49" s="669">
        <v>2020</v>
      </c>
      <c r="B49" s="701">
        <v>541759.245</v>
      </c>
      <c r="C49" s="982">
        <v>1</v>
      </c>
      <c r="D49" s="701">
        <v>0</v>
      </c>
      <c r="E49" s="982">
        <v>0</v>
      </c>
      <c r="F49" s="701"/>
      <c r="G49" s="982">
        <v>0</v>
      </c>
      <c r="H49" s="701"/>
      <c r="I49" s="982">
        <v>0</v>
      </c>
      <c r="J49" s="2347">
        <v>541759.245</v>
      </c>
      <c r="K49" s="982">
        <v>1</v>
      </c>
    </row>
    <row r="50" spans="1:11" x14ac:dyDescent="0.3">
      <c r="A50" s="669">
        <v>2021</v>
      </c>
      <c r="B50" s="701">
        <v>179224.00100000002</v>
      </c>
      <c r="C50" s="982">
        <v>1</v>
      </c>
      <c r="D50" s="701">
        <v>0</v>
      </c>
      <c r="E50" s="982">
        <v>0</v>
      </c>
      <c r="F50" s="701"/>
      <c r="G50" s="982">
        <v>0</v>
      </c>
      <c r="H50" s="701"/>
      <c r="I50" s="982">
        <v>0</v>
      </c>
      <c r="J50" s="2347">
        <v>179224.00100000002</v>
      </c>
      <c r="K50" s="982">
        <v>1</v>
      </c>
    </row>
    <row r="51" spans="1:11" x14ac:dyDescent="0.3">
      <c r="A51" s="669">
        <v>2022</v>
      </c>
      <c r="B51" s="701">
        <v>18430.831999999999</v>
      </c>
      <c r="C51" s="982">
        <v>0.96739130434782616</v>
      </c>
      <c r="D51" s="701">
        <v>621.26400000000001</v>
      </c>
      <c r="E51" s="982">
        <v>3.2608695652173919E-2</v>
      </c>
      <c r="F51" s="701"/>
      <c r="G51" s="982">
        <v>0</v>
      </c>
      <c r="H51" s="701"/>
      <c r="I51" s="982">
        <v>0</v>
      </c>
      <c r="J51" s="2347">
        <v>19052.095999999998</v>
      </c>
      <c r="K51" s="982">
        <v>1</v>
      </c>
    </row>
  </sheetData>
  <sheetProtection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544" t="s">
        <v>13</v>
      </c>
      <c r="B1" s="2585" t="s">
        <v>210</v>
      </c>
      <c r="C1" s="2587" t="s">
        <v>392</v>
      </c>
      <c r="D1" s="2589" t="s">
        <v>393</v>
      </c>
      <c r="E1" s="2591" t="s">
        <v>506</v>
      </c>
      <c r="F1" s="2581" t="s">
        <v>399</v>
      </c>
      <c r="G1" s="2579" t="s">
        <v>507</v>
      </c>
      <c r="H1" s="2544" t="s">
        <v>508</v>
      </c>
      <c r="I1" s="2581" t="s">
        <v>509</v>
      </c>
      <c r="J1" s="2595" t="s">
        <v>510</v>
      </c>
      <c r="K1" s="2595" t="s">
        <v>631</v>
      </c>
      <c r="L1" s="2597" t="s">
        <v>512</v>
      </c>
      <c r="M1" s="2593" t="s">
        <v>631</v>
      </c>
    </row>
    <row r="2" spans="1:14" ht="46.95" customHeight="1" thickBot="1" x14ac:dyDescent="0.35">
      <c r="A2" s="2545"/>
      <c r="B2" s="2586"/>
      <c r="C2" s="2588"/>
      <c r="D2" s="2590"/>
      <c r="E2" s="2592"/>
      <c r="F2" s="2582"/>
      <c r="G2" s="2580"/>
      <c r="H2" s="2545"/>
      <c r="I2" s="2582"/>
      <c r="J2" s="2596"/>
      <c r="K2" s="2596"/>
      <c r="L2" s="2598"/>
      <c r="M2" s="2594"/>
    </row>
    <row r="3" spans="1:14" ht="58.2" thickBot="1" x14ac:dyDescent="0.35">
      <c r="A3" s="913" t="s">
        <v>243</v>
      </c>
      <c r="B3" s="914">
        <v>2020</v>
      </c>
      <c r="C3" s="932">
        <f>VLOOKUP(B3,Smolt_Abundance,5)</f>
        <v>2540161</v>
      </c>
      <c r="D3" s="929">
        <v>91420.560052883011</v>
      </c>
      <c r="E3" s="915">
        <v>0.10017725419672734</v>
      </c>
      <c r="F3" s="920" t="s">
        <v>516</v>
      </c>
      <c r="G3" s="994" t="str">
        <f>"Mediocre year for 4-ocean fish returning in " &amp; $B$7</f>
        <v>Mediocre year for 4-ocean fish returning in 2024</v>
      </c>
      <c r="H3" s="996" t="s">
        <v>515</v>
      </c>
      <c r="I3" s="909">
        <f>0</f>
        <v>0</v>
      </c>
      <c r="J3" s="2036">
        <f ca="1">AVERAGEIF(NOAA_OCI_MeanRanks,"&gt;=10",'Smolt to Adult Survival'!$E$22:$E$45)</f>
        <v>5.0945739897827656E-2</v>
      </c>
      <c r="K3" s="2037">
        <f ca="1">J3*I3*C3</f>
        <v>0</v>
      </c>
      <c r="L3" s="927">
        <f ca="1">AVERAGEIF('Smolt to Adult Survival'!$M$30:$M$45,"&gt;=10",'Smolt to Adult Survival'!$E$30:$E$45)</f>
        <v>5.6155144098991402E-2</v>
      </c>
      <c r="M3" s="924">
        <f ca="1">L3*I3*C3</f>
        <v>0</v>
      </c>
    </row>
    <row r="4" spans="1:14" ht="58.2" thickBot="1" x14ac:dyDescent="0.35">
      <c r="A4" s="450" t="s">
        <v>243</v>
      </c>
      <c r="B4" s="906">
        <v>2021</v>
      </c>
      <c r="C4" s="933">
        <f>VLOOKUP(B4,Smolt_Abundance,5)</f>
        <v>1464091</v>
      </c>
      <c r="D4" s="930">
        <v>557876.03585206589</v>
      </c>
      <c r="E4" s="907">
        <v>0.21962231364549958</v>
      </c>
      <c r="F4" s="911" t="s">
        <v>519</v>
      </c>
      <c r="G4" s="993" t="str">
        <f>"Good year for 3-ocean fish returning in " &amp; $B$7</f>
        <v>Good year for 3-ocean fish returning in 2024</v>
      </c>
      <c r="H4" s="911" t="s">
        <v>518</v>
      </c>
      <c r="I4" s="909">
        <f>'Adult Returns Data'!J69</f>
        <v>7.1777643921627582E-2</v>
      </c>
      <c r="J4" s="2038">
        <f ca="1">AVERAGEIF(NOAA_OCI_MeanRanks,"&lt;10",'Smolt to Adult Survival'!$E$22:$E$45)</f>
        <v>7.1371555189223862E-2</v>
      </c>
      <c r="K4" s="2039">
        <f ca="1">J4*I4*C4</f>
        <v>7500.3655393439567</v>
      </c>
      <c r="L4" s="2033">
        <f ca="1">AVERAGEIF('Smolt to Adult Survival'!$M$30:$M$45,"&lt;10",'Smolt to Adult Survival'!$E$30:$E$45)</f>
        <v>9.972723924532656E-2</v>
      </c>
      <c r="M4" s="2034">
        <f ca="1">L4*I4*C4</f>
        <v>10480.236091065224</v>
      </c>
    </row>
    <row r="5" spans="1:14" ht="58.2" thickBot="1" x14ac:dyDescent="0.35">
      <c r="A5" s="450" t="s">
        <v>243</v>
      </c>
      <c r="B5" s="906">
        <v>2022</v>
      </c>
      <c r="C5" s="933">
        <f>VLOOKUP(B5,Smolt_Abundance,5)</f>
        <v>3673223</v>
      </c>
      <c r="D5" s="930" t="s">
        <v>257</v>
      </c>
      <c r="E5" s="907" t="s">
        <v>257</v>
      </c>
      <c r="F5" s="920" t="s">
        <v>516</v>
      </c>
      <c r="G5" s="994" t="str">
        <f>"Mediocre year for 2-ocean fish returning in " &amp; $B$7</f>
        <v>Mediocre year for 2-ocean fish returning in 2024</v>
      </c>
      <c r="H5" s="996" t="s">
        <v>521</v>
      </c>
      <c r="I5" s="909">
        <f>'Adult Returns Data'!I69</f>
        <v>0.84698222527411882</v>
      </c>
      <c r="J5" s="2036">
        <f ca="1">AVERAGEIF(NOAA_OCI_MeanRanks,"&gt;=10",'Smolt to Adult Survival'!$E$22:$E$45)</f>
        <v>5.0945739897827656E-2</v>
      </c>
      <c r="K5" s="2037">
        <f ca="1">J5*I5*C5</f>
        <v>158500.07254791906</v>
      </c>
      <c r="L5" s="927">
        <f ca="1">AVERAGEIF('Smolt to Adult Survival'!$M$30:$M$45,"&gt;=10",'Smolt to Adult Survival'!$E$30:$E$45)</f>
        <v>5.6155144098991402E-2</v>
      </c>
      <c r="M5" s="924">
        <f ca="1">L5*I5*C5</f>
        <v>174707.3343419733</v>
      </c>
    </row>
    <row r="6" spans="1:14" ht="58.2" thickBot="1" x14ac:dyDescent="0.35">
      <c r="A6" s="934" t="s">
        <v>243</v>
      </c>
      <c r="B6" s="935">
        <v>2023</v>
      </c>
      <c r="C6" s="2035">
        <v>1212000</v>
      </c>
      <c r="D6" s="931" t="s">
        <v>257</v>
      </c>
      <c r="E6" s="919" t="s">
        <v>257</v>
      </c>
      <c r="F6" s="920" t="s">
        <v>516</v>
      </c>
      <c r="G6" s="994" t="str">
        <f>"Mediocre year for 1-ocean fish returning in " &amp; $B$7</f>
        <v>Mediocre year for 1-ocean fish returning in 2024</v>
      </c>
      <c r="H6" s="996" t="s">
        <v>523</v>
      </c>
      <c r="I6" s="909">
        <f>'Adult Returns Data'!H69</f>
        <v>8.1240130804253519E-2</v>
      </c>
      <c r="J6" s="2036">
        <f ca="1">AVERAGEIF(NOAA_OCI_MeanRanks,"&gt;=10",'Smolt to Adult Survival'!$E$22:$E$45)</f>
        <v>5.0945739897827656E-2</v>
      </c>
      <c r="K6" s="2037">
        <f ca="1">J6*I6*C6</f>
        <v>5016.2723507414239</v>
      </c>
      <c r="L6" s="927">
        <f ca="1">AVERAGEIF('Smolt to Adult Survival'!$M$30:$M$45,"&gt;=10",'Smolt to Adult Survival'!$E$30:$E$45)</f>
        <v>5.6155144098991402E-2</v>
      </c>
      <c r="M6" s="924">
        <f ca="1">L6*I6*C6</f>
        <v>5529.2061173437251</v>
      </c>
    </row>
    <row r="7" spans="1:14" ht="37.950000000000003" customHeight="1" thickBot="1" x14ac:dyDescent="0.35">
      <c r="A7" s="921" t="s">
        <v>243</v>
      </c>
      <c r="B7" s="922">
        <v>2024</v>
      </c>
      <c r="C7" s="2577"/>
      <c r="D7" s="2578"/>
      <c r="E7" s="2578"/>
      <c r="F7" s="2578"/>
      <c r="G7" s="2578"/>
      <c r="H7" s="2578"/>
      <c r="I7" s="2578"/>
      <c r="J7" s="2578"/>
      <c r="K7" s="2046">
        <f ca="1">SUM(K3:K6)</f>
        <v>171016.71043800446</v>
      </c>
      <c r="L7" s="937" t="s">
        <v>524</v>
      </c>
      <c r="M7" s="938">
        <f ca="1">SUM(M3:M6)</f>
        <v>190716.77655038226</v>
      </c>
      <c r="N7" s="2040" t="s">
        <v>525</v>
      </c>
    </row>
    <row r="8" spans="1:14" ht="15" thickBot="1" x14ac:dyDescent="0.35">
      <c r="I8" s="1062"/>
      <c r="J8" s="1063" t="s">
        <v>526</v>
      </c>
      <c r="K8" s="2048">
        <v>0.15</v>
      </c>
      <c r="L8" s="1062" t="s">
        <v>527</v>
      </c>
      <c r="N8" s="318"/>
    </row>
    <row r="9" spans="1:14" x14ac:dyDescent="0.3">
      <c r="A9" s="1002" t="s">
        <v>528</v>
      </c>
      <c r="B9" s="316" t="s">
        <v>529</v>
      </c>
      <c r="C9" s="1004"/>
      <c r="J9" s="2043" t="s">
        <v>530</v>
      </c>
      <c r="K9" s="2047">
        <f ca="1">$K$7-$K$7*$K$8</f>
        <v>145364.2038723038</v>
      </c>
      <c r="M9" s="2041">
        <f ca="1">$M$7-$M$7*$K$8</f>
        <v>162109.26006782491</v>
      </c>
      <c r="N9" s="2575" t="s">
        <v>525</v>
      </c>
    </row>
    <row r="10" spans="1:14" ht="15" thickBot="1" x14ac:dyDescent="0.35">
      <c r="B10" t="s">
        <v>531</v>
      </c>
      <c r="C10" s="713"/>
      <c r="J10" s="2044" t="s">
        <v>532</v>
      </c>
      <c r="K10" s="2045">
        <f ca="1">$K$7+$K$7*$K$8</f>
        <v>196669.21700370513</v>
      </c>
      <c r="M10" s="2042">
        <f ca="1">$M$7+$M$7*$K$8</f>
        <v>219324.2930329396</v>
      </c>
      <c r="N10" s="2576"/>
    </row>
    <row r="11" spans="1:14" x14ac:dyDescent="0.3">
      <c r="B11" t="s">
        <v>533</v>
      </c>
      <c r="C11" s="713"/>
    </row>
    <row r="12" spans="1:14" x14ac:dyDescent="0.3">
      <c r="B12" t="s">
        <v>343</v>
      </c>
      <c r="C12" s="713"/>
    </row>
    <row r="13" spans="1:14" x14ac:dyDescent="0.3">
      <c r="B13" t="s">
        <v>221</v>
      </c>
      <c r="C13" s="713"/>
    </row>
    <row r="14" spans="1:14" x14ac:dyDescent="0.3">
      <c r="A14" t="s">
        <v>534</v>
      </c>
      <c r="B14" s="1003" t="s">
        <v>535</v>
      </c>
      <c r="C14" s="664"/>
    </row>
    <row r="15" spans="1:14" x14ac:dyDescent="0.3">
      <c r="C15" s="442"/>
    </row>
  </sheetData>
  <mergeCells count="15">
    <mergeCell ref="A1:A2"/>
    <mergeCell ref="B1:B2"/>
    <mergeCell ref="C1:C2"/>
    <mergeCell ref="D1:D2"/>
    <mergeCell ref="E1:E2"/>
    <mergeCell ref="M1:M2"/>
    <mergeCell ref="C7:J7"/>
    <mergeCell ref="N9:N10"/>
    <mergeCell ref="G1:G2"/>
    <mergeCell ref="H1:H2"/>
    <mergeCell ref="I1:I2"/>
    <mergeCell ref="J1:J2"/>
    <mergeCell ref="K1:K2"/>
    <mergeCell ref="L1:L2"/>
    <mergeCell ref="F1:F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4"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5" t="s">
        <v>383</v>
      </c>
      <c r="B1" s="985" t="s">
        <v>632</v>
      </c>
      <c r="C1" s="985" t="s">
        <v>633</v>
      </c>
      <c r="D1" s="985" t="s">
        <v>634</v>
      </c>
      <c r="E1" s="1463" t="s">
        <v>635</v>
      </c>
      <c r="F1" s="985" t="s">
        <v>636</v>
      </c>
      <c r="G1" s="1464" t="s">
        <v>637</v>
      </c>
      <c r="H1" s="1464" t="s">
        <v>638</v>
      </c>
      <c r="I1" s="985" t="s">
        <v>639</v>
      </c>
      <c r="J1" s="985" t="s">
        <v>640</v>
      </c>
      <c r="K1" s="1463" t="s">
        <v>641</v>
      </c>
      <c r="L1" s="985"/>
      <c r="M1" s="1465" t="s">
        <v>642</v>
      </c>
    </row>
    <row r="2" spans="1:13" x14ac:dyDescent="0.3">
      <c r="A2">
        <v>1980</v>
      </c>
      <c r="B2" s="444">
        <v>58886</v>
      </c>
      <c r="C2" s="2312">
        <v>4</v>
      </c>
      <c r="D2" s="444">
        <v>58882</v>
      </c>
      <c r="E2" s="1459">
        <f>B2-(D2+C2)</f>
        <v>0</v>
      </c>
      <c r="F2">
        <v>636</v>
      </c>
      <c r="G2" s="1460">
        <f>F2+C2</f>
        <v>640</v>
      </c>
      <c r="H2" s="1460">
        <f>SUM(-G2,D2)</f>
        <v>58242</v>
      </c>
      <c r="J2" s="444">
        <v>26573</v>
      </c>
      <c r="K2" s="1461"/>
      <c r="M2" s="1212">
        <f>G2/B2</f>
        <v>1.0868457697924805E-2</v>
      </c>
    </row>
    <row r="3" spans="1:13" x14ac:dyDescent="0.3">
      <c r="A3">
        <v>1981</v>
      </c>
      <c r="B3" s="444">
        <v>56037</v>
      </c>
      <c r="C3" s="2312">
        <v>0</v>
      </c>
      <c r="D3" s="444">
        <v>56037</v>
      </c>
      <c r="E3" s="1459">
        <f t="shared" ref="E3:E43" si="0">B3-(D3+C3)</f>
        <v>0</v>
      </c>
      <c r="F3" s="444">
        <v>1507</v>
      </c>
      <c r="G3" s="1460">
        <f t="shared" ref="G3:G43" si="1">F3+C3</f>
        <v>1507</v>
      </c>
      <c r="H3" s="1460">
        <f t="shared" ref="H3:H43" si="2">SUM(-G3,D3)</f>
        <v>54530</v>
      </c>
      <c r="J3" s="444">
        <v>28234</v>
      </c>
      <c r="K3" s="1461"/>
      <c r="M3" s="1212">
        <f t="shared" ref="M3:M43" si="3">G3/B3</f>
        <v>2.6892945732284027E-2</v>
      </c>
    </row>
    <row r="4" spans="1:13" x14ac:dyDescent="0.3">
      <c r="A4">
        <v>1982</v>
      </c>
      <c r="B4" s="444">
        <v>50319</v>
      </c>
      <c r="C4" s="2312">
        <v>100</v>
      </c>
      <c r="D4" s="444">
        <v>50219</v>
      </c>
      <c r="E4" s="1459">
        <f t="shared" si="0"/>
        <v>0</v>
      </c>
      <c r="F4">
        <v>775</v>
      </c>
      <c r="G4" s="1460">
        <f t="shared" si="1"/>
        <v>875</v>
      </c>
      <c r="H4" s="1460">
        <f t="shared" si="2"/>
        <v>49344</v>
      </c>
      <c r="J4" s="444">
        <v>19005</v>
      </c>
      <c r="K4" s="1461"/>
      <c r="M4" s="1212">
        <f t="shared" si="3"/>
        <v>1.738905781116477E-2</v>
      </c>
    </row>
    <row r="5" spans="1:13" x14ac:dyDescent="0.3">
      <c r="A5">
        <v>1983</v>
      </c>
      <c r="B5" s="444">
        <v>100610</v>
      </c>
      <c r="C5" s="2312">
        <v>83</v>
      </c>
      <c r="D5" s="444">
        <v>100527</v>
      </c>
      <c r="E5" s="1459">
        <f t="shared" si="0"/>
        <v>0</v>
      </c>
      <c r="F5" s="444">
        <v>3349</v>
      </c>
      <c r="G5" s="1460">
        <f t="shared" si="1"/>
        <v>3432</v>
      </c>
      <c r="H5" s="1460">
        <f t="shared" si="2"/>
        <v>97095</v>
      </c>
      <c r="J5" s="444">
        <v>27925</v>
      </c>
      <c r="K5" s="1461"/>
      <c r="M5" s="1212">
        <f t="shared" si="3"/>
        <v>3.41119173044429E-2</v>
      </c>
    </row>
    <row r="6" spans="1:13" x14ac:dyDescent="0.3">
      <c r="A6">
        <v>1984</v>
      </c>
      <c r="B6" s="444">
        <v>161890</v>
      </c>
      <c r="C6" s="2313">
        <v>9345</v>
      </c>
      <c r="D6" s="444">
        <v>152545</v>
      </c>
      <c r="E6" s="1459">
        <f t="shared" si="0"/>
        <v>0</v>
      </c>
      <c r="F6" s="444">
        <v>24616</v>
      </c>
      <c r="G6" s="1460">
        <f t="shared" si="1"/>
        <v>33961</v>
      </c>
      <c r="H6" s="1460">
        <f t="shared" si="2"/>
        <v>118584</v>
      </c>
      <c r="J6" s="444">
        <v>81054</v>
      </c>
      <c r="K6" s="1461"/>
      <c r="M6" s="1212">
        <f t="shared" si="3"/>
        <v>0.20977824448699733</v>
      </c>
    </row>
    <row r="7" spans="1:13" x14ac:dyDescent="0.3">
      <c r="A7">
        <v>1985</v>
      </c>
      <c r="B7" s="444">
        <v>200758</v>
      </c>
      <c r="C7" s="2313">
        <v>32213</v>
      </c>
      <c r="D7" s="444">
        <v>166340</v>
      </c>
      <c r="E7" s="1459">
        <f t="shared" si="0"/>
        <v>2205</v>
      </c>
      <c r="F7" s="444">
        <v>49969</v>
      </c>
      <c r="G7" s="1460">
        <f t="shared" si="1"/>
        <v>82182</v>
      </c>
      <c r="H7" s="1460">
        <f t="shared" si="2"/>
        <v>84158</v>
      </c>
      <c r="J7" s="444">
        <v>52989</v>
      </c>
      <c r="K7" s="1461"/>
      <c r="M7" s="1212">
        <f t="shared" si="3"/>
        <v>0.40935853116687754</v>
      </c>
    </row>
    <row r="8" spans="1:13" x14ac:dyDescent="0.3">
      <c r="A8">
        <v>1986</v>
      </c>
      <c r="B8" s="444">
        <v>59963</v>
      </c>
      <c r="C8" s="2313">
        <v>1840</v>
      </c>
      <c r="D8" s="444">
        <v>58123</v>
      </c>
      <c r="E8" s="1459">
        <f t="shared" si="0"/>
        <v>0</v>
      </c>
      <c r="F8" s="444">
        <v>6672</v>
      </c>
      <c r="G8" s="1460">
        <f t="shared" si="1"/>
        <v>8512</v>
      </c>
      <c r="H8" s="1460">
        <f t="shared" si="2"/>
        <v>49611</v>
      </c>
      <c r="J8" s="444">
        <v>34788</v>
      </c>
      <c r="K8" s="1461"/>
      <c r="M8" s="1212">
        <f t="shared" si="3"/>
        <v>0.14195420509314077</v>
      </c>
    </row>
    <row r="9" spans="1:13" x14ac:dyDescent="0.3">
      <c r="A9">
        <v>1987</v>
      </c>
      <c r="B9" s="444">
        <v>145546</v>
      </c>
      <c r="C9" s="2313">
        <v>28553</v>
      </c>
      <c r="D9" s="444">
        <v>116993</v>
      </c>
      <c r="E9" s="1459">
        <f t="shared" si="0"/>
        <v>0</v>
      </c>
      <c r="F9" s="444">
        <v>39560</v>
      </c>
      <c r="G9" s="1460">
        <f t="shared" si="1"/>
        <v>68113</v>
      </c>
      <c r="H9" s="1460">
        <f t="shared" si="2"/>
        <v>48880</v>
      </c>
      <c r="J9" s="444">
        <v>40120</v>
      </c>
      <c r="K9" s="1461"/>
      <c r="M9" s="1212">
        <f t="shared" si="3"/>
        <v>0.46798263092080855</v>
      </c>
    </row>
    <row r="10" spans="1:13" x14ac:dyDescent="0.3">
      <c r="A10">
        <v>1988</v>
      </c>
      <c r="B10" s="444">
        <v>99780</v>
      </c>
      <c r="C10" s="2313">
        <v>17632</v>
      </c>
      <c r="D10" s="444">
        <v>79714</v>
      </c>
      <c r="E10" s="1459">
        <f t="shared" si="0"/>
        <v>2434</v>
      </c>
      <c r="F10" s="444">
        <v>30990</v>
      </c>
      <c r="G10" s="1460">
        <f t="shared" si="1"/>
        <v>48622</v>
      </c>
      <c r="H10" s="1460">
        <f t="shared" si="2"/>
        <v>31092</v>
      </c>
      <c r="J10" s="444">
        <v>33978</v>
      </c>
      <c r="K10" s="1461"/>
      <c r="M10" s="1212">
        <f t="shared" si="3"/>
        <v>0.48729204249348568</v>
      </c>
    </row>
    <row r="11" spans="1:13" x14ac:dyDescent="0.3">
      <c r="A11">
        <v>1989</v>
      </c>
      <c r="B11" s="444">
        <v>47478</v>
      </c>
      <c r="C11" s="2312">
        <v>36</v>
      </c>
      <c r="D11" s="444">
        <v>41884</v>
      </c>
      <c r="E11" s="1459">
        <f t="shared" si="0"/>
        <v>5558</v>
      </c>
      <c r="F11" s="444">
        <v>2138</v>
      </c>
      <c r="G11" s="1460">
        <f t="shared" si="1"/>
        <v>2174</v>
      </c>
      <c r="H11" s="1460">
        <f t="shared" si="2"/>
        <v>39710</v>
      </c>
      <c r="J11" s="444">
        <v>15976</v>
      </c>
      <c r="K11" s="1461"/>
      <c r="M11" s="1212">
        <f t="shared" si="3"/>
        <v>4.5789628880744768E-2</v>
      </c>
    </row>
    <row r="12" spans="1:13" x14ac:dyDescent="0.3">
      <c r="A12">
        <v>1990</v>
      </c>
      <c r="B12" s="444">
        <v>49754</v>
      </c>
      <c r="C12" s="2312">
        <v>173</v>
      </c>
      <c r="D12" s="444">
        <v>49581</v>
      </c>
      <c r="E12" s="1459">
        <f t="shared" si="0"/>
        <v>0</v>
      </c>
      <c r="F12" s="444">
        <v>2716</v>
      </c>
      <c r="G12" s="1460">
        <f t="shared" si="1"/>
        <v>2889</v>
      </c>
      <c r="H12" s="1460">
        <f t="shared" si="2"/>
        <v>46692</v>
      </c>
      <c r="J12" s="444">
        <v>7609</v>
      </c>
      <c r="K12" s="1461"/>
      <c r="M12" s="1212">
        <f t="shared" si="3"/>
        <v>5.8065683161152869E-2</v>
      </c>
    </row>
    <row r="13" spans="1:13" x14ac:dyDescent="0.3">
      <c r="A13">
        <v>1991</v>
      </c>
      <c r="B13" s="444">
        <v>76484</v>
      </c>
      <c r="C13" s="2312">
        <v>3</v>
      </c>
      <c r="D13" s="444">
        <v>76481</v>
      </c>
      <c r="E13" s="1459">
        <f t="shared" si="0"/>
        <v>0</v>
      </c>
      <c r="F13" s="444">
        <v>3271</v>
      </c>
      <c r="G13" s="1460">
        <f t="shared" si="1"/>
        <v>3274</v>
      </c>
      <c r="H13" s="1460">
        <f t="shared" si="2"/>
        <v>73207</v>
      </c>
      <c r="J13" s="444">
        <v>27490</v>
      </c>
      <c r="K13" s="1461"/>
      <c r="M13" s="1212">
        <f t="shared" si="3"/>
        <v>4.2806338580618171E-2</v>
      </c>
    </row>
    <row r="14" spans="1:13" x14ac:dyDescent="0.3">
      <c r="A14">
        <v>1992</v>
      </c>
      <c r="B14" s="444">
        <v>85000</v>
      </c>
      <c r="C14" s="2312">
        <v>8</v>
      </c>
      <c r="D14" s="444">
        <v>84992</v>
      </c>
      <c r="E14" s="1459">
        <f t="shared" si="0"/>
        <v>0</v>
      </c>
      <c r="F14" s="444">
        <v>2185</v>
      </c>
      <c r="G14" s="1460">
        <f t="shared" si="1"/>
        <v>2193</v>
      </c>
      <c r="H14" s="1460">
        <f t="shared" si="2"/>
        <v>82799</v>
      </c>
      <c r="J14" s="444">
        <v>41951</v>
      </c>
      <c r="K14" s="1461"/>
      <c r="M14" s="1212">
        <f t="shared" si="3"/>
        <v>2.58E-2</v>
      </c>
    </row>
    <row r="15" spans="1:13" x14ac:dyDescent="0.3">
      <c r="A15">
        <v>1993</v>
      </c>
      <c r="B15" s="444">
        <v>88025</v>
      </c>
      <c r="C15" s="2312">
        <v>64</v>
      </c>
      <c r="D15" s="444">
        <v>80178</v>
      </c>
      <c r="E15" s="1459">
        <f t="shared" si="0"/>
        <v>7783</v>
      </c>
      <c r="F15" s="444">
        <v>5020</v>
      </c>
      <c r="G15" s="1460">
        <f t="shared" si="1"/>
        <v>5084</v>
      </c>
      <c r="H15" s="1460">
        <f t="shared" si="2"/>
        <v>75094</v>
      </c>
      <c r="J15" s="444">
        <v>27849</v>
      </c>
      <c r="K15" s="1461"/>
      <c r="M15" s="1212">
        <f t="shared" si="3"/>
        <v>5.7756319227492192E-2</v>
      </c>
    </row>
    <row r="16" spans="1:13" x14ac:dyDescent="0.3">
      <c r="A16">
        <v>1994</v>
      </c>
      <c r="B16" s="444">
        <v>12873</v>
      </c>
      <c r="C16" s="2312">
        <v>1</v>
      </c>
      <c r="D16" s="444">
        <v>12678</v>
      </c>
      <c r="E16" s="1459">
        <f t="shared" si="0"/>
        <v>194</v>
      </c>
      <c r="F16">
        <v>472</v>
      </c>
      <c r="G16" s="1460">
        <f t="shared" si="1"/>
        <v>473</v>
      </c>
      <c r="H16" s="1460">
        <f t="shared" si="2"/>
        <v>12205</v>
      </c>
      <c r="J16" s="444">
        <v>1666</v>
      </c>
      <c r="K16" s="1461"/>
      <c r="M16" s="1212">
        <f t="shared" si="3"/>
        <v>3.6743571816981277E-2</v>
      </c>
    </row>
    <row r="17" spans="1:13" x14ac:dyDescent="0.3">
      <c r="A17">
        <v>1995</v>
      </c>
      <c r="B17" s="444">
        <v>9913</v>
      </c>
      <c r="C17" s="2312">
        <v>1</v>
      </c>
      <c r="D17" s="444">
        <v>8774</v>
      </c>
      <c r="E17" s="1459">
        <f t="shared" si="0"/>
        <v>1138</v>
      </c>
      <c r="F17">
        <v>445</v>
      </c>
      <c r="G17" s="1460">
        <f t="shared" si="1"/>
        <v>446</v>
      </c>
      <c r="H17" s="1460">
        <f t="shared" si="2"/>
        <v>8328</v>
      </c>
      <c r="J17" s="444">
        <v>4892</v>
      </c>
      <c r="K17" s="1461"/>
      <c r="M17" s="1212">
        <f t="shared" si="3"/>
        <v>4.4991425400988598E-2</v>
      </c>
    </row>
    <row r="18" spans="1:13" x14ac:dyDescent="0.3">
      <c r="A18">
        <v>1996</v>
      </c>
      <c r="B18" s="444">
        <v>30942</v>
      </c>
      <c r="C18" s="2312">
        <v>25</v>
      </c>
      <c r="D18" s="444">
        <v>30232</v>
      </c>
      <c r="E18" s="1459">
        <f t="shared" si="0"/>
        <v>685</v>
      </c>
      <c r="F18" s="444">
        <v>1414</v>
      </c>
      <c r="G18" s="1460">
        <f t="shared" si="1"/>
        <v>1439</v>
      </c>
      <c r="H18" s="1460">
        <f t="shared" si="2"/>
        <v>28793</v>
      </c>
      <c r="J18" s="444">
        <v>17701</v>
      </c>
      <c r="K18" s="1461"/>
      <c r="M18" s="1212">
        <f t="shared" si="3"/>
        <v>4.6506366750694847E-2</v>
      </c>
    </row>
    <row r="19" spans="1:13" x14ac:dyDescent="0.3">
      <c r="A19">
        <v>1997</v>
      </c>
      <c r="B19" s="444">
        <v>49979</v>
      </c>
      <c r="C19" s="2312">
        <v>12</v>
      </c>
      <c r="D19" s="444">
        <v>47008</v>
      </c>
      <c r="E19" s="1459">
        <f t="shared" si="0"/>
        <v>2959</v>
      </c>
      <c r="F19" s="444">
        <v>2046</v>
      </c>
      <c r="G19" s="1460">
        <f t="shared" si="1"/>
        <v>2058</v>
      </c>
      <c r="H19" s="1460">
        <f t="shared" si="2"/>
        <v>44950</v>
      </c>
      <c r="J19" s="444">
        <v>24621</v>
      </c>
      <c r="K19" s="1461"/>
      <c r="M19" s="1212">
        <f t="shared" si="3"/>
        <v>4.1177294463674741E-2</v>
      </c>
    </row>
    <row r="20" spans="1:13" x14ac:dyDescent="0.3">
      <c r="A20">
        <v>1998</v>
      </c>
      <c r="B20" s="444">
        <v>13220</v>
      </c>
      <c r="C20" s="2312">
        <v>2</v>
      </c>
      <c r="D20" s="444">
        <v>13218</v>
      </c>
      <c r="E20" s="1459">
        <f t="shared" si="0"/>
        <v>0</v>
      </c>
      <c r="F20">
        <v>425</v>
      </c>
      <c r="G20" s="1460">
        <f t="shared" si="1"/>
        <v>427</v>
      </c>
      <c r="H20" s="1460">
        <f t="shared" si="2"/>
        <v>12791</v>
      </c>
      <c r="J20" s="444">
        <v>4664</v>
      </c>
      <c r="K20" s="1461"/>
      <c r="M20" s="1212">
        <f t="shared" si="3"/>
        <v>3.2299546142208778E-2</v>
      </c>
    </row>
    <row r="21" spans="1:13" x14ac:dyDescent="0.3">
      <c r="A21">
        <v>1999</v>
      </c>
      <c r="B21" s="444">
        <v>19094</v>
      </c>
      <c r="C21" s="2312">
        <v>1</v>
      </c>
      <c r="D21" s="444">
        <v>17877</v>
      </c>
      <c r="E21" s="1459">
        <f t="shared" si="0"/>
        <v>1216</v>
      </c>
      <c r="F21">
        <v>704</v>
      </c>
      <c r="G21" s="1460">
        <f t="shared" si="1"/>
        <v>705</v>
      </c>
      <c r="H21" s="1460">
        <f t="shared" si="2"/>
        <v>17172</v>
      </c>
      <c r="I21" s="444">
        <v>1172</v>
      </c>
      <c r="J21" s="444">
        <v>12388</v>
      </c>
      <c r="K21" s="1462">
        <f>H21-(I21+J21)</f>
        <v>3612</v>
      </c>
      <c r="M21" s="1212">
        <f t="shared" si="3"/>
        <v>3.6922593484864354E-2</v>
      </c>
    </row>
    <row r="22" spans="1:13" x14ac:dyDescent="0.3">
      <c r="A22">
        <v>2000</v>
      </c>
      <c r="B22" s="444">
        <v>93764</v>
      </c>
      <c r="C22" s="2312">
        <v>366</v>
      </c>
      <c r="D22" s="444">
        <v>93398</v>
      </c>
      <c r="E22" s="1459">
        <f t="shared" si="0"/>
        <v>0</v>
      </c>
      <c r="F22" s="444">
        <v>2910</v>
      </c>
      <c r="G22" s="1460">
        <f t="shared" si="1"/>
        <v>3276</v>
      </c>
      <c r="H22" s="1460">
        <f t="shared" si="2"/>
        <v>90122</v>
      </c>
      <c r="I22" s="444">
        <v>20979</v>
      </c>
      <c r="J22" s="444">
        <v>59944</v>
      </c>
      <c r="K22" s="1462">
        <f t="shared" ref="K22:K43" si="4">H22-(I22+J22)</f>
        <v>9199</v>
      </c>
      <c r="M22" s="1212">
        <f t="shared" si="3"/>
        <v>3.4938782475150379E-2</v>
      </c>
    </row>
    <row r="23" spans="1:13" x14ac:dyDescent="0.3">
      <c r="A23">
        <v>2001</v>
      </c>
      <c r="B23" s="444">
        <v>117879</v>
      </c>
      <c r="C23" s="2313">
        <v>1691</v>
      </c>
      <c r="D23" s="444">
        <v>114934</v>
      </c>
      <c r="E23" s="1459">
        <f t="shared" si="0"/>
        <v>1254</v>
      </c>
      <c r="F23" s="444">
        <v>7300</v>
      </c>
      <c r="G23" s="1460">
        <f t="shared" si="1"/>
        <v>8991</v>
      </c>
      <c r="H23" s="1460">
        <f t="shared" si="2"/>
        <v>105943</v>
      </c>
      <c r="I23" s="444">
        <v>32633</v>
      </c>
      <c r="J23" s="444">
        <v>74486</v>
      </c>
      <c r="K23" s="1462">
        <f t="shared" si="4"/>
        <v>-1176</v>
      </c>
      <c r="M23" s="1212">
        <f t="shared" si="3"/>
        <v>7.6273127529076432E-2</v>
      </c>
    </row>
    <row r="24" spans="1:13" x14ac:dyDescent="0.3">
      <c r="A24">
        <v>2002</v>
      </c>
      <c r="B24" s="444">
        <v>50557</v>
      </c>
      <c r="C24" s="2312">
        <v>19</v>
      </c>
      <c r="D24" s="444">
        <v>49610</v>
      </c>
      <c r="E24" s="1459">
        <f t="shared" si="0"/>
        <v>928</v>
      </c>
      <c r="F24" s="444">
        <v>2564</v>
      </c>
      <c r="G24" s="1460">
        <f t="shared" si="1"/>
        <v>2583</v>
      </c>
      <c r="H24" s="1460">
        <f t="shared" si="2"/>
        <v>47027</v>
      </c>
      <c r="I24" s="444">
        <v>27821</v>
      </c>
      <c r="J24" s="444">
        <v>10586</v>
      </c>
      <c r="K24" s="1462">
        <f t="shared" si="4"/>
        <v>8620</v>
      </c>
      <c r="M24" s="1212">
        <f t="shared" si="3"/>
        <v>5.1090847953794725E-2</v>
      </c>
    </row>
    <row r="25" spans="1:13" x14ac:dyDescent="0.3">
      <c r="A25">
        <v>2003</v>
      </c>
      <c r="B25" s="444">
        <v>39291</v>
      </c>
      <c r="C25" s="2312">
        <v>0</v>
      </c>
      <c r="D25" s="444">
        <v>39291</v>
      </c>
      <c r="E25" s="1459">
        <f t="shared" si="0"/>
        <v>0</v>
      </c>
      <c r="F25" s="444">
        <v>1090</v>
      </c>
      <c r="G25" s="1460">
        <f t="shared" si="1"/>
        <v>1090</v>
      </c>
      <c r="H25" s="1460">
        <f t="shared" si="2"/>
        <v>38201</v>
      </c>
      <c r="I25" s="444">
        <v>5074</v>
      </c>
      <c r="J25" s="444">
        <v>28977</v>
      </c>
      <c r="K25" s="1462">
        <f t="shared" si="4"/>
        <v>4150</v>
      </c>
      <c r="M25" s="1212">
        <f t="shared" si="3"/>
        <v>2.7741722022855107E-2</v>
      </c>
    </row>
    <row r="26" spans="1:13" x14ac:dyDescent="0.3">
      <c r="A26">
        <v>2004</v>
      </c>
      <c r="B26" s="444">
        <v>130231</v>
      </c>
      <c r="C26" s="2312">
        <v>672</v>
      </c>
      <c r="D26" s="444">
        <v>123291</v>
      </c>
      <c r="E26" s="1459">
        <f t="shared" si="0"/>
        <v>6268</v>
      </c>
      <c r="F26" s="444">
        <v>4317</v>
      </c>
      <c r="G26" s="1460">
        <f t="shared" si="1"/>
        <v>4989</v>
      </c>
      <c r="H26" s="1460">
        <f t="shared" si="2"/>
        <v>118302</v>
      </c>
      <c r="I26" s="444">
        <v>33167</v>
      </c>
      <c r="J26" s="444">
        <v>78053</v>
      </c>
      <c r="K26" s="1462">
        <f t="shared" si="4"/>
        <v>7082</v>
      </c>
      <c r="M26" s="1212">
        <f t="shared" si="3"/>
        <v>3.8308851195183943E-2</v>
      </c>
    </row>
    <row r="27" spans="1:13" x14ac:dyDescent="0.3">
      <c r="A27">
        <v>2005</v>
      </c>
      <c r="B27" s="444">
        <v>77399</v>
      </c>
      <c r="C27" s="2312">
        <v>4</v>
      </c>
      <c r="D27" s="444">
        <v>72971</v>
      </c>
      <c r="E27" s="1459">
        <f t="shared" si="0"/>
        <v>4424</v>
      </c>
      <c r="F27" s="444">
        <v>2766</v>
      </c>
      <c r="G27" s="1460">
        <f t="shared" si="1"/>
        <v>2770</v>
      </c>
      <c r="H27" s="1460">
        <f t="shared" si="2"/>
        <v>70201</v>
      </c>
      <c r="I27" s="444">
        <v>14218</v>
      </c>
      <c r="J27" s="444">
        <v>55559</v>
      </c>
      <c r="K27" s="1462">
        <f t="shared" si="4"/>
        <v>424</v>
      </c>
      <c r="M27" s="1212">
        <f t="shared" si="3"/>
        <v>3.5788576079794313E-2</v>
      </c>
    </row>
    <row r="28" spans="1:13" x14ac:dyDescent="0.3">
      <c r="A28">
        <v>2006</v>
      </c>
      <c r="B28" s="444">
        <v>37067</v>
      </c>
      <c r="C28" s="2312">
        <v>1</v>
      </c>
      <c r="D28" s="444">
        <v>37066</v>
      </c>
      <c r="E28" s="1459">
        <f t="shared" si="0"/>
        <v>0</v>
      </c>
      <c r="F28" s="444">
        <v>1596</v>
      </c>
      <c r="G28" s="1460">
        <f t="shared" si="1"/>
        <v>1597</v>
      </c>
      <c r="H28" s="1460">
        <f t="shared" si="2"/>
        <v>35469</v>
      </c>
      <c r="I28" s="444">
        <v>9657</v>
      </c>
      <c r="J28" s="444">
        <v>22075</v>
      </c>
      <c r="K28" s="1462">
        <f t="shared" si="4"/>
        <v>3737</v>
      </c>
      <c r="M28" s="1212">
        <f t="shared" si="3"/>
        <v>4.3084144926754255E-2</v>
      </c>
    </row>
    <row r="29" spans="1:13" x14ac:dyDescent="0.3">
      <c r="A29">
        <v>2007</v>
      </c>
      <c r="B29" s="444">
        <v>26604</v>
      </c>
      <c r="C29" s="2312">
        <v>0</v>
      </c>
      <c r="D29" s="444">
        <v>24376</v>
      </c>
      <c r="E29" s="1459">
        <f t="shared" si="0"/>
        <v>2228</v>
      </c>
      <c r="F29" s="444">
        <v>1414</v>
      </c>
      <c r="G29" s="1460">
        <f t="shared" si="1"/>
        <v>1414</v>
      </c>
      <c r="H29" s="1460">
        <f t="shared" si="2"/>
        <v>22962</v>
      </c>
      <c r="I29" s="444">
        <v>2607</v>
      </c>
      <c r="J29" s="444">
        <v>22273</v>
      </c>
      <c r="K29" s="1462">
        <f t="shared" si="4"/>
        <v>-1918</v>
      </c>
      <c r="M29" s="1212">
        <f t="shared" si="3"/>
        <v>5.3149902270335288E-2</v>
      </c>
    </row>
    <row r="30" spans="1:13" x14ac:dyDescent="0.3">
      <c r="A30">
        <v>2008</v>
      </c>
      <c r="B30" s="444">
        <v>214465</v>
      </c>
      <c r="C30" s="2312">
        <v>858</v>
      </c>
      <c r="D30" s="444">
        <v>213607</v>
      </c>
      <c r="E30" s="1459">
        <f t="shared" si="0"/>
        <v>0</v>
      </c>
      <c r="F30" s="444">
        <v>9017</v>
      </c>
      <c r="G30" s="1460">
        <f t="shared" si="1"/>
        <v>9875</v>
      </c>
      <c r="H30" s="1460">
        <f t="shared" si="2"/>
        <v>203732</v>
      </c>
      <c r="I30" s="444">
        <v>28340</v>
      </c>
      <c r="J30" s="444">
        <v>165334</v>
      </c>
      <c r="K30" s="1462">
        <f t="shared" si="4"/>
        <v>10058</v>
      </c>
      <c r="M30" s="1212">
        <f t="shared" si="3"/>
        <v>4.6044809176322476E-2</v>
      </c>
    </row>
    <row r="31" spans="1:13" x14ac:dyDescent="0.3">
      <c r="A31">
        <v>2009</v>
      </c>
      <c r="B31" s="444">
        <v>179732</v>
      </c>
      <c r="C31" s="2313">
        <v>1129</v>
      </c>
      <c r="D31" s="444">
        <v>177823</v>
      </c>
      <c r="E31" s="1459">
        <f t="shared" si="0"/>
        <v>780</v>
      </c>
      <c r="F31" s="444">
        <v>9731</v>
      </c>
      <c r="G31" s="1460">
        <f t="shared" si="1"/>
        <v>10860</v>
      </c>
      <c r="H31" s="1460">
        <f t="shared" si="2"/>
        <v>166963</v>
      </c>
      <c r="I31" s="444">
        <v>16034</v>
      </c>
      <c r="J31" s="444">
        <v>134937</v>
      </c>
      <c r="K31" s="1462">
        <f t="shared" si="4"/>
        <v>15992</v>
      </c>
      <c r="M31" s="1212">
        <f t="shared" si="3"/>
        <v>6.0423296908730779E-2</v>
      </c>
    </row>
    <row r="32" spans="1:13" x14ac:dyDescent="0.3">
      <c r="A32">
        <v>2010</v>
      </c>
      <c r="B32" s="444">
        <v>392193</v>
      </c>
      <c r="C32" s="2313">
        <v>1604</v>
      </c>
      <c r="D32" s="444">
        <v>386525</v>
      </c>
      <c r="E32" s="1459">
        <f t="shared" si="0"/>
        <v>4064</v>
      </c>
      <c r="F32" s="444">
        <v>26125</v>
      </c>
      <c r="G32" s="1460">
        <f t="shared" si="1"/>
        <v>27729</v>
      </c>
      <c r="H32" s="1460">
        <f t="shared" si="2"/>
        <v>358796</v>
      </c>
      <c r="I32" s="444">
        <v>35821</v>
      </c>
      <c r="J32" s="444">
        <v>291764</v>
      </c>
      <c r="K32" s="1462">
        <f t="shared" si="4"/>
        <v>31211</v>
      </c>
      <c r="M32" s="1212">
        <f t="shared" si="3"/>
        <v>7.0702434770635883E-2</v>
      </c>
    </row>
    <row r="33" spans="1:13" x14ac:dyDescent="0.3">
      <c r="A33">
        <v>2011</v>
      </c>
      <c r="B33" s="444">
        <v>187365</v>
      </c>
      <c r="C33" s="2313">
        <v>1569</v>
      </c>
      <c r="D33" s="444">
        <v>185796</v>
      </c>
      <c r="E33" s="1459">
        <f t="shared" si="0"/>
        <v>0</v>
      </c>
      <c r="F33" s="444">
        <v>12853</v>
      </c>
      <c r="G33" s="1460">
        <f t="shared" si="1"/>
        <v>14422</v>
      </c>
      <c r="H33" s="1460">
        <f t="shared" si="2"/>
        <v>171374</v>
      </c>
      <c r="I33" s="444">
        <v>18634</v>
      </c>
      <c r="J33" s="444">
        <v>111508</v>
      </c>
      <c r="K33" s="1462">
        <f t="shared" si="4"/>
        <v>41232</v>
      </c>
      <c r="M33" s="1212">
        <f t="shared" si="3"/>
        <v>7.6972753716008854E-2</v>
      </c>
    </row>
    <row r="34" spans="1:13" x14ac:dyDescent="0.3">
      <c r="A34">
        <v>2012</v>
      </c>
      <c r="B34" s="444">
        <v>521159</v>
      </c>
      <c r="C34" s="2313">
        <v>4595</v>
      </c>
      <c r="D34" s="444">
        <v>515673</v>
      </c>
      <c r="E34" s="1459">
        <f t="shared" si="0"/>
        <v>891</v>
      </c>
      <c r="F34" s="444">
        <v>45352</v>
      </c>
      <c r="G34" s="1460">
        <f t="shared" si="1"/>
        <v>49947</v>
      </c>
      <c r="H34" s="1460">
        <f t="shared" si="2"/>
        <v>465726</v>
      </c>
      <c r="I34" s="444">
        <v>43411</v>
      </c>
      <c r="J34" s="444">
        <v>326107</v>
      </c>
      <c r="K34" s="1462">
        <f t="shared" si="4"/>
        <v>96208</v>
      </c>
      <c r="M34" s="1212">
        <f t="shared" si="3"/>
        <v>9.5838314218885209E-2</v>
      </c>
    </row>
    <row r="35" spans="1:13" x14ac:dyDescent="0.3">
      <c r="A35">
        <v>2013</v>
      </c>
      <c r="B35" s="444">
        <v>186191</v>
      </c>
      <c r="C35" s="2312">
        <v>676</v>
      </c>
      <c r="D35" s="444">
        <v>185505</v>
      </c>
      <c r="E35" s="1459">
        <f t="shared" si="0"/>
        <v>10</v>
      </c>
      <c r="F35" s="444">
        <v>8046</v>
      </c>
      <c r="G35" s="1460">
        <f t="shared" si="1"/>
        <v>8722</v>
      </c>
      <c r="H35" s="1460">
        <f t="shared" si="2"/>
        <v>176783</v>
      </c>
      <c r="I35" s="444">
        <v>29229</v>
      </c>
      <c r="J35" s="444">
        <v>129993</v>
      </c>
      <c r="K35" s="1462">
        <f t="shared" si="4"/>
        <v>17561</v>
      </c>
      <c r="M35" s="1212">
        <f t="shared" si="3"/>
        <v>4.6844369491543629E-2</v>
      </c>
    </row>
    <row r="36" spans="1:13" x14ac:dyDescent="0.3">
      <c r="A36">
        <v>2014</v>
      </c>
      <c r="B36" s="444">
        <v>651146</v>
      </c>
      <c r="C36" s="2313">
        <v>1348</v>
      </c>
      <c r="D36" s="444">
        <v>614179</v>
      </c>
      <c r="E36" s="1459">
        <f t="shared" si="0"/>
        <v>35619</v>
      </c>
      <c r="F36" s="444">
        <v>30702</v>
      </c>
      <c r="G36" s="1460">
        <f t="shared" si="1"/>
        <v>32050</v>
      </c>
      <c r="H36" s="1460">
        <f t="shared" si="2"/>
        <v>582129</v>
      </c>
      <c r="I36" s="444">
        <v>99888</v>
      </c>
      <c r="J36" s="444">
        <v>490804</v>
      </c>
      <c r="K36" s="1462">
        <f t="shared" si="4"/>
        <v>-8563</v>
      </c>
      <c r="M36" s="1212">
        <f t="shared" si="3"/>
        <v>4.9220912053517953E-2</v>
      </c>
    </row>
    <row r="37" spans="1:13" x14ac:dyDescent="0.3">
      <c r="A37">
        <v>2015</v>
      </c>
      <c r="B37" s="444">
        <v>512455</v>
      </c>
      <c r="C37" s="2313">
        <v>1746</v>
      </c>
      <c r="D37" s="444">
        <v>510706</v>
      </c>
      <c r="E37" s="1459">
        <f t="shared" si="0"/>
        <v>3</v>
      </c>
      <c r="F37" s="444">
        <v>30095</v>
      </c>
      <c r="G37" s="1460">
        <f t="shared" si="1"/>
        <v>31841</v>
      </c>
      <c r="H37" s="1460">
        <f t="shared" si="2"/>
        <v>478865</v>
      </c>
      <c r="I37" s="444">
        <v>51533</v>
      </c>
      <c r="J37" s="444">
        <v>187055</v>
      </c>
      <c r="K37" s="1462">
        <f t="shared" si="4"/>
        <v>240277</v>
      </c>
      <c r="M37" s="1212">
        <f t="shared" si="3"/>
        <v>6.2134236176835042E-2</v>
      </c>
    </row>
    <row r="38" spans="1:13" x14ac:dyDescent="0.3">
      <c r="A38">
        <v>2016</v>
      </c>
      <c r="B38" s="444">
        <v>356606</v>
      </c>
      <c r="C38" s="2313">
        <v>1807</v>
      </c>
      <c r="D38" s="444">
        <v>342498</v>
      </c>
      <c r="E38" s="1459">
        <f t="shared" si="0"/>
        <v>12301</v>
      </c>
      <c r="F38" s="444">
        <v>16683</v>
      </c>
      <c r="G38" s="1460">
        <f t="shared" si="1"/>
        <v>18490</v>
      </c>
      <c r="H38" s="1460">
        <f t="shared" si="2"/>
        <v>324008</v>
      </c>
      <c r="I38" s="444">
        <v>73748</v>
      </c>
      <c r="J38" s="444">
        <v>216036</v>
      </c>
      <c r="K38" s="1462">
        <f t="shared" si="4"/>
        <v>34224</v>
      </c>
      <c r="M38" s="1212">
        <f t="shared" si="3"/>
        <v>5.1849940831057248E-2</v>
      </c>
    </row>
    <row r="39" spans="1:13" x14ac:dyDescent="0.3">
      <c r="A39">
        <v>2017</v>
      </c>
      <c r="B39" s="444">
        <v>88263</v>
      </c>
      <c r="C39" s="2312">
        <v>570</v>
      </c>
      <c r="D39" s="444">
        <v>87693</v>
      </c>
      <c r="E39" s="1459">
        <f t="shared" si="0"/>
        <v>0</v>
      </c>
      <c r="F39" s="444">
        <v>4480</v>
      </c>
      <c r="G39" s="1460">
        <f t="shared" si="1"/>
        <v>5050</v>
      </c>
      <c r="H39" s="1460">
        <f t="shared" si="2"/>
        <v>82643</v>
      </c>
      <c r="I39" s="444">
        <v>23854</v>
      </c>
      <c r="J39" s="444">
        <v>42299</v>
      </c>
      <c r="K39" s="1462">
        <f t="shared" si="4"/>
        <v>16490</v>
      </c>
      <c r="M39" s="1212">
        <f t="shared" si="3"/>
        <v>5.7215367707873062E-2</v>
      </c>
    </row>
    <row r="40" spans="1:13" x14ac:dyDescent="0.3">
      <c r="A40">
        <v>2018</v>
      </c>
      <c r="B40" s="444">
        <v>210915</v>
      </c>
      <c r="C40" s="2312">
        <v>151</v>
      </c>
      <c r="D40" s="444">
        <v>193816</v>
      </c>
      <c r="E40" s="1459">
        <f t="shared" si="0"/>
        <v>16948</v>
      </c>
      <c r="F40" s="444">
        <v>7724</v>
      </c>
      <c r="G40" s="1460">
        <f t="shared" si="1"/>
        <v>7875</v>
      </c>
      <c r="H40" s="1460">
        <f t="shared" si="2"/>
        <v>185941</v>
      </c>
      <c r="I40" s="444">
        <v>13962</v>
      </c>
      <c r="J40" s="444">
        <v>153637</v>
      </c>
      <c r="K40" s="1462">
        <f t="shared" si="4"/>
        <v>18342</v>
      </c>
      <c r="M40" s="1212">
        <f t="shared" si="3"/>
        <v>3.7337315980371238E-2</v>
      </c>
    </row>
    <row r="41" spans="1:13" x14ac:dyDescent="0.3">
      <c r="A41">
        <v>2019</v>
      </c>
      <c r="B41" s="444">
        <v>63222</v>
      </c>
      <c r="C41" s="2312">
        <v>41</v>
      </c>
      <c r="D41" s="444">
        <v>63046</v>
      </c>
      <c r="E41" s="1459">
        <f t="shared" si="0"/>
        <v>135</v>
      </c>
      <c r="F41" s="444">
        <v>1118</v>
      </c>
      <c r="G41" s="1460">
        <f t="shared" si="1"/>
        <v>1159</v>
      </c>
      <c r="H41" s="1460">
        <f t="shared" si="2"/>
        <v>61887</v>
      </c>
      <c r="I41" s="444">
        <v>8878</v>
      </c>
      <c r="J41" s="444">
        <v>49862</v>
      </c>
      <c r="K41" s="1462">
        <f t="shared" si="4"/>
        <v>3147</v>
      </c>
      <c r="M41" s="1212">
        <f t="shared" si="3"/>
        <v>1.8332226123817658E-2</v>
      </c>
    </row>
    <row r="42" spans="1:13" x14ac:dyDescent="0.3">
      <c r="A42">
        <v>2020</v>
      </c>
      <c r="B42" s="444">
        <v>345018</v>
      </c>
      <c r="C42" s="2313">
        <v>3279</v>
      </c>
      <c r="D42" s="444">
        <v>341739</v>
      </c>
      <c r="E42" s="1459">
        <f t="shared" si="0"/>
        <v>0</v>
      </c>
      <c r="F42" s="444">
        <v>15258</v>
      </c>
      <c r="G42" s="1460">
        <f t="shared" si="1"/>
        <v>18537</v>
      </c>
      <c r="H42" s="1460">
        <f t="shared" si="2"/>
        <v>323202</v>
      </c>
      <c r="I42" s="444">
        <v>43391</v>
      </c>
      <c r="J42" s="444">
        <v>226107</v>
      </c>
      <c r="K42" s="1462">
        <f t="shared" si="4"/>
        <v>53704</v>
      </c>
      <c r="M42" s="1212">
        <f t="shared" si="3"/>
        <v>5.3727631601829473E-2</v>
      </c>
    </row>
    <row r="43" spans="1:13" x14ac:dyDescent="0.3">
      <c r="A43">
        <v>2020</v>
      </c>
      <c r="B43" s="444">
        <v>152309</v>
      </c>
      <c r="C43" s="2312">
        <v>557</v>
      </c>
      <c r="D43" s="444">
        <v>151765</v>
      </c>
      <c r="E43" s="1459">
        <f t="shared" si="0"/>
        <v>-13</v>
      </c>
      <c r="F43" s="444">
        <v>9528</v>
      </c>
      <c r="G43" s="1460">
        <f t="shared" si="1"/>
        <v>10085</v>
      </c>
      <c r="H43" s="1460">
        <f t="shared" si="2"/>
        <v>141680</v>
      </c>
      <c r="I43" s="444">
        <v>30826</v>
      </c>
      <c r="J43" s="444">
        <v>76255</v>
      </c>
      <c r="K43" s="1462">
        <f t="shared" si="4"/>
        <v>34599</v>
      </c>
      <c r="M43" s="1212">
        <f t="shared" si="3"/>
        <v>6.621407795993671E-2</v>
      </c>
    </row>
    <row r="44" spans="1:13" x14ac:dyDescent="0.3">
      <c r="A44">
        <v>2021</v>
      </c>
      <c r="C44" s="2313">
        <v>1681</v>
      </c>
    </row>
    <row r="45" spans="1:13" x14ac:dyDescent="0.3">
      <c r="A45">
        <v>2022</v>
      </c>
      <c r="C45" s="2313">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7"/>
      <c r="B1" s="514"/>
      <c r="C1" s="514"/>
      <c r="D1" s="2599" t="s">
        <v>643</v>
      </c>
      <c r="E1" s="2599"/>
      <c r="F1" s="2599"/>
      <c r="G1" s="2599"/>
      <c r="H1" s="2599"/>
      <c r="I1" s="2599"/>
      <c r="J1" s="2599"/>
      <c r="K1" s="2599"/>
    </row>
    <row r="2" spans="1:11" x14ac:dyDescent="0.3">
      <c r="A2" s="2145" t="s">
        <v>644</v>
      </c>
      <c r="B2" s="2146" t="s">
        <v>645</v>
      </c>
      <c r="C2" s="2146" t="s">
        <v>646</v>
      </c>
      <c r="D2" s="1051" t="s">
        <v>647</v>
      </c>
      <c r="E2" s="1051" t="s">
        <v>648</v>
      </c>
      <c r="F2" s="1051" t="s">
        <v>649</v>
      </c>
      <c r="G2" s="1051" t="s">
        <v>650</v>
      </c>
      <c r="H2" s="1051" t="s">
        <v>651</v>
      </c>
      <c r="I2" s="1051" t="s">
        <v>652</v>
      </c>
      <c r="J2" s="1051" t="s">
        <v>653</v>
      </c>
      <c r="K2" s="1053" t="s">
        <v>654</v>
      </c>
    </row>
    <row r="3" spans="1:11" x14ac:dyDescent="0.3">
      <c r="A3" s="854">
        <v>1986</v>
      </c>
      <c r="B3" s="701">
        <v>570881</v>
      </c>
      <c r="C3" s="701">
        <v>379891</v>
      </c>
      <c r="D3" s="1107">
        <v>58123</v>
      </c>
      <c r="E3" s="701">
        <v>130853</v>
      </c>
      <c r="F3" s="813">
        <v>77</v>
      </c>
      <c r="G3" s="813">
        <v>23</v>
      </c>
      <c r="H3" s="701">
        <v>1139848</v>
      </c>
      <c r="I3" s="701">
        <v>58123</v>
      </c>
      <c r="J3" s="701">
        <v>58123</v>
      </c>
      <c r="K3" s="481">
        <v>58123</v>
      </c>
    </row>
    <row r="4" spans="1:11" x14ac:dyDescent="0.3">
      <c r="A4" s="854">
        <v>1987</v>
      </c>
      <c r="B4" s="701">
        <v>547494</v>
      </c>
      <c r="C4" s="701">
        <v>303081</v>
      </c>
      <c r="D4" s="1107">
        <v>116993</v>
      </c>
      <c r="E4" s="701">
        <v>27635</v>
      </c>
      <c r="F4" s="813">
        <v>147</v>
      </c>
      <c r="G4" s="813">
        <v>20</v>
      </c>
      <c r="H4" s="701">
        <v>995370</v>
      </c>
      <c r="I4" s="701">
        <v>116993</v>
      </c>
      <c r="J4" s="701">
        <v>116993</v>
      </c>
      <c r="K4" s="481">
        <v>116993</v>
      </c>
    </row>
    <row r="5" spans="1:11" x14ac:dyDescent="0.3">
      <c r="A5" s="854">
        <v>1988</v>
      </c>
      <c r="B5" s="701">
        <v>494025</v>
      </c>
      <c r="C5" s="701">
        <v>279072</v>
      </c>
      <c r="D5" s="1107">
        <v>79714</v>
      </c>
      <c r="E5" s="701">
        <v>39620</v>
      </c>
      <c r="F5" s="813">
        <v>60</v>
      </c>
      <c r="G5" s="813">
        <v>6</v>
      </c>
      <c r="H5" s="701">
        <v>892497</v>
      </c>
      <c r="I5" s="701">
        <v>79714</v>
      </c>
      <c r="J5" s="701">
        <v>79714</v>
      </c>
      <c r="K5" s="481">
        <v>79714</v>
      </c>
    </row>
    <row r="6" spans="1:11" x14ac:dyDescent="0.3">
      <c r="A6" s="854">
        <v>1989</v>
      </c>
      <c r="B6" s="701">
        <v>416117</v>
      </c>
      <c r="C6" s="701">
        <v>287798</v>
      </c>
      <c r="D6" s="1107">
        <v>41884</v>
      </c>
      <c r="E6" s="701">
        <v>39281</v>
      </c>
      <c r="F6" s="813">
        <v>16</v>
      </c>
      <c r="G6" s="813">
        <v>12</v>
      </c>
      <c r="H6" s="701">
        <v>785108</v>
      </c>
      <c r="I6" s="701">
        <v>41884</v>
      </c>
      <c r="J6" s="701">
        <v>41884</v>
      </c>
      <c r="K6" s="481">
        <v>41884</v>
      </c>
    </row>
    <row r="7" spans="1:11" x14ac:dyDescent="0.3">
      <c r="A7" s="854">
        <v>1990</v>
      </c>
      <c r="B7" s="701">
        <v>340990</v>
      </c>
      <c r="C7" s="701">
        <v>183027</v>
      </c>
      <c r="D7" s="1107">
        <v>49581</v>
      </c>
      <c r="E7" s="701">
        <v>24845</v>
      </c>
      <c r="F7" s="813">
        <v>26</v>
      </c>
      <c r="G7" s="813">
        <v>0</v>
      </c>
      <c r="H7" s="701">
        <v>598469</v>
      </c>
      <c r="I7" s="701">
        <v>49581</v>
      </c>
      <c r="J7" s="701">
        <v>49581</v>
      </c>
      <c r="K7" s="481">
        <v>49581</v>
      </c>
    </row>
    <row r="8" spans="1:11" x14ac:dyDescent="0.3">
      <c r="A8" s="854">
        <v>1991</v>
      </c>
      <c r="B8" s="701">
        <v>274622</v>
      </c>
      <c r="C8" s="701">
        <v>274545</v>
      </c>
      <c r="D8" s="1107">
        <v>76481</v>
      </c>
      <c r="E8" s="701">
        <v>64057</v>
      </c>
      <c r="F8" s="813">
        <v>5</v>
      </c>
      <c r="G8" s="813">
        <v>550</v>
      </c>
      <c r="H8" s="701">
        <v>690260</v>
      </c>
      <c r="I8" s="701">
        <v>76481</v>
      </c>
      <c r="J8" s="701">
        <v>76481</v>
      </c>
      <c r="K8" s="481">
        <v>76481</v>
      </c>
    </row>
    <row r="9" spans="1:11" x14ac:dyDescent="0.3">
      <c r="A9" s="854">
        <v>1992</v>
      </c>
      <c r="B9" s="701">
        <v>256299</v>
      </c>
      <c r="C9" s="701">
        <v>314975</v>
      </c>
      <c r="D9" s="1107">
        <v>84992</v>
      </c>
      <c r="E9" s="701">
        <v>18126</v>
      </c>
      <c r="F9" s="813">
        <v>39</v>
      </c>
      <c r="G9" s="813">
        <v>24</v>
      </c>
      <c r="H9" s="701">
        <v>674455</v>
      </c>
      <c r="I9" s="701">
        <v>84992</v>
      </c>
      <c r="J9" s="701">
        <v>84992</v>
      </c>
      <c r="K9" s="481">
        <v>84992</v>
      </c>
    </row>
    <row r="10" spans="1:11" x14ac:dyDescent="0.3">
      <c r="A10" s="854">
        <v>1993</v>
      </c>
      <c r="B10" s="701">
        <v>277657</v>
      </c>
      <c r="C10" s="701">
        <v>188386</v>
      </c>
      <c r="D10" s="1107">
        <v>80178</v>
      </c>
      <c r="E10" s="701">
        <v>11732</v>
      </c>
      <c r="F10" s="813">
        <v>17</v>
      </c>
      <c r="G10" s="813">
        <v>15</v>
      </c>
      <c r="H10" s="701">
        <v>557985</v>
      </c>
      <c r="I10" s="701">
        <v>80178</v>
      </c>
      <c r="J10" s="701">
        <v>80178</v>
      </c>
      <c r="K10" s="481">
        <v>80178</v>
      </c>
    </row>
    <row r="11" spans="1:11" x14ac:dyDescent="0.3">
      <c r="A11" s="854">
        <v>1994</v>
      </c>
      <c r="B11" s="701">
        <v>244320</v>
      </c>
      <c r="C11" s="701">
        <v>163124</v>
      </c>
      <c r="D11" s="2150">
        <v>13154</v>
      </c>
      <c r="E11" s="953">
        <v>22794</v>
      </c>
      <c r="F11" s="952">
        <v>26</v>
      </c>
      <c r="G11" s="952">
        <v>5</v>
      </c>
      <c r="H11" s="953">
        <v>443423</v>
      </c>
      <c r="I11" s="2144">
        <v>12678</v>
      </c>
      <c r="J11" s="2144">
        <v>12678</v>
      </c>
      <c r="K11" s="2147">
        <v>12678</v>
      </c>
    </row>
    <row r="12" spans="1:11" x14ac:dyDescent="0.3">
      <c r="A12" s="854">
        <v>1995</v>
      </c>
      <c r="B12" s="701">
        <v>245250</v>
      </c>
      <c r="C12" s="701">
        <v>209071</v>
      </c>
      <c r="D12" s="2150">
        <v>9135</v>
      </c>
      <c r="E12" s="953">
        <v>12572</v>
      </c>
      <c r="F12" s="952">
        <v>30</v>
      </c>
      <c r="G12" s="952">
        <v>36</v>
      </c>
      <c r="H12" s="953">
        <v>476094</v>
      </c>
      <c r="I12" s="2144">
        <v>8774</v>
      </c>
      <c r="J12" s="2144">
        <v>8774</v>
      </c>
      <c r="K12" s="2147">
        <v>8774</v>
      </c>
    </row>
    <row r="13" spans="1:11" x14ac:dyDescent="0.3">
      <c r="A13" s="854">
        <v>1996</v>
      </c>
      <c r="B13" s="701">
        <v>299962</v>
      </c>
      <c r="C13" s="701">
        <v>212475</v>
      </c>
      <c r="D13" s="2150">
        <v>31093</v>
      </c>
      <c r="E13" s="953">
        <v>19077</v>
      </c>
      <c r="F13" s="952">
        <v>22</v>
      </c>
      <c r="G13" s="952">
        <v>1</v>
      </c>
      <c r="H13" s="953">
        <v>562630</v>
      </c>
      <c r="I13" s="2144">
        <v>30232</v>
      </c>
      <c r="J13" s="2144">
        <v>30232</v>
      </c>
      <c r="K13" s="2147">
        <v>30232</v>
      </c>
    </row>
    <row r="14" spans="1:11" x14ac:dyDescent="0.3">
      <c r="A14" s="854">
        <v>1997</v>
      </c>
      <c r="B14" s="701">
        <v>399784</v>
      </c>
      <c r="C14" s="701">
        <v>274536</v>
      </c>
      <c r="D14" s="2150">
        <v>48342</v>
      </c>
      <c r="E14" s="953">
        <v>27919</v>
      </c>
      <c r="F14" s="952">
        <v>47</v>
      </c>
      <c r="G14" s="952">
        <v>64</v>
      </c>
      <c r="H14" s="953">
        <v>750692</v>
      </c>
      <c r="I14" s="2144">
        <v>47008</v>
      </c>
      <c r="J14" s="2144">
        <v>47008</v>
      </c>
      <c r="K14" s="2147">
        <v>47008</v>
      </c>
    </row>
    <row r="15" spans="1:11" x14ac:dyDescent="0.3">
      <c r="A15" s="854">
        <v>1998</v>
      </c>
      <c r="B15" s="701">
        <v>290292</v>
      </c>
      <c r="C15" s="701">
        <v>197501</v>
      </c>
      <c r="D15" s="2150">
        <v>13613</v>
      </c>
      <c r="E15" s="953">
        <v>49488</v>
      </c>
      <c r="F15" s="952">
        <v>21</v>
      </c>
      <c r="G15" s="952">
        <v>13</v>
      </c>
      <c r="H15" s="953">
        <v>550928</v>
      </c>
      <c r="I15" s="2144">
        <v>13218</v>
      </c>
      <c r="J15" s="2144">
        <v>13218</v>
      </c>
      <c r="K15" s="2147">
        <v>13218</v>
      </c>
    </row>
    <row r="16" spans="1:11" x14ac:dyDescent="0.3">
      <c r="A16" s="854">
        <v>1999</v>
      </c>
      <c r="B16" s="701">
        <v>347486</v>
      </c>
      <c r="C16" s="701">
        <v>212118</v>
      </c>
      <c r="D16" s="2150">
        <v>18304</v>
      </c>
      <c r="E16" s="953">
        <v>45805</v>
      </c>
      <c r="F16" s="952">
        <v>43</v>
      </c>
      <c r="G16" s="952">
        <v>28</v>
      </c>
      <c r="H16" s="953">
        <v>623784</v>
      </c>
      <c r="I16" s="2144">
        <v>17877</v>
      </c>
      <c r="J16" s="2144">
        <v>17877</v>
      </c>
      <c r="K16" s="2147">
        <v>17877</v>
      </c>
    </row>
    <row r="17" spans="1:11" x14ac:dyDescent="0.3">
      <c r="A17" s="854">
        <v>2000</v>
      </c>
      <c r="B17" s="701">
        <v>501012</v>
      </c>
      <c r="C17" s="701">
        <v>282935</v>
      </c>
      <c r="D17" s="2150">
        <v>97541</v>
      </c>
      <c r="E17" s="953">
        <v>99660</v>
      </c>
      <c r="F17" s="952">
        <v>17</v>
      </c>
      <c r="G17" s="952">
        <v>0</v>
      </c>
      <c r="H17" s="953">
        <v>981165</v>
      </c>
      <c r="I17" s="2144">
        <v>93398</v>
      </c>
      <c r="J17" s="2144">
        <v>93398</v>
      </c>
      <c r="K17" s="2147">
        <v>93398</v>
      </c>
    </row>
    <row r="18" spans="1:11" x14ac:dyDescent="0.3">
      <c r="A18" s="854">
        <v>2001</v>
      </c>
      <c r="B18" s="701">
        <v>1037440</v>
      </c>
      <c r="C18" s="701">
        <v>676793</v>
      </c>
      <c r="D18" s="2150">
        <v>123416</v>
      </c>
      <c r="E18" s="953">
        <v>277934</v>
      </c>
      <c r="F18" s="952">
        <v>29</v>
      </c>
      <c r="G18" s="952">
        <v>-4</v>
      </c>
      <c r="H18" s="953">
        <v>2115608</v>
      </c>
      <c r="I18" s="2144">
        <v>114934</v>
      </c>
      <c r="J18" s="2144">
        <v>114934</v>
      </c>
      <c r="K18" s="2147">
        <v>114934</v>
      </c>
    </row>
    <row r="19" spans="1:11" x14ac:dyDescent="0.3">
      <c r="A19" s="854">
        <v>2002</v>
      </c>
      <c r="B19" s="701">
        <v>965356</v>
      </c>
      <c r="C19" s="701">
        <v>510680</v>
      </c>
      <c r="D19" s="2150">
        <v>51200</v>
      </c>
      <c r="E19" s="953">
        <v>100835</v>
      </c>
      <c r="F19" s="952">
        <v>72</v>
      </c>
      <c r="G19" s="952">
        <v>0</v>
      </c>
      <c r="H19" s="953">
        <v>1628143</v>
      </c>
      <c r="I19" s="2144">
        <v>49610</v>
      </c>
      <c r="J19" s="2144">
        <v>49610</v>
      </c>
      <c r="K19" s="2147">
        <v>49610</v>
      </c>
    </row>
    <row r="20" spans="1:11" x14ac:dyDescent="0.3">
      <c r="A20" s="854">
        <v>2003</v>
      </c>
      <c r="B20" s="701">
        <v>996660</v>
      </c>
      <c r="C20" s="701">
        <v>365821</v>
      </c>
      <c r="D20" s="1107">
        <v>39291</v>
      </c>
      <c r="E20" s="701">
        <v>133874</v>
      </c>
      <c r="F20" s="813">
        <v>411</v>
      </c>
      <c r="G20" s="813">
        <v>637</v>
      </c>
      <c r="H20" s="701">
        <v>1536694</v>
      </c>
      <c r="I20" s="701">
        <v>39291</v>
      </c>
      <c r="J20" s="701">
        <v>39291</v>
      </c>
      <c r="K20" s="481">
        <v>39291</v>
      </c>
    </row>
    <row r="21" spans="1:11" x14ac:dyDescent="0.3">
      <c r="A21" s="854">
        <v>2004</v>
      </c>
      <c r="B21" s="701">
        <v>906197</v>
      </c>
      <c r="C21" s="701">
        <v>313378</v>
      </c>
      <c r="D21" s="1107">
        <v>123291</v>
      </c>
      <c r="E21" s="701">
        <v>119851</v>
      </c>
      <c r="F21" s="813">
        <v>80</v>
      </c>
      <c r="G21" s="813">
        <v>1</v>
      </c>
      <c r="H21" s="701">
        <v>1462798</v>
      </c>
      <c r="I21" s="701">
        <v>123291</v>
      </c>
      <c r="J21" s="701">
        <v>123291</v>
      </c>
      <c r="K21" s="481">
        <v>123291</v>
      </c>
    </row>
    <row r="22" spans="1:11" x14ac:dyDescent="0.3">
      <c r="A22" s="854">
        <v>2005</v>
      </c>
      <c r="B22" s="701">
        <v>600415</v>
      </c>
      <c r="C22" s="701">
        <v>315650</v>
      </c>
      <c r="D22" s="1107">
        <v>72971</v>
      </c>
      <c r="E22" s="701">
        <v>88791</v>
      </c>
      <c r="F22" s="813">
        <v>139</v>
      </c>
      <c r="G22" s="813">
        <v>22</v>
      </c>
      <c r="H22" s="701">
        <v>1077988</v>
      </c>
      <c r="I22" s="701">
        <v>72971</v>
      </c>
      <c r="J22" s="701">
        <v>72971</v>
      </c>
      <c r="K22" s="481">
        <v>72971</v>
      </c>
    </row>
    <row r="23" spans="1:11" x14ac:dyDescent="0.3">
      <c r="A23" s="854">
        <v>2006</v>
      </c>
      <c r="B23" s="701">
        <v>526538</v>
      </c>
      <c r="C23" s="701">
        <v>339301</v>
      </c>
      <c r="D23" s="1107">
        <v>37066</v>
      </c>
      <c r="E23" s="701">
        <v>110054</v>
      </c>
      <c r="F23" s="813">
        <v>165</v>
      </c>
      <c r="G23" s="813">
        <v>6</v>
      </c>
      <c r="H23" s="701">
        <v>1013130</v>
      </c>
      <c r="I23" s="701">
        <v>37066</v>
      </c>
      <c r="J23" s="701">
        <v>37066</v>
      </c>
      <c r="K23" s="481">
        <v>37066</v>
      </c>
    </row>
    <row r="24" spans="1:11" x14ac:dyDescent="0.3">
      <c r="A24" s="854">
        <v>2007</v>
      </c>
      <c r="B24" s="701">
        <v>359867</v>
      </c>
      <c r="C24" s="701">
        <v>325450</v>
      </c>
      <c r="D24" s="1107">
        <v>24376</v>
      </c>
      <c r="E24" s="701">
        <v>100725</v>
      </c>
      <c r="F24" s="813">
        <v>142</v>
      </c>
      <c r="G24" s="813">
        <v>27</v>
      </c>
      <c r="H24" s="701">
        <v>810587</v>
      </c>
      <c r="I24" s="701">
        <v>24376</v>
      </c>
      <c r="J24" s="701">
        <v>24376</v>
      </c>
      <c r="K24" s="481">
        <v>24376</v>
      </c>
    </row>
    <row r="25" spans="1:11" x14ac:dyDescent="0.3">
      <c r="A25" s="854">
        <v>2008</v>
      </c>
      <c r="B25" s="701">
        <v>587428</v>
      </c>
      <c r="C25" s="701">
        <v>357845</v>
      </c>
      <c r="D25" s="1107">
        <v>213607</v>
      </c>
      <c r="E25" s="701">
        <v>146059</v>
      </c>
      <c r="F25" s="813">
        <v>75</v>
      </c>
      <c r="G25" s="813">
        <v>60</v>
      </c>
      <c r="H25" s="701">
        <v>1305074</v>
      </c>
      <c r="I25" s="701">
        <v>213607</v>
      </c>
      <c r="J25" s="701">
        <v>213607</v>
      </c>
      <c r="K25" s="481">
        <v>213607</v>
      </c>
    </row>
    <row r="26" spans="1:11" x14ac:dyDescent="0.3">
      <c r="A26" s="854">
        <v>2009</v>
      </c>
      <c r="B26" s="701">
        <v>699121</v>
      </c>
      <c r="C26" s="701">
        <v>604970</v>
      </c>
      <c r="D26" s="1107">
        <v>177823</v>
      </c>
      <c r="E26" s="701">
        <v>234669</v>
      </c>
      <c r="F26" s="813">
        <v>109</v>
      </c>
      <c r="G26" s="813">
        <v>95</v>
      </c>
      <c r="H26" s="701">
        <v>1716787</v>
      </c>
      <c r="I26" s="701">
        <v>177823</v>
      </c>
      <c r="J26" s="701">
        <v>177823</v>
      </c>
      <c r="K26" s="481">
        <v>177823</v>
      </c>
    </row>
    <row r="27" spans="1:11" x14ac:dyDescent="0.3">
      <c r="A27" s="854">
        <v>2010</v>
      </c>
      <c r="B27" s="701">
        <v>902439</v>
      </c>
      <c r="C27" s="701">
        <v>416603</v>
      </c>
      <c r="D27" s="1107">
        <v>386524</v>
      </c>
      <c r="E27" s="701">
        <v>127644</v>
      </c>
      <c r="F27" s="813">
        <v>124</v>
      </c>
      <c r="G27" s="813">
        <v>4</v>
      </c>
      <c r="H27" s="701">
        <v>1833338</v>
      </c>
      <c r="I27" s="701">
        <v>386525</v>
      </c>
      <c r="J27" s="701">
        <v>386525</v>
      </c>
      <c r="K27" s="481">
        <v>386525</v>
      </c>
    </row>
    <row r="28" spans="1:11" x14ac:dyDescent="0.3">
      <c r="A28" s="854">
        <v>2011</v>
      </c>
      <c r="B28" s="701">
        <v>863201</v>
      </c>
      <c r="C28" s="701">
        <v>369365</v>
      </c>
      <c r="D28" s="1107">
        <v>185796</v>
      </c>
      <c r="E28" s="701">
        <v>149883</v>
      </c>
      <c r="F28" s="813">
        <v>50</v>
      </c>
      <c r="G28" s="701">
        <v>3828</v>
      </c>
      <c r="H28" s="701">
        <v>1572123</v>
      </c>
      <c r="I28" s="701">
        <v>185796</v>
      </c>
      <c r="J28" s="701">
        <v>185796</v>
      </c>
      <c r="K28" s="481">
        <v>185796</v>
      </c>
    </row>
    <row r="29" spans="1:11" x14ac:dyDescent="0.3">
      <c r="A29" s="854">
        <v>2012</v>
      </c>
      <c r="B29" s="701">
        <v>733930</v>
      </c>
      <c r="C29" s="701">
        <v>235303</v>
      </c>
      <c r="D29" s="1107">
        <v>515673</v>
      </c>
      <c r="E29" s="701">
        <v>60023</v>
      </c>
      <c r="F29" s="813">
        <v>65</v>
      </c>
      <c r="G29" s="813">
        <v>1</v>
      </c>
      <c r="H29" s="701">
        <v>1544995</v>
      </c>
      <c r="I29" s="701">
        <v>515673</v>
      </c>
      <c r="J29" s="701">
        <v>515673</v>
      </c>
      <c r="K29" s="481">
        <v>515673</v>
      </c>
    </row>
    <row r="30" spans="1:11" x14ac:dyDescent="0.3">
      <c r="A30" s="854">
        <v>2013</v>
      </c>
      <c r="B30" s="701">
        <v>1327783</v>
      </c>
      <c r="C30" s="701">
        <v>240110</v>
      </c>
      <c r="D30" s="2150">
        <v>197826</v>
      </c>
      <c r="E30" s="701">
        <v>68651</v>
      </c>
      <c r="F30" s="813">
        <v>167</v>
      </c>
      <c r="G30" s="813">
        <v>520</v>
      </c>
      <c r="H30" s="701">
        <v>1835057</v>
      </c>
      <c r="I30" s="2144">
        <v>185505</v>
      </c>
      <c r="J30" s="2144">
        <v>185505</v>
      </c>
      <c r="K30" s="2147">
        <v>185505</v>
      </c>
    </row>
    <row r="31" spans="1:11" x14ac:dyDescent="0.3">
      <c r="A31" s="854">
        <v>2014</v>
      </c>
      <c r="B31" s="701">
        <v>1363284</v>
      </c>
      <c r="C31" s="701">
        <v>338533</v>
      </c>
      <c r="D31" s="2150">
        <v>656103</v>
      </c>
      <c r="E31" s="701">
        <v>302559</v>
      </c>
      <c r="F31" s="813">
        <v>122</v>
      </c>
      <c r="G31" s="813">
        <v>1</v>
      </c>
      <c r="H31" s="701">
        <v>2660602</v>
      </c>
      <c r="I31" s="2144">
        <v>614179</v>
      </c>
      <c r="J31" s="2144">
        <v>614179</v>
      </c>
      <c r="K31" s="2147">
        <v>614179</v>
      </c>
    </row>
    <row r="32" spans="1:11" x14ac:dyDescent="0.3">
      <c r="A32" s="854">
        <v>2015</v>
      </c>
      <c r="B32" s="701">
        <v>1497536</v>
      </c>
      <c r="C32" s="701">
        <v>276422</v>
      </c>
      <c r="D32" s="2150">
        <v>545196</v>
      </c>
      <c r="E32" s="701">
        <v>43128</v>
      </c>
      <c r="F32" s="813">
        <v>176</v>
      </c>
      <c r="G32" s="813">
        <v>55</v>
      </c>
      <c r="H32" s="701">
        <v>2362513</v>
      </c>
      <c r="I32" s="2144">
        <v>510706</v>
      </c>
      <c r="J32" s="2144">
        <v>510706</v>
      </c>
      <c r="K32" s="2147">
        <v>510706</v>
      </c>
    </row>
    <row r="33" spans="1:11" x14ac:dyDescent="0.3">
      <c r="A33" s="854">
        <v>2016</v>
      </c>
      <c r="B33" s="701">
        <v>799259</v>
      </c>
      <c r="C33" s="701">
        <v>194364</v>
      </c>
      <c r="D33" s="2150">
        <v>357863</v>
      </c>
      <c r="E33" s="701">
        <v>48249</v>
      </c>
      <c r="F33" s="813">
        <v>47</v>
      </c>
      <c r="G33" s="813">
        <v>3</v>
      </c>
      <c r="H33" s="701">
        <v>1399785</v>
      </c>
      <c r="I33" s="2144">
        <v>342498</v>
      </c>
      <c r="J33" s="2144">
        <v>342498</v>
      </c>
      <c r="K33" s="2147">
        <v>342498</v>
      </c>
    </row>
    <row r="34" spans="1:11" x14ac:dyDescent="0.3">
      <c r="A34" s="854">
        <v>2017</v>
      </c>
      <c r="B34" s="701">
        <v>574012</v>
      </c>
      <c r="C34" s="701">
        <v>121487</v>
      </c>
      <c r="D34" s="2150">
        <v>90027</v>
      </c>
      <c r="E34" s="701">
        <v>82327</v>
      </c>
      <c r="F34" s="813">
        <v>21</v>
      </c>
      <c r="G34" s="813">
        <v>42</v>
      </c>
      <c r="H34" s="701">
        <v>867916</v>
      </c>
      <c r="I34" s="2144">
        <v>87693</v>
      </c>
      <c r="J34" s="2144">
        <v>87693</v>
      </c>
      <c r="K34" s="2147">
        <v>87693</v>
      </c>
    </row>
    <row r="35" spans="1:11" x14ac:dyDescent="0.3">
      <c r="A35" s="854">
        <v>2018</v>
      </c>
      <c r="B35" s="701">
        <v>389228</v>
      </c>
      <c r="C35" s="701">
        <v>2634</v>
      </c>
      <c r="D35" s="2150">
        <v>204930</v>
      </c>
      <c r="E35" s="701">
        <v>50095</v>
      </c>
      <c r="F35" s="813">
        <v>180</v>
      </c>
      <c r="G35" s="813">
        <v>4</v>
      </c>
      <c r="H35" s="701">
        <v>647071</v>
      </c>
      <c r="I35" s="2144">
        <v>193816</v>
      </c>
      <c r="J35" s="2144">
        <v>193816</v>
      </c>
      <c r="K35" s="2147">
        <v>193816</v>
      </c>
    </row>
    <row r="36" spans="1:11" x14ac:dyDescent="0.3">
      <c r="A36" s="854">
        <v>2019</v>
      </c>
      <c r="B36" s="701">
        <v>463241</v>
      </c>
      <c r="C36" s="701">
        <v>79954</v>
      </c>
      <c r="D36" s="2150">
        <v>66296</v>
      </c>
      <c r="E36" s="701">
        <v>84486</v>
      </c>
      <c r="F36" s="813">
        <v>316</v>
      </c>
      <c r="G36" s="813">
        <v>104</v>
      </c>
      <c r="H36" s="701">
        <v>694397</v>
      </c>
      <c r="I36" s="2144">
        <v>63046</v>
      </c>
      <c r="J36" s="2144">
        <v>63046</v>
      </c>
      <c r="K36" s="2147">
        <v>63046</v>
      </c>
    </row>
    <row r="37" spans="1:11" x14ac:dyDescent="0.3">
      <c r="A37" s="854">
        <v>2020</v>
      </c>
      <c r="B37" s="701">
        <v>623274</v>
      </c>
      <c r="C37" s="701">
        <v>116699</v>
      </c>
      <c r="D37" s="2150">
        <v>357555</v>
      </c>
      <c r="E37" s="701">
        <v>149271</v>
      </c>
      <c r="F37" s="813">
        <v>193</v>
      </c>
      <c r="G37" s="813">
        <v>2</v>
      </c>
      <c r="H37" s="701">
        <v>1246994</v>
      </c>
      <c r="I37" s="2144">
        <v>341739</v>
      </c>
      <c r="J37" s="2144">
        <v>341739</v>
      </c>
      <c r="K37" s="2147">
        <v>341739</v>
      </c>
    </row>
    <row r="38" spans="1:11" x14ac:dyDescent="0.3">
      <c r="A38" s="854">
        <v>2021</v>
      </c>
      <c r="B38" s="701">
        <v>576771</v>
      </c>
      <c r="C38" s="701">
        <v>73560</v>
      </c>
      <c r="D38" s="2150">
        <v>161564</v>
      </c>
      <c r="E38" s="701">
        <v>267999</v>
      </c>
      <c r="F38" s="813">
        <v>342</v>
      </c>
      <c r="G38" s="813">
        <v>324</v>
      </c>
      <c r="H38" s="701">
        <v>1080560</v>
      </c>
      <c r="I38" s="2144">
        <v>151765</v>
      </c>
      <c r="J38" s="2144">
        <v>151765</v>
      </c>
      <c r="K38" s="2147">
        <v>151765</v>
      </c>
    </row>
    <row r="39" spans="1:11" ht="15" thickBot="1" x14ac:dyDescent="0.35">
      <c r="A39" s="943">
        <v>2022</v>
      </c>
      <c r="B39" s="718">
        <v>888533</v>
      </c>
      <c r="C39" s="718">
        <v>132022</v>
      </c>
      <c r="D39" s="2151">
        <v>696983</v>
      </c>
      <c r="E39" s="718">
        <v>184566</v>
      </c>
      <c r="F39" s="999">
        <v>299</v>
      </c>
      <c r="G39" s="999">
        <v>8</v>
      </c>
      <c r="H39" s="718">
        <v>1902411</v>
      </c>
      <c r="I39" s="2148">
        <v>663253</v>
      </c>
      <c r="J39" s="2148">
        <v>663253</v>
      </c>
      <c r="K39" s="2149">
        <v>663253</v>
      </c>
    </row>
  </sheetData>
  <mergeCells count="1">
    <mergeCell ref="D1:K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2"/>
  <sheetViews>
    <sheetView zoomScaleNormal="100" workbookViewId="0">
      <pane xSplit="2" ySplit="1" topLeftCell="C34" activePane="bottomRight" state="frozen"/>
      <selection pane="topRight" activeCell="C15" sqref="C15"/>
      <selection pane="bottomLeft" activeCell="C15" sqref="C15"/>
      <selection pane="bottomRight" activeCell="G45" sqref="G45"/>
    </sheetView>
  </sheetViews>
  <sheetFormatPr defaultColWidth="8.6640625" defaultRowHeight="14.4" x14ac:dyDescent="0.3"/>
  <cols>
    <col min="1" max="1" width="9.88671875" style="534" customWidth="1"/>
    <col min="2" max="2" width="14.33203125" style="534" hidden="1" customWidth="1"/>
    <col min="3" max="3" width="11.109375" style="1502" customWidth="1"/>
    <col min="4" max="4" width="10.33203125" style="1538" customWidth="1"/>
    <col min="5" max="5" width="9.88671875" style="1538" customWidth="1"/>
    <col min="6" max="6" width="12.109375" style="1538" customWidth="1"/>
    <col min="7" max="7" width="10.109375" style="1511" customWidth="1"/>
    <col min="8" max="8" width="9.33203125" style="534" customWidth="1"/>
    <col min="9" max="9" width="9.33203125" style="1511" customWidth="1"/>
    <col min="10" max="10" width="12.109375" style="534" hidden="1" customWidth="1"/>
    <col min="11" max="11" width="13.33203125" style="534" hidden="1" customWidth="1"/>
    <col min="12" max="12" width="10.109375" style="535" customWidth="1"/>
    <col min="13" max="13" width="8.6640625" style="1522" customWidth="1"/>
    <col min="14" max="14" width="14.6640625" style="534" hidden="1" customWidth="1"/>
    <col min="15" max="15" width="14.44140625" style="534" hidden="1" customWidth="1"/>
    <col min="16" max="16" width="12.33203125" style="1538" hidden="1" customWidth="1"/>
    <col min="17" max="20" width="12.33203125" style="534" hidden="1" customWidth="1"/>
    <col min="21" max="21" width="12.33203125" style="1511" customWidth="1"/>
    <col min="22" max="22" width="11.6640625" style="1535" customWidth="1"/>
    <col min="23" max="23" width="8.6640625" style="1502" customWidth="1"/>
    <col min="24" max="24" width="9.88671875" style="1502" customWidth="1"/>
    <col min="25" max="26" width="9.6640625" style="534" bestFit="1" customWidth="1"/>
    <col min="27" max="27" width="10.33203125" style="534" hidden="1" customWidth="1"/>
    <col min="28" max="28" width="10.6640625" style="534" customWidth="1"/>
    <col min="29" max="29" width="10.109375" style="1502" customWidth="1"/>
    <col min="30" max="30" width="12.109375" style="1511" customWidth="1"/>
    <col min="31" max="31" width="9.44140625" style="1502" bestFit="1" customWidth="1"/>
    <col min="32" max="32" width="6.44140625" style="1520" customWidth="1"/>
    <col min="33" max="33" width="5.6640625" style="534" customWidth="1"/>
    <col min="34" max="34" width="8.6640625" style="534" customWidth="1"/>
    <col min="35" max="35" width="9.44140625" style="1538"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2"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2"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10.109375" style="534" customWidth="1"/>
    <col min="76" max="76" width="9.664062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4"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80.400000000000006" thickBot="1" x14ac:dyDescent="0.35">
      <c r="A1" s="1313" t="s">
        <v>538</v>
      </c>
      <c r="B1" s="1320" t="s">
        <v>655</v>
      </c>
      <c r="C1" s="1499" t="s">
        <v>656</v>
      </c>
      <c r="D1" s="1536" t="s">
        <v>657</v>
      </c>
      <c r="E1" s="1536" t="s">
        <v>658</v>
      </c>
      <c r="F1" s="1536" t="s">
        <v>659</v>
      </c>
      <c r="G1" s="1506" t="s">
        <v>660</v>
      </c>
      <c r="H1" s="1321" t="s">
        <v>661</v>
      </c>
      <c r="I1" s="1506" t="s">
        <v>662</v>
      </c>
      <c r="J1" s="1324" t="s">
        <v>663</v>
      </c>
      <c r="K1" s="1324" t="s">
        <v>664</v>
      </c>
      <c r="L1" s="1322" t="s">
        <v>665</v>
      </c>
      <c r="M1" s="1529" t="s">
        <v>666</v>
      </c>
      <c r="N1" s="1323" t="s">
        <v>667</v>
      </c>
      <c r="O1" s="1323" t="s">
        <v>668</v>
      </c>
      <c r="P1" s="1543" t="s">
        <v>669</v>
      </c>
      <c r="Q1" s="1361" t="s">
        <v>670</v>
      </c>
      <c r="R1" s="1321" t="s">
        <v>671</v>
      </c>
      <c r="S1" s="1321" t="s">
        <v>672</v>
      </c>
      <c r="T1" s="1321" t="s">
        <v>673</v>
      </c>
      <c r="U1" s="1558" t="s">
        <v>674</v>
      </c>
      <c r="V1" s="1559" t="s">
        <v>675</v>
      </c>
      <c r="W1" s="1503" t="s">
        <v>676</v>
      </c>
      <c r="X1" s="1503" t="s">
        <v>677</v>
      </c>
      <c r="Y1" s="1321" t="s">
        <v>678</v>
      </c>
      <c r="Z1" s="1321" t="s">
        <v>679</v>
      </c>
      <c r="AA1" s="1385" t="s">
        <v>680</v>
      </c>
      <c r="AB1" s="1628" t="s">
        <v>1323</v>
      </c>
      <c r="AC1" s="1629" t="s">
        <v>681</v>
      </c>
      <c r="AD1" s="2211" t="s">
        <v>682</v>
      </c>
      <c r="AE1" s="2212" t="s">
        <v>683</v>
      </c>
      <c r="AF1" s="2208" t="s">
        <v>684</v>
      </c>
      <c r="AG1" s="1321" t="s">
        <v>685</v>
      </c>
      <c r="AH1" s="1503" t="s">
        <v>686</v>
      </c>
      <c r="AI1" s="1536" t="s">
        <v>1327</v>
      </c>
      <c r="AJ1" s="2298" t="s">
        <v>687</v>
      </c>
      <c r="AK1" s="1324" t="s">
        <v>688</v>
      </c>
      <c r="AL1" s="1324" t="s">
        <v>689</v>
      </c>
      <c r="AM1" s="1324" t="s">
        <v>690</v>
      </c>
      <c r="AN1" s="1324" t="s">
        <v>691</v>
      </c>
      <c r="AO1" s="1324" t="s">
        <v>692</v>
      </c>
      <c r="AP1" s="1324" t="s">
        <v>1324</v>
      </c>
      <c r="AQ1" s="1562" t="s">
        <v>693</v>
      </c>
      <c r="AR1" s="1503" t="s">
        <v>694</v>
      </c>
      <c r="AS1" s="1427" t="s">
        <v>695</v>
      </c>
      <c r="AT1" s="1321" t="s">
        <v>696</v>
      </c>
      <c r="AU1" s="2298" t="s">
        <v>697</v>
      </c>
      <c r="AV1" s="1321" t="s">
        <v>698</v>
      </c>
      <c r="AW1" s="1321" t="s">
        <v>699</v>
      </c>
      <c r="AX1" s="1324" t="s">
        <v>700</v>
      </c>
      <c r="AY1" s="1325" t="s">
        <v>701</v>
      </c>
      <c r="AZ1" s="1325" t="s">
        <v>702</v>
      </c>
      <c r="BA1" s="1325" t="s">
        <v>703</v>
      </c>
      <c r="BB1" s="1325" t="s">
        <v>704</v>
      </c>
      <c r="BC1" s="1321" t="s">
        <v>705</v>
      </c>
      <c r="BD1" s="1321" t="s">
        <v>706</v>
      </c>
      <c r="BE1" s="2298" t="s">
        <v>707</v>
      </c>
      <c r="BF1" s="1324" t="s">
        <v>708</v>
      </c>
      <c r="BG1" s="1324" t="s">
        <v>709</v>
      </c>
      <c r="BH1" s="1324" t="s">
        <v>710</v>
      </c>
      <c r="BI1" s="1324" t="s">
        <v>711</v>
      </c>
      <c r="BJ1" s="1359"/>
      <c r="BK1" s="1325" t="s">
        <v>712</v>
      </c>
      <c r="BL1" s="1325" t="s">
        <v>713</v>
      </c>
      <c r="BM1" s="1360"/>
      <c r="BN1" s="1360"/>
      <c r="BO1" s="1360"/>
      <c r="BP1" s="1360"/>
      <c r="BQ1" s="2071" t="s">
        <v>714</v>
      </c>
      <c r="BR1" s="1314" t="s">
        <v>715</v>
      </c>
      <c r="BS1" s="1314" t="s">
        <v>716</v>
      </c>
      <c r="BT1" s="1314" t="s">
        <v>717</v>
      </c>
      <c r="BU1" s="1314" t="s">
        <v>718</v>
      </c>
      <c r="BV1" s="1314" t="s">
        <v>719</v>
      </c>
      <c r="BW1" s="1519" t="s">
        <v>720</v>
      </c>
      <c r="BX1" s="2224" t="s">
        <v>721</v>
      </c>
      <c r="BY1" s="1456"/>
      <c r="BZ1" s="1466" t="s">
        <v>722</v>
      </c>
      <c r="CA1" s="1467" t="s">
        <v>723</v>
      </c>
      <c r="CB1" s="1467" t="s">
        <v>724</v>
      </c>
      <c r="CC1" s="1467" t="s">
        <v>725</v>
      </c>
      <c r="CD1" s="1467" t="s">
        <v>726</v>
      </c>
      <c r="CE1" s="1467" t="s">
        <v>727</v>
      </c>
      <c r="CF1" s="1654" t="s">
        <v>728</v>
      </c>
      <c r="CG1" s="1665" t="s">
        <v>729</v>
      </c>
      <c r="CH1" s="1660" t="s">
        <v>730</v>
      </c>
      <c r="CI1" s="1475" t="s">
        <v>731</v>
      </c>
      <c r="CJ1" s="1466" t="s">
        <v>732</v>
      </c>
      <c r="CK1" s="1468" t="s">
        <v>731</v>
      </c>
      <c r="CL1" s="1653"/>
      <c r="CM1" s="1180" t="s">
        <v>733</v>
      </c>
      <c r="CN1" s="1181" t="s">
        <v>734</v>
      </c>
    </row>
    <row r="2" spans="1:106" x14ac:dyDescent="0.3">
      <c r="A2" s="1340">
        <v>1977</v>
      </c>
      <c r="B2" s="1330">
        <f>D2</f>
        <v>99829</v>
      </c>
      <c r="C2" s="1500">
        <f t="shared" ref="C2:C48" si="0">E2+AI2</f>
        <v>103901.607273</v>
      </c>
      <c r="D2" s="1327">
        <v>99829</v>
      </c>
      <c r="E2" s="1327">
        <f t="shared" ref="E2:E9" si="1">D2*VLOOKUP(A2,BON_Count_Adjustment,5)+VLOOKUP(A2,BON_Count_Adjustment,4)</f>
        <v>103901.607273</v>
      </c>
      <c r="F2" s="1327">
        <v>458</v>
      </c>
      <c r="G2" s="1507">
        <v>90261</v>
      </c>
      <c r="H2" s="1351">
        <v>25648</v>
      </c>
      <c r="I2" s="1507">
        <f t="shared" ref="I2:I17" si="2">MAX(H2*1.12,L2)</f>
        <v>28725.760000000002</v>
      </c>
      <c r="J2" s="1327">
        <v>21973</v>
      </c>
      <c r="K2" s="1327">
        <v>21973</v>
      </c>
      <c r="L2" s="1333">
        <f t="shared" ref="L2:L22" si="3">K2*1.132</f>
        <v>24873.435999999998</v>
      </c>
      <c r="M2" s="1528"/>
      <c r="N2" s="1328" t="str">
        <f>IF(L2-H2*1.12&gt;0,L2-H2*1.12,"")</f>
        <v/>
      </c>
      <c r="O2" s="1431">
        <f t="shared" ref="O2:O47" si="4">G2/(E2-AQ2-F2)</f>
        <v>0.87256237847342721</v>
      </c>
      <c r="P2" s="1341">
        <f t="shared" ref="P2:P48" si="5">I2/G2</f>
        <v>0.31825217978972092</v>
      </c>
      <c r="Q2" s="1383">
        <f t="shared" ref="Q2:Q48" si="6">J2/G2</f>
        <v>0.2434384728731124</v>
      </c>
      <c r="R2" s="1335">
        <f t="shared" ref="R2:R48" si="7">L2/G2</f>
        <v>0.27557235129236324</v>
      </c>
      <c r="S2" s="1352"/>
      <c r="T2" s="1352"/>
      <c r="U2" s="1560">
        <f t="shared" ref="U2:U9" si="8">MIN(ROUND(P2,2),ROUND(1-V2,2))</f>
        <v>0.32</v>
      </c>
      <c r="V2" s="1561">
        <f t="shared" ref="V2:V9" si="9">MAX(1-P2,M2/G2)</f>
        <v>0.68174782021027913</v>
      </c>
      <c r="W2" s="1521"/>
      <c r="X2" s="1521"/>
      <c r="Y2" s="1327">
        <f>(Total_Sox__Mouth____24_hour-Total_Sockeye__Snake)*OK_Stock_Comp_______Best</f>
        <v>33101.954327359999</v>
      </c>
      <c r="Z2" s="1327">
        <f>(Total_Sox__Mouth____24_hour-Total_Sockeye__Snake)*Ok_Stock_Comp__Wells_RI</f>
        <v>28506.198082384417</v>
      </c>
      <c r="AA2" s="1333"/>
      <c r="AB2" s="1626"/>
      <c r="AC2" s="1627">
        <f>(WEN_Sox_at_Mouth__BEST)-(WEN_Sox_at_Mouth__BEST*WEN_H_O)</f>
        <v>70341.652945640002</v>
      </c>
      <c r="AD2" s="2213">
        <f>OK_Sox_at_Mouth__RRH_RI</f>
        <v>33101.954327359999</v>
      </c>
      <c r="AE2" s="2214">
        <f>(Total_Sox__Mouth____24_hour)-(Estimated_Okanagan_Sockeye_Returns)-(Total_Sockeye__Snake)</f>
        <v>70341.652945640002</v>
      </c>
      <c r="AF2" s="2209">
        <f>((Total_Sox__Mouth____24_hour)-(Total_Sockeye__Snake)-(Total_Sockeye_Harvest_Below_Wells))*(1-OK_Stock_Comp_______Best)-((Total_Sockeye__RockI___24_hr)*(1-OK_Stock_Comp_______Best))</f>
        <v>8964.1729456399917</v>
      </c>
      <c r="AG2" s="1353">
        <v>0</v>
      </c>
      <c r="AH2" s="1620"/>
      <c r="AI2" s="1331"/>
      <c r="AJ2" s="2307"/>
      <c r="AK2" s="1331"/>
      <c r="AL2" s="1331"/>
      <c r="AM2" s="1331"/>
      <c r="AN2" s="1331"/>
      <c r="AO2" s="1403"/>
      <c r="AP2" s="1403"/>
      <c r="AQ2" s="1331"/>
      <c r="AR2" s="1513"/>
      <c r="AS2" s="1428"/>
      <c r="AT2" s="1332"/>
      <c r="AU2" s="2307"/>
      <c r="AV2" s="1327">
        <f t="shared" ref="AV2:AV47" si="10">AT2+I2</f>
        <v>28725.760000000002</v>
      </c>
      <c r="AW2" s="1327">
        <f t="shared" ref="AW2:AW47" si="11">L2+AU2</f>
        <v>24873.435999999998</v>
      </c>
      <c r="AX2" s="1354">
        <f t="shared" ref="AX2:AX4" si="12">AU2/AW2</f>
        <v>0</v>
      </c>
      <c r="AY2" s="1329">
        <f t="shared" ref="AY2:AY48" si="13">($E2*$U2-$I2-($AQ2-$AO2)*$U2)/($E2*$U2)</f>
        <v>0.13602876455860929</v>
      </c>
      <c r="AZ2" s="1329">
        <f t="shared" ref="AZ2:AZ48" si="14">($E2*$U2-$L2-$AQ2*$U2)/($E2*$U2)</f>
        <v>0.25189331002583187</v>
      </c>
      <c r="BA2" s="1327">
        <f t="shared" ref="BA2:BA47" si="15">AY2*AV2</f>
        <v>3907.5296438071168</v>
      </c>
      <c r="BB2" s="1355">
        <f t="shared" ref="BB2:BB4" si="16">AW2*AZ2</f>
        <v>6265.4521257556871</v>
      </c>
      <c r="BC2" s="1327">
        <f t="shared" ref="BC2:BC47" si="17">I2+AT2+BA2</f>
        <v>32633.289643807118</v>
      </c>
      <c r="BD2" s="1327">
        <f t="shared" ref="BD2:BD47" si="18">L2+AU2+BB2</f>
        <v>31138.888125755686</v>
      </c>
      <c r="BE2" s="2299"/>
      <c r="BF2" s="1331"/>
      <c r="BG2" s="1331"/>
      <c r="BH2" s="1348">
        <f>(Total_Sockeye__Wells___24_hour+OK_Sox_Harvest_Below_Wells)/Estimated_Okanagan_Sockeye_Returns</f>
        <v>0.75141895714118534</v>
      </c>
      <c r="BI2" s="1348">
        <f>(Total_Sockeye__Wells___24_hour+OK_Sox_Harvest_Below_Wells)/((Total_Sox__Mouth____24_hour-Total_Sockeye__Snake)*OK_Stock_Comp_______Best)</f>
        <v>0.75141895714118534</v>
      </c>
      <c r="BJ2" s="1356"/>
      <c r="BK2" s="1357"/>
      <c r="BL2" s="1357"/>
      <c r="BM2" s="1358"/>
      <c r="BN2" s="1358"/>
      <c r="BO2" s="1358"/>
      <c r="BP2" s="1358"/>
      <c r="BQ2" s="2072">
        <v>1</v>
      </c>
      <c r="BR2" s="1327"/>
      <c r="BS2" s="1327"/>
      <c r="BT2" s="1327"/>
      <c r="BU2" s="1327"/>
      <c r="BV2" s="1327"/>
      <c r="BW2" s="2225">
        <f t="shared" ref="BW2:BW16" si="19">AC2*BU2</f>
        <v>0</v>
      </c>
      <c r="BX2" s="2214"/>
      <c r="BY2" s="1457"/>
      <c r="BZ2" s="1500">
        <f t="shared" ref="BZ2:BZ48" si="20">E2</f>
        <v>103901.607273</v>
      </c>
      <c r="CA2" s="1504">
        <f t="shared" ref="CA2:CA9" si="21">AI2</f>
        <v>0</v>
      </c>
      <c r="CB2" s="1504">
        <f t="shared" ref="CB2:CB47" si="22">F2</f>
        <v>458</v>
      </c>
      <c r="CC2" s="1521">
        <v>0.32</v>
      </c>
      <c r="CD2" s="1521">
        <f t="shared" ref="CD2:CD9" si="23">1-BV2</f>
        <v>1</v>
      </c>
      <c r="CE2" s="1521">
        <f>1</f>
        <v>1</v>
      </c>
      <c r="CF2" s="1658">
        <f t="shared" ref="CF2:CF9" si="24">(BZ2+CA2-CB2)*CC2*CD2*CE2</f>
        <v>33101.954327359999</v>
      </c>
      <c r="CG2" s="1655">
        <f>CF2</f>
        <v>33101.954327359999</v>
      </c>
      <c r="CH2" s="1661">
        <f t="shared" ref="CH2:CH9" si="25">$CG2-$CF2</f>
        <v>0</v>
      </c>
      <c r="CI2" s="1659">
        <f t="shared" ref="CI2:CI9" si="26">CH2/CF2</f>
        <v>0</v>
      </c>
      <c r="CJ2" s="1673">
        <f t="shared" ref="CJ2:CJ9" si="27">$CG2-$BW2</f>
        <v>33101.954327359999</v>
      </c>
      <c r="CK2" s="1674" t="e">
        <f t="shared" ref="CK2:CK9" si="28">CJ2/BW2</f>
        <v>#DIV/0!</v>
      </c>
      <c r="CM2" s="1013">
        <f t="shared" ref="CM2:CM47" si="29">SUM(Z2,-BX2)</f>
        <v>28506.198082384417</v>
      </c>
      <c r="CN2" s="1032">
        <f>(BW2-CM2)/CM2</f>
        <v>-1</v>
      </c>
    </row>
    <row r="3" spans="1:106" x14ac:dyDescent="0.3">
      <c r="A3" s="1342">
        <v>1978</v>
      </c>
      <c r="B3" s="1336">
        <f t="shared" ref="B3:B4" si="30">D3</f>
        <v>18436</v>
      </c>
      <c r="C3" s="1469">
        <f t="shared" si="0"/>
        <v>18965.000231999999</v>
      </c>
      <c r="D3" s="1316">
        <v>18436</v>
      </c>
      <c r="E3" s="1316">
        <f t="shared" si="1"/>
        <v>18965.000231999999</v>
      </c>
      <c r="F3" s="1316">
        <v>123</v>
      </c>
      <c r="G3" s="1508">
        <v>14936</v>
      </c>
      <c r="H3" s="1346">
        <v>8349</v>
      </c>
      <c r="I3" s="1508">
        <f t="shared" si="2"/>
        <v>9350.880000000001</v>
      </c>
      <c r="J3" s="1316">
        <v>7644</v>
      </c>
      <c r="K3" s="1316">
        <v>7644</v>
      </c>
      <c r="L3" s="1315">
        <f t="shared" si="3"/>
        <v>8653.0079999999998</v>
      </c>
      <c r="M3" s="1526"/>
      <c r="N3" s="1380" t="str">
        <f t="shared" ref="N3:N48" si="31">IF(L3-H3*1.12&gt;0,L3-H3*1.12,"")</f>
        <v/>
      </c>
      <c r="O3" s="1431">
        <f t="shared" si="4"/>
        <v>0.79269715614553982</v>
      </c>
      <c r="P3" s="1339">
        <f t="shared" si="5"/>
        <v>0.6260632029994645</v>
      </c>
      <c r="Q3" s="1334">
        <f t="shared" si="6"/>
        <v>0.51178361006963047</v>
      </c>
      <c r="R3" s="1335">
        <f t="shared" si="7"/>
        <v>0.57933904659882163</v>
      </c>
      <c r="S3" s="1317"/>
      <c r="T3" s="1317"/>
      <c r="U3" s="1560">
        <f t="shared" si="8"/>
        <v>0.63</v>
      </c>
      <c r="V3" s="1561">
        <f t="shared" si="9"/>
        <v>0.3739367970005355</v>
      </c>
      <c r="W3" s="1471"/>
      <c r="X3" s="1471"/>
      <c r="Y3" s="1316">
        <f>(C3-F3)*U3</f>
        <v>11870.46014616</v>
      </c>
      <c r="Z3" s="1316">
        <f>(C3-F3)*R3</f>
        <v>10915.906450421655</v>
      </c>
      <c r="AA3" s="1315"/>
      <c r="AB3" s="1622"/>
      <c r="AC3" s="1623">
        <f t="shared" ref="AC3:AC47" si="32">AE3-AE3*AG3</f>
        <v>6971.5400858399989</v>
      </c>
      <c r="AD3" s="2215">
        <f t="shared" ref="AD3:AD9" si="33">Y3</f>
        <v>11870.46014616</v>
      </c>
      <c r="AE3" s="2216">
        <f t="shared" ref="AE3:AE47" si="34">C3-AD3-F3</f>
        <v>6971.5400858399989</v>
      </c>
      <c r="AF3" s="2209">
        <f t="shared" ref="AF3:AF9" si="35">(C3-F3-AR3)*(1-U3)-(G3*(1-U3))</f>
        <v>1445.2200858399992</v>
      </c>
      <c r="AG3" s="1347">
        <v>0</v>
      </c>
      <c r="AH3" s="1347"/>
      <c r="AI3" s="1337"/>
      <c r="AJ3" s="2308"/>
      <c r="AK3" s="1337"/>
      <c r="AL3" s="1337"/>
      <c r="AM3" s="1337"/>
      <c r="AN3" s="1337"/>
      <c r="AO3" s="1404"/>
      <c r="AP3" s="1404"/>
      <c r="AQ3" s="1337"/>
      <c r="AR3" s="1514"/>
      <c r="AS3" s="1429"/>
      <c r="AT3" s="1338"/>
      <c r="AU3" s="2308"/>
      <c r="AV3" s="1316">
        <f t="shared" si="10"/>
        <v>9350.880000000001</v>
      </c>
      <c r="AW3" s="1316">
        <f t="shared" si="11"/>
        <v>8653.0079999999998</v>
      </c>
      <c r="AX3" s="1348">
        <f t="shared" si="12"/>
        <v>0</v>
      </c>
      <c r="AY3" s="1335">
        <f t="shared" si="13"/>
        <v>0.21736533165855915</v>
      </c>
      <c r="AZ3" s="1335">
        <f t="shared" si="14"/>
        <v>0.27577468150207962</v>
      </c>
      <c r="BA3" s="1316">
        <f t="shared" si="15"/>
        <v>2032.5571324993878</v>
      </c>
      <c r="BB3" s="1349">
        <f t="shared" si="16"/>
        <v>2386.2805252349467</v>
      </c>
      <c r="BC3" s="1316">
        <f t="shared" si="17"/>
        <v>11383.437132499388</v>
      </c>
      <c r="BD3" s="1316">
        <f t="shared" si="18"/>
        <v>11039.288525234946</v>
      </c>
      <c r="BE3" s="2300"/>
      <c r="BF3" s="1337"/>
      <c r="BG3" s="1337"/>
      <c r="BH3" s="1348">
        <f>IF((L3+AU3)/AD3&gt;1,1,(L3+AU3)/AD3)</f>
        <v>0.72895303917929244</v>
      </c>
      <c r="BI3" s="1348">
        <f t="shared" ref="BI3:BI48" si="36">(K3+AU3)/D3</f>
        <v>0.414623562594923</v>
      </c>
      <c r="BJ3" s="1344"/>
      <c r="BK3" s="1326"/>
      <c r="BL3" s="1326"/>
      <c r="BM3" s="1345"/>
      <c r="BN3" s="1345"/>
      <c r="BO3" s="1345"/>
      <c r="BP3" s="1345"/>
      <c r="BQ3" s="2072">
        <v>1</v>
      </c>
      <c r="BR3" s="1316"/>
      <c r="BS3" s="1316"/>
      <c r="BT3" s="1316"/>
      <c r="BU3" s="1316"/>
      <c r="BV3" s="1316"/>
      <c r="BW3" s="2225">
        <f t="shared" si="19"/>
        <v>0</v>
      </c>
      <c r="BX3" s="2216"/>
      <c r="BY3" s="1457"/>
      <c r="BZ3" s="1469">
        <f t="shared" si="20"/>
        <v>18965.000231999999</v>
      </c>
      <c r="CA3" s="1470">
        <f t="shared" si="21"/>
        <v>0</v>
      </c>
      <c r="CB3" s="1470">
        <f t="shared" si="22"/>
        <v>123</v>
      </c>
      <c r="CC3" s="1471">
        <v>0.63</v>
      </c>
      <c r="CD3" s="1471">
        <f t="shared" si="23"/>
        <v>1</v>
      </c>
      <c r="CE3" s="1471">
        <f>1</f>
        <v>1</v>
      </c>
      <c r="CF3" s="1666">
        <f t="shared" si="24"/>
        <v>11870.46014616</v>
      </c>
      <c r="CG3" s="1656">
        <f t="shared" ref="CG3:CG9" si="37">CF3</f>
        <v>11870.46014616</v>
      </c>
      <c r="CH3" s="1662">
        <f t="shared" si="25"/>
        <v>0</v>
      </c>
      <c r="CI3" s="1548">
        <f t="shared" si="26"/>
        <v>0</v>
      </c>
      <c r="CJ3" s="1675">
        <f t="shared" si="27"/>
        <v>11870.46014616</v>
      </c>
      <c r="CK3" s="1676" t="e">
        <f t="shared" si="28"/>
        <v>#DIV/0!</v>
      </c>
      <c r="CM3" s="1013">
        <f t="shared" si="29"/>
        <v>10915.906450421655</v>
      </c>
      <c r="CN3" s="1032">
        <f>(BW3-CM3)/CM3</f>
        <v>-1</v>
      </c>
    </row>
    <row r="4" spans="1:106" x14ac:dyDescent="0.3">
      <c r="A4" s="1342">
        <v>1979</v>
      </c>
      <c r="B4" s="1336">
        <f t="shared" si="30"/>
        <v>52628</v>
      </c>
      <c r="C4" s="1469">
        <f t="shared" si="0"/>
        <v>54645.617335999996</v>
      </c>
      <c r="D4" s="1316">
        <v>52628</v>
      </c>
      <c r="E4" s="1316">
        <f t="shared" si="1"/>
        <v>54645.617335999996</v>
      </c>
      <c r="F4" s="1316">
        <v>25</v>
      </c>
      <c r="G4" s="1508">
        <v>50583</v>
      </c>
      <c r="H4" s="1346">
        <v>28945</v>
      </c>
      <c r="I4" s="1508">
        <f t="shared" si="2"/>
        <v>32418.400000000001</v>
      </c>
      <c r="J4" s="1316">
        <v>26655</v>
      </c>
      <c r="K4" s="1316">
        <v>26655</v>
      </c>
      <c r="L4" s="1315">
        <f t="shared" si="3"/>
        <v>30173.459999999995</v>
      </c>
      <c r="M4" s="1526"/>
      <c r="N4" s="1380" t="str">
        <f t="shared" si="31"/>
        <v/>
      </c>
      <c r="O4" s="1431">
        <f t="shared" si="4"/>
        <v>0.9260788776669715</v>
      </c>
      <c r="P4" s="1339">
        <f t="shared" si="5"/>
        <v>0.64089516240634203</v>
      </c>
      <c r="Q4" s="1334">
        <f t="shared" si="6"/>
        <v>0.52695569657790164</v>
      </c>
      <c r="R4" s="1335">
        <f t="shared" si="7"/>
        <v>0.59651384852618461</v>
      </c>
      <c r="S4" s="1317"/>
      <c r="T4" s="1317"/>
      <c r="U4" s="1560">
        <f t="shared" si="8"/>
        <v>0.64</v>
      </c>
      <c r="V4" s="1561">
        <f t="shared" si="9"/>
        <v>0.35910483759365797</v>
      </c>
      <c r="W4" s="1471"/>
      <c r="X4" s="1471"/>
      <c r="Y4" s="1316">
        <f>(C4-F4)*U4</f>
        <v>34957.195095039999</v>
      </c>
      <c r="Z4" s="1316">
        <f>(C4-F4)*R4</f>
        <v>32581.954655973394</v>
      </c>
      <c r="AA4" s="1315"/>
      <c r="AB4" s="1622"/>
      <c r="AC4" s="1623">
        <f t="shared" si="32"/>
        <v>19663.422240959997</v>
      </c>
      <c r="AD4" s="2215">
        <f t="shared" si="33"/>
        <v>34957.195095039999</v>
      </c>
      <c r="AE4" s="2216">
        <f t="shared" si="34"/>
        <v>19663.422240959997</v>
      </c>
      <c r="AF4" s="2209">
        <f t="shared" si="35"/>
        <v>1453.542240959996</v>
      </c>
      <c r="AG4" s="1347">
        <v>0</v>
      </c>
      <c r="AH4" s="1347"/>
      <c r="AI4" s="1337"/>
      <c r="AJ4" s="2308"/>
      <c r="AK4" s="1337"/>
      <c r="AL4" s="1337"/>
      <c r="AM4" s="1337"/>
      <c r="AN4" s="1337"/>
      <c r="AO4" s="1404"/>
      <c r="AP4" s="1404"/>
      <c r="AQ4" s="1337"/>
      <c r="AR4" s="1514"/>
      <c r="AS4" s="1429"/>
      <c r="AT4" s="1338"/>
      <c r="AU4" s="2308"/>
      <c r="AV4" s="1316">
        <f t="shared" si="10"/>
        <v>32418.400000000001</v>
      </c>
      <c r="AW4" s="1316">
        <f t="shared" si="11"/>
        <v>30173.459999999995</v>
      </c>
      <c r="AX4" s="1348">
        <f t="shared" si="12"/>
        <v>0</v>
      </c>
      <c r="AY4" s="1335">
        <f t="shared" si="13"/>
        <v>7.3050091308423964E-2</v>
      </c>
      <c r="AZ4" s="1335">
        <f t="shared" si="14"/>
        <v>0.13724039459353587</v>
      </c>
      <c r="BA4" s="1316">
        <f t="shared" si="15"/>
        <v>2368.1670800730117</v>
      </c>
      <c r="BB4" s="1349">
        <f t="shared" si="16"/>
        <v>4141.0175566522703</v>
      </c>
      <c r="BC4" s="1316">
        <f t="shared" si="17"/>
        <v>34786.567080073015</v>
      </c>
      <c r="BD4" s="1316">
        <f t="shared" si="18"/>
        <v>34314.477556652266</v>
      </c>
      <c r="BE4" s="2300"/>
      <c r="BF4" s="1337"/>
      <c r="BG4" s="1337"/>
      <c r="BH4" s="1348">
        <f t="shared" ref="BH4:BH48" si="38">IF((L4+AU4)/AD4&gt;1,1,(L4+AU4)/AD4)</f>
        <v>0.86315449274364819</v>
      </c>
      <c r="BI4" s="1348">
        <f t="shared" si="36"/>
        <v>0.50647944060196093</v>
      </c>
      <c r="BJ4" s="1344"/>
      <c r="BK4" s="1326"/>
      <c r="BL4" s="1326"/>
      <c r="BM4" s="1345"/>
      <c r="BN4" s="1345"/>
      <c r="BO4" s="1345"/>
      <c r="BP4" s="1345"/>
      <c r="BQ4" s="2072">
        <v>1</v>
      </c>
      <c r="BR4" s="1316"/>
      <c r="BS4" s="1316"/>
      <c r="BT4" s="1316"/>
      <c r="BU4" s="1316"/>
      <c r="BV4" s="1316"/>
      <c r="BW4" s="1936">
        <f t="shared" si="19"/>
        <v>0</v>
      </c>
      <c r="BX4" s="2216"/>
      <c r="BY4" s="1457"/>
      <c r="BZ4" s="1469">
        <f t="shared" si="20"/>
        <v>54645.617335999996</v>
      </c>
      <c r="CA4" s="1470">
        <f t="shared" si="21"/>
        <v>0</v>
      </c>
      <c r="CB4" s="1470">
        <f t="shared" si="22"/>
        <v>25</v>
      </c>
      <c r="CC4" s="1471">
        <v>0.64</v>
      </c>
      <c r="CD4" s="1471">
        <f t="shared" si="23"/>
        <v>1</v>
      </c>
      <c r="CE4" s="1471">
        <f>1</f>
        <v>1</v>
      </c>
      <c r="CF4" s="1666">
        <f t="shared" si="24"/>
        <v>34957.195095039999</v>
      </c>
      <c r="CG4" s="1656">
        <f t="shared" si="37"/>
        <v>34957.195095039999</v>
      </c>
      <c r="CH4" s="1662">
        <f t="shared" si="25"/>
        <v>0</v>
      </c>
      <c r="CI4" s="1548">
        <f t="shared" si="26"/>
        <v>0</v>
      </c>
      <c r="CJ4" s="1675">
        <f t="shared" si="27"/>
        <v>34957.195095039999</v>
      </c>
      <c r="CK4" s="1676" t="e">
        <f t="shared" si="28"/>
        <v>#DIV/0!</v>
      </c>
      <c r="CM4" s="1013">
        <f t="shared" si="29"/>
        <v>32581.954655973394</v>
      </c>
      <c r="CN4" s="1032">
        <f>(BW4-CM4)/CM4</f>
        <v>-1</v>
      </c>
    </row>
    <row r="5" spans="1:106" x14ac:dyDescent="0.3">
      <c r="A5" s="1342">
        <v>1980</v>
      </c>
      <c r="B5" s="1336">
        <v>58886</v>
      </c>
      <c r="C5" s="1469">
        <f t="shared" si="0"/>
        <v>61175.897733999991</v>
      </c>
      <c r="D5" s="1316">
        <v>58882</v>
      </c>
      <c r="E5" s="1316">
        <f t="shared" si="1"/>
        <v>61171.897733999991</v>
      </c>
      <c r="F5" s="1316">
        <v>107</v>
      </c>
      <c r="G5" s="1508">
        <v>52657</v>
      </c>
      <c r="H5" s="1346">
        <v>29906</v>
      </c>
      <c r="I5" s="1508">
        <f t="shared" si="2"/>
        <v>33494.720000000001</v>
      </c>
      <c r="J5" s="1316">
        <v>26573</v>
      </c>
      <c r="K5" s="1316">
        <v>26573</v>
      </c>
      <c r="L5" s="1315">
        <f t="shared" si="3"/>
        <v>30080.635999999999</v>
      </c>
      <c r="M5" s="1526"/>
      <c r="N5" s="1380" t="str">
        <f t="shared" si="31"/>
        <v/>
      </c>
      <c r="O5" s="1431">
        <f t="shared" si="4"/>
        <v>0.87133005323977353</v>
      </c>
      <c r="P5" s="1339">
        <f t="shared" si="5"/>
        <v>0.63609244734793102</v>
      </c>
      <c r="Q5" s="1334">
        <f t="shared" si="6"/>
        <v>0.50464325730672088</v>
      </c>
      <c r="R5" s="1335">
        <f t="shared" si="7"/>
        <v>0.57125616727120798</v>
      </c>
      <c r="S5" s="1317"/>
      <c r="T5" s="1317"/>
      <c r="U5" s="1560">
        <f t="shared" si="8"/>
        <v>0.64</v>
      </c>
      <c r="V5" s="1561">
        <f t="shared" si="9"/>
        <v>0.36390755265206898</v>
      </c>
      <c r="W5" s="1471"/>
      <c r="X5" s="1471"/>
      <c r="Y5" s="1316">
        <f>(C5-F5)*U5</f>
        <v>39084.094549759997</v>
      </c>
      <c r="Z5" s="1316">
        <f>(C5-F5)*R5</f>
        <v>34885.984459002189</v>
      </c>
      <c r="AA5" s="1315"/>
      <c r="AB5" s="1622"/>
      <c r="AC5" s="1623">
        <f t="shared" si="32"/>
        <v>21984.803184239994</v>
      </c>
      <c r="AD5" s="2215">
        <f t="shared" si="33"/>
        <v>39084.094549759997</v>
      </c>
      <c r="AE5" s="2216">
        <f t="shared" si="34"/>
        <v>21984.803184239994</v>
      </c>
      <c r="AF5" s="2209">
        <f t="shared" si="35"/>
        <v>2799.3231842399946</v>
      </c>
      <c r="AG5" s="1347">
        <v>0</v>
      </c>
      <c r="AH5" s="1347"/>
      <c r="AI5" s="1316">
        <v>4</v>
      </c>
      <c r="AJ5" s="2300">
        <v>636</v>
      </c>
      <c r="AK5" s="1316"/>
      <c r="AL5" s="1316"/>
      <c r="AM5" s="1316"/>
      <c r="AN5" s="1316"/>
      <c r="AO5" s="1316"/>
      <c r="AP5" s="1316"/>
      <c r="AQ5" s="1316">
        <f t="shared" ref="AQ5:AQ47" si="39">SUM(-AI5,AJ5,AP5)</f>
        <v>632</v>
      </c>
      <c r="AR5" s="1470">
        <f t="shared" ref="AR5:AR47" si="40">AJ5+AP5</f>
        <v>636</v>
      </c>
      <c r="AS5" s="1430">
        <f t="shared" ref="AS5:AS47" si="41">(AJ5+AP5)*(1-P5)</f>
        <v>231.44520348671588</v>
      </c>
      <c r="AT5" s="1316">
        <f t="shared" ref="AT5:AT46" si="42">(AR5-AO5)*U5</f>
        <v>407.04</v>
      </c>
      <c r="AU5" s="2300">
        <f t="shared" ref="AU5:AU46" si="43">AR5*U5</f>
        <v>407.04</v>
      </c>
      <c r="AV5" s="1316">
        <f t="shared" si="10"/>
        <v>33901.760000000002</v>
      </c>
      <c r="AW5" s="1316">
        <f t="shared" si="11"/>
        <v>30487.675999999999</v>
      </c>
      <c r="AX5" s="1348">
        <f t="shared" ref="AX5:AX46" si="44">AU5/AW5</f>
        <v>1.3350968437213779E-2</v>
      </c>
      <c r="AY5" s="1335">
        <f t="shared" si="13"/>
        <v>0.13412037288226714</v>
      </c>
      <c r="AZ5" s="1335">
        <f t="shared" si="14"/>
        <v>0.2213255512011838</v>
      </c>
      <c r="BA5" s="1316">
        <f t="shared" si="15"/>
        <v>4546.9166925651289</v>
      </c>
      <c r="BB5" s="1349">
        <f t="shared" ref="BB5:BB47" si="45">AW5*AZ5</f>
        <v>6747.7016955431027</v>
      </c>
      <c r="BC5" s="1316">
        <f t="shared" si="17"/>
        <v>38448.676692565132</v>
      </c>
      <c r="BD5" s="1316">
        <f t="shared" si="18"/>
        <v>37235.377695543102</v>
      </c>
      <c r="BE5" s="2300"/>
      <c r="BF5" s="1316">
        <f t="shared" ref="BF5:BF48" si="46">AD5-AW5</f>
        <v>8596.4185497599974</v>
      </c>
      <c r="BG5" s="1348">
        <f t="shared" ref="BG5:BG48" si="47">BF5/AD5</f>
        <v>0.21994672382176972</v>
      </c>
      <c r="BH5" s="1348">
        <f t="shared" si="38"/>
        <v>0.78005327617823028</v>
      </c>
      <c r="BI5" s="1348">
        <f t="shared" si="36"/>
        <v>0.45820522400733671</v>
      </c>
      <c r="BJ5" s="1344"/>
      <c r="BK5" s="1316">
        <f t="shared" ref="BK5:BK46" si="48">L5+AU5+BF5</f>
        <v>39084.094549759997</v>
      </c>
      <c r="BL5" s="1344" t="b">
        <f t="shared" ref="BL5:BL46" si="49">BK5=AD5</f>
        <v>1</v>
      </c>
      <c r="BM5" s="1345"/>
      <c r="BN5" s="1345"/>
      <c r="BO5" s="1345"/>
      <c r="BP5" s="1345"/>
      <c r="BQ5" s="2072">
        <v>1</v>
      </c>
      <c r="BR5" s="1316"/>
      <c r="BS5" s="1316"/>
      <c r="BT5" s="1316"/>
      <c r="BU5" s="1316"/>
      <c r="BV5" s="1316"/>
      <c r="BW5" s="1936">
        <f t="shared" si="19"/>
        <v>0</v>
      </c>
      <c r="BX5" s="2216"/>
      <c r="BY5" s="1457"/>
      <c r="BZ5" s="1469">
        <f t="shared" si="20"/>
        <v>61171.897733999991</v>
      </c>
      <c r="CA5" s="1470">
        <f t="shared" si="21"/>
        <v>4</v>
      </c>
      <c r="CB5" s="1470">
        <f t="shared" si="22"/>
        <v>107</v>
      </c>
      <c r="CC5" s="1471">
        <v>0.64</v>
      </c>
      <c r="CD5" s="1471">
        <f t="shared" si="23"/>
        <v>1</v>
      </c>
      <c r="CE5" s="1471">
        <f>1</f>
        <v>1</v>
      </c>
      <c r="CF5" s="1666">
        <f t="shared" si="24"/>
        <v>39084.094549759997</v>
      </c>
      <c r="CG5" s="1656">
        <f t="shared" si="37"/>
        <v>39084.094549759997</v>
      </c>
      <c r="CH5" s="1662">
        <f t="shared" si="25"/>
        <v>0</v>
      </c>
      <c r="CI5" s="1548">
        <f t="shared" si="26"/>
        <v>0</v>
      </c>
      <c r="CJ5" s="1675">
        <f t="shared" si="27"/>
        <v>39084.094549759997</v>
      </c>
      <c r="CK5" s="1676" t="e">
        <f t="shared" si="28"/>
        <v>#DIV/0!</v>
      </c>
      <c r="CM5" s="1013">
        <f t="shared" si="29"/>
        <v>34885.984459002189</v>
      </c>
      <c r="CN5" s="1014" t="e">
        <f t="shared" ref="CN5:CN47" si="50">(BW5-CM5)/BW5</f>
        <v>#DIV/0!</v>
      </c>
    </row>
    <row r="6" spans="1:106" x14ac:dyDescent="0.3">
      <c r="A6" s="1342">
        <v>1981</v>
      </c>
      <c r="B6" s="1336">
        <v>56037</v>
      </c>
      <c r="C6" s="1469">
        <f t="shared" si="0"/>
        <v>58203.034968999993</v>
      </c>
      <c r="D6" s="1316">
        <v>56037</v>
      </c>
      <c r="E6" s="1316">
        <f t="shared" si="1"/>
        <v>58203.034968999993</v>
      </c>
      <c r="F6" s="1316">
        <v>236</v>
      </c>
      <c r="G6" s="1508">
        <v>47139</v>
      </c>
      <c r="H6" s="1346">
        <v>30649</v>
      </c>
      <c r="I6" s="1508">
        <f t="shared" si="2"/>
        <v>34326.880000000005</v>
      </c>
      <c r="J6" s="1316">
        <v>28234</v>
      </c>
      <c r="K6" s="1316">
        <v>28234</v>
      </c>
      <c r="L6" s="1315">
        <f t="shared" si="3"/>
        <v>31960.887999999995</v>
      </c>
      <c r="M6" s="1526"/>
      <c r="N6" s="1380" t="str">
        <f t="shared" si="31"/>
        <v/>
      </c>
      <c r="O6" s="1431">
        <f t="shared" si="4"/>
        <v>0.83490915345486749</v>
      </c>
      <c r="P6" s="1339">
        <f t="shared" si="5"/>
        <v>0.72820551984556325</v>
      </c>
      <c r="Q6" s="1334">
        <f t="shared" si="6"/>
        <v>0.59895203546956877</v>
      </c>
      <c r="R6" s="1335">
        <f t="shared" si="7"/>
        <v>0.67801370415155171</v>
      </c>
      <c r="S6" s="1317"/>
      <c r="T6" s="1317"/>
      <c r="U6" s="1560">
        <f t="shared" si="8"/>
        <v>0.73</v>
      </c>
      <c r="V6" s="1561">
        <f t="shared" si="9"/>
        <v>0.27179448015443675</v>
      </c>
      <c r="W6" s="1471"/>
      <c r="X6" s="1471"/>
      <c r="Y6" s="1316">
        <f t="shared" ref="Y6:Y46" si="51">(C6-F6)*U6</f>
        <v>42315.935527369991</v>
      </c>
      <c r="Z6" s="1316">
        <f t="shared" ref="Z6:Z46" si="52">(C6-F6)*R6</f>
        <v>39302.444098014217</v>
      </c>
      <c r="AA6" s="1315"/>
      <c r="AB6" s="1622"/>
      <c r="AC6" s="1623">
        <f t="shared" si="32"/>
        <v>15651.099441630002</v>
      </c>
      <c r="AD6" s="2215">
        <f t="shared" si="33"/>
        <v>42315.935527369991</v>
      </c>
      <c r="AE6" s="2216">
        <f t="shared" si="34"/>
        <v>15651.099441630002</v>
      </c>
      <c r="AF6" s="2209">
        <f t="shared" si="35"/>
        <v>2516.6794416299981</v>
      </c>
      <c r="AG6" s="1347">
        <v>0</v>
      </c>
      <c r="AH6" s="1347"/>
      <c r="AI6" s="1316">
        <v>0</v>
      </c>
      <c r="AJ6" s="2300">
        <v>1507</v>
      </c>
      <c r="AK6" s="1316"/>
      <c r="AL6" s="1316"/>
      <c r="AM6" s="1316"/>
      <c r="AN6" s="1316"/>
      <c r="AO6" s="1316"/>
      <c r="AP6" s="1316"/>
      <c r="AQ6" s="1316">
        <f t="shared" si="39"/>
        <v>1507</v>
      </c>
      <c r="AR6" s="1470">
        <f t="shared" si="40"/>
        <v>1507</v>
      </c>
      <c r="AS6" s="1430">
        <f t="shared" si="41"/>
        <v>409.59428159273619</v>
      </c>
      <c r="AT6" s="1316">
        <f t="shared" si="42"/>
        <v>1100.1099999999999</v>
      </c>
      <c r="AU6" s="2300">
        <f t="shared" si="43"/>
        <v>1100.1099999999999</v>
      </c>
      <c r="AV6" s="1316">
        <f t="shared" si="10"/>
        <v>35426.990000000005</v>
      </c>
      <c r="AW6" s="1316">
        <f t="shared" si="11"/>
        <v>33060.997999999992</v>
      </c>
      <c r="AX6" s="1350">
        <f t="shared" si="44"/>
        <v>3.3275160054152028E-2</v>
      </c>
      <c r="AY6" s="1335">
        <f t="shared" si="13"/>
        <v>0.16619256515542064</v>
      </c>
      <c r="AZ6" s="1335">
        <f t="shared" si="14"/>
        <v>0.22187840582048426</v>
      </c>
      <c r="BA6" s="1316">
        <f t="shared" si="15"/>
        <v>5887.7023438354363</v>
      </c>
      <c r="BB6" s="1316">
        <f t="shared" si="45"/>
        <v>7335.5215310742169</v>
      </c>
      <c r="BC6" s="1316">
        <f t="shared" si="17"/>
        <v>41314.692343835442</v>
      </c>
      <c r="BD6" s="1316">
        <f t="shared" si="18"/>
        <v>40396.519531074213</v>
      </c>
      <c r="BE6" s="2300"/>
      <c r="BF6" s="1316">
        <f t="shared" si="46"/>
        <v>9254.9375273699989</v>
      </c>
      <c r="BG6" s="1348">
        <f t="shared" si="47"/>
        <v>0.21871045534096475</v>
      </c>
      <c r="BH6" s="1348">
        <f t="shared" si="38"/>
        <v>0.78128954465903522</v>
      </c>
      <c r="BI6" s="1348">
        <f t="shared" si="36"/>
        <v>0.52347752377893175</v>
      </c>
      <c r="BJ6" s="1344"/>
      <c r="BK6" s="1316">
        <f t="shared" si="48"/>
        <v>42315.935527369991</v>
      </c>
      <c r="BL6" s="1344" t="b">
        <f t="shared" si="49"/>
        <v>1</v>
      </c>
      <c r="BM6" s="1345"/>
      <c r="BN6" s="1345"/>
      <c r="BO6" s="1345"/>
      <c r="BP6" s="1345"/>
      <c r="BQ6" s="2072">
        <v>1</v>
      </c>
      <c r="BR6" s="1316"/>
      <c r="BS6" s="1316"/>
      <c r="BT6" s="1316"/>
      <c r="BU6" s="1316"/>
      <c r="BV6" s="1316"/>
      <c r="BW6" s="1936">
        <f t="shared" si="19"/>
        <v>0</v>
      </c>
      <c r="BX6" s="2216"/>
      <c r="BY6" s="1457"/>
      <c r="BZ6" s="1469">
        <f t="shared" si="20"/>
        <v>58203.034968999993</v>
      </c>
      <c r="CA6" s="1470">
        <f t="shared" si="21"/>
        <v>0</v>
      </c>
      <c r="CB6" s="1470">
        <f t="shared" si="22"/>
        <v>236</v>
      </c>
      <c r="CC6" s="1471">
        <v>0.73</v>
      </c>
      <c r="CD6" s="1471">
        <f t="shared" si="23"/>
        <v>1</v>
      </c>
      <c r="CE6" s="1471">
        <f>1</f>
        <v>1</v>
      </c>
      <c r="CF6" s="1666">
        <f t="shared" si="24"/>
        <v>42315.935527369991</v>
      </c>
      <c r="CG6" s="1656">
        <f t="shared" si="37"/>
        <v>42315.935527369991</v>
      </c>
      <c r="CH6" s="1662">
        <f t="shared" si="25"/>
        <v>0</v>
      </c>
      <c r="CI6" s="1548">
        <f t="shared" si="26"/>
        <v>0</v>
      </c>
      <c r="CJ6" s="1675">
        <f t="shared" si="27"/>
        <v>42315.935527369991</v>
      </c>
      <c r="CK6" s="1676" t="e">
        <f t="shared" si="28"/>
        <v>#DIV/0!</v>
      </c>
      <c r="CM6" s="1013">
        <f t="shared" si="29"/>
        <v>39302.444098014217</v>
      </c>
      <c r="CN6" s="1014" t="e">
        <f t="shared" si="50"/>
        <v>#DIV/0!</v>
      </c>
    </row>
    <row r="7" spans="1:106" x14ac:dyDescent="0.3">
      <c r="A7" s="1342">
        <v>1982</v>
      </c>
      <c r="B7" s="1336">
        <v>50319</v>
      </c>
      <c r="C7" s="1469">
        <f t="shared" si="0"/>
        <v>52231.736702999995</v>
      </c>
      <c r="D7" s="1316">
        <v>50219</v>
      </c>
      <c r="E7" s="1316">
        <f t="shared" si="1"/>
        <v>52131.736702999995</v>
      </c>
      <c r="F7" s="1316">
        <v>257</v>
      </c>
      <c r="G7" s="1508">
        <v>41111</v>
      </c>
      <c r="H7" s="1346">
        <v>17379</v>
      </c>
      <c r="I7" s="1508">
        <f t="shared" si="2"/>
        <v>21513.659999999996</v>
      </c>
      <c r="J7" s="1316">
        <v>19005</v>
      </c>
      <c r="K7" s="1316">
        <v>19005</v>
      </c>
      <c r="L7" s="1315">
        <f t="shared" si="3"/>
        <v>21513.659999999996</v>
      </c>
      <c r="M7" s="1526"/>
      <c r="N7" s="1380">
        <f t="shared" si="31"/>
        <v>2049.179999999993</v>
      </c>
      <c r="O7" s="1431">
        <f t="shared" si="4"/>
        <v>0.80295334795327467</v>
      </c>
      <c r="P7" s="1339">
        <f t="shared" si="5"/>
        <v>0.52330665758556094</v>
      </c>
      <c r="Q7" s="1334">
        <f t="shared" si="6"/>
        <v>0.46228503320279246</v>
      </c>
      <c r="R7" s="1335">
        <f t="shared" si="7"/>
        <v>0.52330665758556094</v>
      </c>
      <c r="S7" s="1317"/>
      <c r="T7" s="1317"/>
      <c r="U7" s="1560">
        <f t="shared" si="8"/>
        <v>0.52</v>
      </c>
      <c r="V7" s="1561">
        <f t="shared" si="9"/>
        <v>0.47669334241443906</v>
      </c>
      <c r="W7" s="1471"/>
      <c r="X7" s="1471"/>
      <c r="Y7" s="1316">
        <f t="shared" si="51"/>
        <v>27026.863085559999</v>
      </c>
      <c r="Z7" s="1316">
        <f t="shared" si="52"/>
        <v>27198.725742936505</v>
      </c>
      <c r="AA7" s="1315"/>
      <c r="AB7" s="1622"/>
      <c r="AC7" s="1623">
        <f t="shared" si="32"/>
        <v>24947.873617439996</v>
      </c>
      <c r="AD7" s="2215">
        <f t="shared" si="33"/>
        <v>27026.863085559999</v>
      </c>
      <c r="AE7" s="2216">
        <f t="shared" si="34"/>
        <v>24947.873617439996</v>
      </c>
      <c r="AF7" s="2209">
        <f t="shared" si="35"/>
        <v>4842.5936174399976</v>
      </c>
      <c r="AG7" s="1347">
        <v>0</v>
      </c>
      <c r="AH7" s="1347"/>
      <c r="AI7" s="1316">
        <v>100</v>
      </c>
      <c r="AJ7" s="2300">
        <v>775</v>
      </c>
      <c r="AK7" s="1316"/>
      <c r="AL7" s="1316"/>
      <c r="AM7" s="1316"/>
      <c r="AN7" s="1316"/>
      <c r="AO7" s="1316"/>
      <c r="AP7" s="1316"/>
      <c r="AQ7" s="1316">
        <f t="shared" si="39"/>
        <v>675</v>
      </c>
      <c r="AR7" s="1470">
        <f t="shared" si="40"/>
        <v>775</v>
      </c>
      <c r="AS7" s="1430">
        <f t="shared" si="41"/>
        <v>369.43734037119026</v>
      </c>
      <c r="AT7" s="1316">
        <f t="shared" si="42"/>
        <v>403</v>
      </c>
      <c r="AU7" s="2300">
        <f t="shared" si="43"/>
        <v>403</v>
      </c>
      <c r="AV7" s="1316">
        <f t="shared" si="10"/>
        <v>21916.659999999996</v>
      </c>
      <c r="AW7" s="1316">
        <f t="shared" si="11"/>
        <v>21916.659999999996</v>
      </c>
      <c r="AX7" s="1350">
        <f t="shared" si="44"/>
        <v>1.8387838292878572E-2</v>
      </c>
      <c r="AY7" s="1335">
        <f t="shared" si="13"/>
        <v>0.19343905006519013</v>
      </c>
      <c r="AZ7" s="1335">
        <f t="shared" si="14"/>
        <v>0.19343905006519013</v>
      </c>
      <c r="BA7" s="1316">
        <f t="shared" si="15"/>
        <v>4239.5378910017489</v>
      </c>
      <c r="BB7" s="1316">
        <f t="shared" si="45"/>
        <v>4239.5378910017489</v>
      </c>
      <c r="BC7" s="1316">
        <f t="shared" si="17"/>
        <v>26156.197891001746</v>
      </c>
      <c r="BD7" s="1316">
        <f t="shared" si="18"/>
        <v>26156.197891001746</v>
      </c>
      <c r="BE7" s="2300"/>
      <c r="BF7" s="1316">
        <f t="shared" si="46"/>
        <v>5110.2030855600024</v>
      </c>
      <c r="BG7" s="1348">
        <f t="shared" si="47"/>
        <v>0.18907866108554414</v>
      </c>
      <c r="BH7" s="1348">
        <f t="shared" si="38"/>
        <v>0.81092133891445584</v>
      </c>
      <c r="BI7" s="1348">
        <f t="shared" si="36"/>
        <v>0.38646727334275871</v>
      </c>
      <c r="BJ7" s="1344"/>
      <c r="BK7" s="1316">
        <f t="shared" si="48"/>
        <v>27026.863085559999</v>
      </c>
      <c r="BL7" s="1344" t="b">
        <f t="shared" si="49"/>
        <v>1</v>
      </c>
      <c r="BM7" s="1345"/>
      <c r="BN7" s="1345"/>
      <c r="BO7" s="1345"/>
      <c r="BP7" s="1345"/>
      <c r="BQ7" s="2072">
        <v>1</v>
      </c>
      <c r="BR7" s="1316"/>
      <c r="BS7" s="1316"/>
      <c r="BT7" s="1316"/>
      <c r="BU7" s="1316"/>
      <c r="BV7" s="1316"/>
      <c r="BW7" s="1936">
        <f t="shared" si="19"/>
        <v>0</v>
      </c>
      <c r="BX7" s="2216"/>
      <c r="BY7" s="1457"/>
      <c r="BZ7" s="1469">
        <f t="shared" si="20"/>
        <v>52131.736702999995</v>
      </c>
      <c r="CA7" s="1470">
        <f t="shared" si="21"/>
        <v>100</v>
      </c>
      <c r="CB7" s="1470">
        <f t="shared" si="22"/>
        <v>257</v>
      </c>
      <c r="CC7" s="1471">
        <v>0.52</v>
      </c>
      <c r="CD7" s="1471">
        <f t="shared" si="23"/>
        <v>1</v>
      </c>
      <c r="CE7" s="1471">
        <f>1</f>
        <v>1</v>
      </c>
      <c r="CF7" s="1666">
        <f t="shared" si="24"/>
        <v>27026.863085559999</v>
      </c>
      <c r="CG7" s="1656">
        <f t="shared" si="37"/>
        <v>27026.863085559999</v>
      </c>
      <c r="CH7" s="1662">
        <f t="shared" si="25"/>
        <v>0</v>
      </c>
      <c r="CI7" s="1548">
        <f t="shared" si="26"/>
        <v>0</v>
      </c>
      <c r="CJ7" s="1675">
        <f t="shared" si="27"/>
        <v>27026.863085559999</v>
      </c>
      <c r="CK7" s="1676" t="e">
        <f t="shared" si="28"/>
        <v>#DIV/0!</v>
      </c>
      <c r="CM7" s="1013">
        <f t="shared" si="29"/>
        <v>27198.725742936505</v>
      </c>
      <c r="CN7" s="1014" t="e">
        <f t="shared" si="50"/>
        <v>#DIV/0!</v>
      </c>
    </row>
    <row r="8" spans="1:106" x14ac:dyDescent="0.3">
      <c r="A8" s="1342">
        <v>1983</v>
      </c>
      <c r="B8" s="1336">
        <v>100610</v>
      </c>
      <c r="C8" s="1469">
        <f t="shared" si="0"/>
        <v>104712.996099</v>
      </c>
      <c r="D8" s="1316">
        <v>100527</v>
      </c>
      <c r="E8" s="1316">
        <f t="shared" si="1"/>
        <v>104629.996099</v>
      </c>
      <c r="F8" s="1316">
        <v>241</v>
      </c>
      <c r="G8" s="1508">
        <v>86424</v>
      </c>
      <c r="H8" s="1346">
        <v>26079</v>
      </c>
      <c r="I8" s="1508">
        <f t="shared" si="2"/>
        <v>31611.1</v>
      </c>
      <c r="J8" s="1316">
        <v>27925</v>
      </c>
      <c r="K8" s="1316">
        <v>27925</v>
      </c>
      <c r="L8" s="1315">
        <f t="shared" si="3"/>
        <v>31611.1</v>
      </c>
      <c r="M8" s="1526"/>
      <c r="N8" s="1380">
        <f t="shared" si="31"/>
        <v>2402.6199999999953</v>
      </c>
      <c r="O8" s="1431">
        <f t="shared" si="4"/>
        <v>0.85464239919662199</v>
      </c>
      <c r="P8" s="1339">
        <f t="shared" si="5"/>
        <v>0.36576761084883824</v>
      </c>
      <c r="Q8" s="1334">
        <f t="shared" si="6"/>
        <v>0.32311626400074056</v>
      </c>
      <c r="R8" s="1335">
        <f t="shared" si="7"/>
        <v>0.36576761084883824</v>
      </c>
      <c r="S8" s="1317"/>
      <c r="T8" s="1317"/>
      <c r="U8" s="1560">
        <f t="shared" si="8"/>
        <v>0.37</v>
      </c>
      <c r="V8" s="1561">
        <f t="shared" si="9"/>
        <v>0.63423238915116176</v>
      </c>
      <c r="W8" s="1471"/>
      <c r="X8" s="1471"/>
      <c r="Y8" s="1316">
        <f t="shared" si="51"/>
        <v>38654.638556630001</v>
      </c>
      <c r="Z8" s="1316">
        <f t="shared" si="52"/>
        <v>38212.472413740375</v>
      </c>
      <c r="AA8" s="1315"/>
      <c r="AB8" s="1622"/>
      <c r="AC8" s="1623">
        <f t="shared" si="32"/>
        <v>65817.357542369995</v>
      </c>
      <c r="AD8" s="2215">
        <f t="shared" si="33"/>
        <v>38654.638556630001</v>
      </c>
      <c r="AE8" s="2216">
        <f t="shared" si="34"/>
        <v>65817.357542369995</v>
      </c>
      <c r="AF8" s="2209">
        <f t="shared" si="35"/>
        <v>9260.367542369997</v>
      </c>
      <c r="AG8" s="1347">
        <v>0</v>
      </c>
      <c r="AH8" s="1347"/>
      <c r="AI8" s="1316">
        <v>83</v>
      </c>
      <c r="AJ8" s="2300">
        <v>3349</v>
      </c>
      <c r="AK8" s="1316"/>
      <c r="AL8" s="1316"/>
      <c r="AM8" s="1316"/>
      <c r="AN8" s="1316"/>
      <c r="AO8" s="1316"/>
      <c r="AP8" s="1316"/>
      <c r="AQ8" s="1316">
        <f t="shared" si="39"/>
        <v>3266</v>
      </c>
      <c r="AR8" s="1470">
        <f t="shared" si="40"/>
        <v>3349</v>
      </c>
      <c r="AS8" s="1430">
        <f t="shared" si="41"/>
        <v>2124.0442712672407</v>
      </c>
      <c r="AT8" s="1316">
        <f t="shared" si="42"/>
        <v>1239.1299999999999</v>
      </c>
      <c r="AU8" s="2300">
        <f t="shared" si="43"/>
        <v>1239.1299999999999</v>
      </c>
      <c r="AV8" s="1316">
        <f t="shared" si="10"/>
        <v>32850.229999999996</v>
      </c>
      <c r="AW8" s="1316">
        <f t="shared" si="11"/>
        <v>32850.229999999996</v>
      </c>
      <c r="AX8" s="1350">
        <f t="shared" si="44"/>
        <v>3.7720588257677344E-2</v>
      </c>
      <c r="AY8" s="1335">
        <f t="shared" si="13"/>
        <v>0.15223732473929469</v>
      </c>
      <c r="AZ8" s="1335">
        <f t="shared" si="14"/>
        <v>0.15223732473929469</v>
      </c>
      <c r="BA8" s="1316">
        <f t="shared" si="15"/>
        <v>5001.0311322705202</v>
      </c>
      <c r="BB8" s="1316">
        <f t="shared" si="45"/>
        <v>5001.0311322705202</v>
      </c>
      <c r="BC8" s="1316">
        <f t="shared" si="17"/>
        <v>37851.26113227052</v>
      </c>
      <c r="BD8" s="1316">
        <f t="shared" si="18"/>
        <v>37851.26113227052</v>
      </c>
      <c r="BE8" s="2300"/>
      <c r="BF8" s="1316">
        <f t="shared" si="46"/>
        <v>5804.4085566300055</v>
      </c>
      <c r="BG8" s="1348">
        <f t="shared" si="47"/>
        <v>0.15016072516436554</v>
      </c>
      <c r="BH8" s="1348">
        <f t="shared" si="38"/>
        <v>0.84983927483563448</v>
      </c>
      <c r="BI8" s="1348">
        <f t="shared" si="36"/>
        <v>0.29011240761188539</v>
      </c>
      <c r="BJ8" s="1344"/>
      <c r="BK8" s="1316">
        <f t="shared" si="48"/>
        <v>38654.638556630001</v>
      </c>
      <c r="BL8" s="1344" t="b">
        <f t="shared" si="49"/>
        <v>1</v>
      </c>
      <c r="BM8" s="1345"/>
      <c r="BN8" s="1345"/>
      <c r="BO8" s="1345"/>
      <c r="BP8" s="1345"/>
      <c r="BQ8" s="2072">
        <v>1</v>
      </c>
      <c r="BR8" s="1316"/>
      <c r="BS8" s="1316"/>
      <c r="BT8" s="1316"/>
      <c r="BU8" s="1316"/>
      <c r="BV8" s="1316"/>
      <c r="BW8" s="1936">
        <f t="shared" si="19"/>
        <v>0</v>
      </c>
      <c r="BX8" s="2216"/>
      <c r="BY8" s="1457"/>
      <c r="BZ8" s="1469">
        <f t="shared" si="20"/>
        <v>104629.996099</v>
      </c>
      <c r="CA8" s="1470">
        <f t="shared" si="21"/>
        <v>83</v>
      </c>
      <c r="CB8" s="1470">
        <f t="shared" si="22"/>
        <v>241</v>
      </c>
      <c r="CC8" s="1471">
        <v>0.37</v>
      </c>
      <c r="CD8" s="1471">
        <f t="shared" si="23"/>
        <v>1</v>
      </c>
      <c r="CE8" s="1471">
        <f>1</f>
        <v>1</v>
      </c>
      <c r="CF8" s="1666">
        <f t="shared" si="24"/>
        <v>38654.638556630001</v>
      </c>
      <c r="CG8" s="1656">
        <f t="shared" si="37"/>
        <v>38654.638556630001</v>
      </c>
      <c r="CH8" s="1662">
        <f t="shared" si="25"/>
        <v>0</v>
      </c>
      <c r="CI8" s="1548">
        <f t="shared" si="26"/>
        <v>0</v>
      </c>
      <c r="CJ8" s="1675">
        <f t="shared" si="27"/>
        <v>38654.638556630001</v>
      </c>
      <c r="CK8" s="1676" t="e">
        <f t="shared" si="28"/>
        <v>#DIV/0!</v>
      </c>
      <c r="CM8" s="1013">
        <f t="shared" si="29"/>
        <v>38212.472413740375</v>
      </c>
      <c r="CN8" s="1014" t="e">
        <f t="shared" si="50"/>
        <v>#DIV/0!</v>
      </c>
    </row>
    <row r="9" spans="1:106" x14ac:dyDescent="0.3">
      <c r="A9" s="1342">
        <v>1984</v>
      </c>
      <c r="B9" s="1336">
        <v>161890</v>
      </c>
      <c r="C9" s="1469">
        <f t="shared" si="0"/>
        <v>168257.70376499998</v>
      </c>
      <c r="D9" s="1316">
        <v>152545</v>
      </c>
      <c r="E9" s="1316">
        <f t="shared" si="1"/>
        <v>158912.70376499998</v>
      </c>
      <c r="F9" s="1316">
        <v>149</v>
      </c>
      <c r="G9" s="1508">
        <v>109092</v>
      </c>
      <c r="H9" s="1346">
        <v>73290</v>
      </c>
      <c r="I9" s="1508">
        <f t="shared" si="2"/>
        <v>91753.127999999997</v>
      </c>
      <c r="J9" s="1316">
        <v>81054</v>
      </c>
      <c r="K9" s="1316">
        <v>81054</v>
      </c>
      <c r="L9" s="1315">
        <f t="shared" si="3"/>
        <v>91753.127999999997</v>
      </c>
      <c r="M9" s="1526"/>
      <c r="N9" s="1380">
        <f t="shared" si="31"/>
        <v>9668.3279999999941</v>
      </c>
      <c r="O9" s="1431">
        <f t="shared" si="4"/>
        <v>0.76026165190016559</v>
      </c>
      <c r="P9" s="1339">
        <f t="shared" si="5"/>
        <v>0.84106192938070612</v>
      </c>
      <c r="Q9" s="1334">
        <f t="shared" si="6"/>
        <v>0.74298757012429872</v>
      </c>
      <c r="R9" s="1335">
        <f t="shared" si="7"/>
        <v>0.84106192938070612</v>
      </c>
      <c r="S9" s="1317"/>
      <c r="T9" s="1317"/>
      <c r="U9" s="1560">
        <f t="shared" si="8"/>
        <v>0.84</v>
      </c>
      <c r="V9" s="1561">
        <f t="shared" si="9"/>
        <v>0.15893807061929388</v>
      </c>
      <c r="W9" s="1471"/>
      <c r="X9" s="1471"/>
      <c r="Y9" s="1316">
        <f t="shared" si="51"/>
        <v>141211.31116259997</v>
      </c>
      <c r="Z9" s="1316">
        <f t="shared" si="52"/>
        <v>141389.83073428046</v>
      </c>
      <c r="AA9" s="1315"/>
      <c r="AB9" s="1622"/>
      <c r="AC9" s="1623">
        <f t="shared" si="32"/>
        <v>26897.39260240001</v>
      </c>
      <c r="AD9" s="2215">
        <f t="shared" si="33"/>
        <v>141211.31116259997</v>
      </c>
      <c r="AE9" s="2216">
        <f t="shared" si="34"/>
        <v>26897.39260240001</v>
      </c>
      <c r="AF9" s="2209">
        <f t="shared" si="35"/>
        <v>5504.1126023999968</v>
      </c>
      <c r="AG9" s="1347">
        <v>0</v>
      </c>
      <c r="AH9" s="1347"/>
      <c r="AI9" s="1316">
        <v>9345</v>
      </c>
      <c r="AJ9" s="2300">
        <v>24616</v>
      </c>
      <c r="AK9" s="1316"/>
      <c r="AL9" s="1316"/>
      <c r="AM9" s="1316"/>
      <c r="AN9" s="1316"/>
      <c r="AO9" s="1316"/>
      <c r="AP9" s="1316"/>
      <c r="AQ9" s="1316">
        <f t="shared" si="39"/>
        <v>15271</v>
      </c>
      <c r="AR9" s="1470">
        <f t="shared" si="40"/>
        <v>24616</v>
      </c>
      <c r="AS9" s="1430">
        <f t="shared" si="41"/>
        <v>3912.4195463645383</v>
      </c>
      <c r="AT9" s="1316">
        <f t="shared" si="42"/>
        <v>20677.439999999999</v>
      </c>
      <c r="AU9" s="2300">
        <f t="shared" si="43"/>
        <v>20677.439999999999</v>
      </c>
      <c r="AV9" s="1316">
        <f t="shared" si="10"/>
        <v>112430.568</v>
      </c>
      <c r="AW9" s="1316">
        <f t="shared" si="11"/>
        <v>112430.568</v>
      </c>
      <c r="AX9" s="1350">
        <f t="shared" si="44"/>
        <v>0.18391297284916322</v>
      </c>
      <c r="AY9" s="1335">
        <f t="shared" si="13"/>
        <v>0.2165452393924015</v>
      </c>
      <c r="AZ9" s="1335">
        <f t="shared" si="14"/>
        <v>0.2165452393924015</v>
      </c>
      <c r="BA9" s="1316">
        <f t="shared" si="15"/>
        <v>24346.304262583675</v>
      </c>
      <c r="BB9" s="1316">
        <f t="shared" si="45"/>
        <v>24346.304262583675</v>
      </c>
      <c r="BC9" s="1316">
        <f t="shared" si="17"/>
        <v>136776.87226258367</v>
      </c>
      <c r="BD9" s="1316">
        <f t="shared" si="18"/>
        <v>136776.87226258367</v>
      </c>
      <c r="BE9" s="2300"/>
      <c r="BF9" s="1316">
        <f t="shared" si="46"/>
        <v>28780.743162599974</v>
      </c>
      <c r="BG9" s="1348">
        <f t="shared" si="47"/>
        <v>0.20381329884728525</v>
      </c>
      <c r="BH9" s="1348">
        <f t="shared" si="38"/>
        <v>0.79618670115271473</v>
      </c>
      <c r="BI9" s="1348">
        <f t="shared" si="36"/>
        <v>0.66689462125930055</v>
      </c>
      <c r="BJ9" s="1344"/>
      <c r="BK9" s="1316">
        <f t="shared" si="48"/>
        <v>141211.31116259997</v>
      </c>
      <c r="BL9" s="1344" t="b">
        <f t="shared" si="49"/>
        <v>1</v>
      </c>
      <c r="BM9" s="1345"/>
      <c r="BN9" s="1345"/>
      <c r="BO9" s="1345"/>
      <c r="BP9" s="1345"/>
      <c r="BQ9" s="2072">
        <v>1</v>
      </c>
      <c r="BR9" s="1316"/>
      <c r="BS9" s="1316"/>
      <c r="BT9" s="1316"/>
      <c r="BU9" s="1316"/>
      <c r="BV9" s="1316"/>
      <c r="BW9" s="1936">
        <f t="shared" si="19"/>
        <v>0</v>
      </c>
      <c r="BX9" s="2216"/>
      <c r="BY9" s="1457"/>
      <c r="BZ9" s="1469">
        <f t="shared" si="20"/>
        <v>158912.70376499998</v>
      </c>
      <c r="CA9" s="1470">
        <f t="shared" si="21"/>
        <v>9345</v>
      </c>
      <c r="CB9" s="1470">
        <f t="shared" si="22"/>
        <v>149</v>
      </c>
      <c r="CC9" s="1471">
        <v>0.84</v>
      </c>
      <c r="CD9" s="1471">
        <f t="shared" si="23"/>
        <v>1</v>
      </c>
      <c r="CE9" s="1471">
        <f>1</f>
        <v>1</v>
      </c>
      <c r="CF9" s="1666">
        <f t="shared" si="24"/>
        <v>141211.31116259997</v>
      </c>
      <c r="CG9" s="1656">
        <f t="shared" si="37"/>
        <v>141211.31116259997</v>
      </c>
      <c r="CH9" s="1662">
        <f t="shared" si="25"/>
        <v>0</v>
      </c>
      <c r="CI9" s="1548">
        <f t="shared" si="26"/>
        <v>0</v>
      </c>
      <c r="CJ9" s="1675">
        <f t="shared" si="27"/>
        <v>141211.31116259997</v>
      </c>
      <c r="CK9" s="1676" t="e">
        <f t="shared" si="28"/>
        <v>#DIV/0!</v>
      </c>
      <c r="CM9" s="1013">
        <f t="shared" si="29"/>
        <v>141389.83073428046</v>
      </c>
      <c r="CN9" s="1014" t="e">
        <f t="shared" si="50"/>
        <v>#DIV/0!</v>
      </c>
    </row>
    <row r="10" spans="1:106" x14ac:dyDescent="0.3">
      <c r="A10" s="1342">
        <v>1985</v>
      </c>
      <c r="B10" s="1336">
        <v>200758</v>
      </c>
      <c r="C10" s="1469">
        <f t="shared" si="0"/>
        <v>205521</v>
      </c>
      <c r="D10" s="1537">
        <v>166340</v>
      </c>
      <c r="E10" s="1537">
        <f t="shared" ref="E10:E19" si="53">ROUND(D10*VLOOKUP(A10,BON_Count_Adjustment,5)+VLOOKUP(A10,BON_Count_Adjustment,4),0)</f>
        <v>173308</v>
      </c>
      <c r="F10" s="1537">
        <v>59</v>
      </c>
      <c r="G10" s="1508">
        <v>103200</v>
      </c>
      <c r="H10" s="1346">
        <v>54077</v>
      </c>
      <c r="I10" s="1508">
        <f t="shared" si="2"/>
        <v>60566.240000000005</v>
      </c>
      <c r="J10" s="1316">
        <v>52989</v>
      </c>
      <c r="K10" s="1316">
        <v>52989</v>
      </c>
      <c r="L10" s="1315">
        <f t="shared" si="3"/>
        <v>59983.547999999995</v>
      </c>
      <c r="M10" s="1526"/>
      <c r="N10" s="1380" t="str">
        <f t="shared" si="31"/>
        <v/>
      </c>
      <c r="O10" s="1431">
        <f t="shared" si="4"/>
        <v>0.66369547182188271</v>
      </c>
      <c r="P10" s="1544">
        <f t="shared" si="5"/>
        <v>0.58688217054263569</v>
      </c>
      <c r="Q10" s="1334">
        <f t="shared" si="6"/>
        <v>0.51345930232558135</v>
      </c>
      <c r="R10" s="1335">
        <f t="shared" si="7"/>
        <v>0.58123593023255804</v>
      </c>
      <c r="S10" s="1317"/>
      <c r="T10" s="1317">
        <v>0.51892511237550554</v>
      </c>
      <c r="U10" s="1560">
        <f t="shared" ref="U10:U19" si="54">MIN(ROUND(P10,2),ROUND(1-V10,2))</f>
        <v>0.59</v>
      </c>
      <c r="V10" s="1561">
        <f t="shared" ref="V10:V19" si="55">MAX(1-P10,M10/G10)</f>
        <v>0.41311782945736431</v>
      </c>
      <c r="W10" s="1530">
        <f>G10*V10</f>
        <v>42633.759999999995</v>
      </c>
      <c r="X10" s="1532">
        <f>(E10-F10-AQ10-G10)/E10</f>
        <v>0.30173448427077804</v>
      </c>
      <c r="Y10" s="1316">
        <f t="shared" si="51"/>
        <v>121222.57999999999</v>
      </c>
      <c r="Z10" s="1316">
        <f t="shared" si="52"/>
        <v>119421.89669744184</v>
      </c>
      <c r="AA10" s="1315"/>
      <c r="AB10" s="1622"/>
      <c r="AC10" s="1623">
        <f t="shared" si="32"/>
        <v>84239</v>
      </c>
      <c r="AD10" s="2215">
        <f>ROUND(Y10,0)</f>
        <v>121223</v>
      </c>
      <c r="AE10" s="2216">
        <f t="shared" si="34"/>
        <v>84239</v>
      </c>
      <c r="AF10" s="2209">
        <f>(E10-F10-AR10)*X10</f>
        <v>37197.827220901519</v>
      </c>
      <c r="AG10" s="1347">
        <v>0</v>
      </c>
      <c r="AH10" s="1347"/>
      <c r="AI10" s="1537">
        <v>32213</v>
      </c>
      <c r="AJ10" s="2300">
        <v>49969</v>
      </c>
      <c r="AK10" s="1316"/>
      <c r="AL10" s="1316"/>
      <c r="AM10" s="1316"/>
      <c r="AN10" s="1316"/>
      <c r="AO10" s="1316"/>
      <c r="AP10" s="1316"/>
      <c r="AQ10" s="1563">
        <f t="shared" si="39"/>
        <v>17756</v>
      </c>
      <c r="AR10" s="1470">
        <f t="shared" si="40"/>
        <v>49969</v>
      </c>
      <c r="AS10" s="1430">
        <f t="shared" si="41"/>
        <v>20643.084820155036</v>
      </c>
      <c r="AT10" s="1316">
        <f t="shared" si="42"/>
        <v>29481.71</v>
      </c>
      <c r="AU10" s="2300">
        <f t="shared" si="43"/>
        <v>29481.71</v>
      </c>
      <c r="AV10" s="1316">
        <f t="shared" si="10"/>
        <v>90047.950000000012</v>
      </c>
      <c r="AW10" s="1316">
        <f t="shared" si="11"/>
        <v>89465.258000000002</v>
      </c>
      <c r="AX10" s="1350">
        <f t="shared" si="44"/>
        <v>0.32953249852585231</v>
      </c>
      <c r="AY10" s="1335">
        <f t="shared" si="13"/>
        <v>0.30522166277496354</v>
      </c>
      <c r="AZ10" s="1335">
        <f t="shared" si="14"/>
        <v>0.31092026618231955</v>
      </c>
      <c r="BA10" s="1316">
        <f t="shared" si="15"/>
        <v>27484.58502847678</v>
      </c>
      <c r="BB10" s="1316">
        <f t="shared" si="45"/>
        <v>27816.561831429895</v>
      </c>
      <c r="BC10" s="1316">
        <f t="shared" si="17"/>
        <v>117532.53502847679</v>
      </c>
      <c r="BD10" s="1316">
        <f t="shared" si="18"/>
        <v>117281.81983142989</v>
      </c>
      <c r="BE10" s="2300"/>
      <c r="BF10" s="1316">
        <f t="shared" si="46"/>
        <v>31757.741999999998</v>
      </c>
      <c r="BG10" s="1348">
        <f t="shared" si="47"/>
        <v>0.26197785898715586</v>
      </c>
      <c r="BH10" s="1348">
        <f t="shared" si="38"/>
        <v>0.73802214101284414</v>
      </c>
      <c r="BI10" s="1348">
        <f t="shared" si="36"/>
        <v>0.49579602019959113</v>
      </c>
      <c r="BJ10" s="1344"/>
      <c r="BK10" s="1316">
        <f t="shared" si="48"/>
        <v>121223</v>
      </c>
      <c r="BL10" s="1344" t="b">
        <f t="shared" si="49"/>
        <v>1</v>
      </c>
      <c r="BM10" s="1345"/>
      <c r="BN10" s="1345"/>
      <c r="BO10" s="1345"/>
      <c r="BP10" s="1345"/>
      <c r="BQ10" s="2072">
        <v>1</v>
      </c>
      <c r="BR10" s="1316"/>
      <c r="BS10" s="1316"/>
      <c r="BT10" s="1939"/>
      <c r="BU10" s="1939"/>
      <c r="BV10" s="1316"/>
      <c r="BW10" s="1936">
        <f t="shared" si="19"/>
        <v>0</v>
      </c>
      <c r="BX10" s="2216"/>
      <c r="BY10" s="1457"/>
      <c r="BZ10" s="1469">
        <f t="shared" si="20"/>
        <v>173308</v>
      </c>
      <c r="CA10" s="1470">
        <f>AI10</f>
        <v>32213</v>
      </c>
      <c r="CB10" s="1470">
        <f t="shared" si="22"/>
        <v>59</v>
      </c>
      <c r="CC10" s="1471">
        <f t="shared" ref="CC10:CC48" si="56">U10</f>
        <v>0.59</v>
      </c>
      <c r="CD10" s="1471">
        <f>1-BV10</f>
        <v>1</v>
      </c>
      <c r="CE10" s="1471">
        <f>1</f>
        <v>1</v>
      </c>
      <c r="CF10" s="1666">
        <f t="shared" ref="CF10:CF28" si="57">(BZ10+CA10-CB10)*CC10*CD10*CE10</f>
        <v>121222.57999999999</v>
      </c>
      <c r="CG10" s="1667">
        <v>121223</v>
      </c>
      <c r="CH10" s="1662">
        <f>$CG10-$CF10</f>
        <v>0.42000000001280569</v>
      </c>
      <c r="CI10" s="1548">
        <f>CH10/CF10</f>
        <v>3.4647010483756884E-6</v>
      </c>
      <c r="CJ10" s="1675">
        <f>$CG10-$BW10</f>
        <v>121223</v>
      </c>
      <c r="CK10" s="1676" t="e">
        <f>CJ10/BW10</f>
        <v>#DIV/0!</v>
      </c>
      <c r="CL10" s="1669"/>
      <c r="CM10" s="1013">
        <f t="shared" si="29"/>
        <v>119421.89669744184</v>
      </c>
      <c r="CN10" s="1014" t="e">
        <f t="shared" si="50"/>
        <v>#DIV/0!</v>
      </c>
    </row>
    <row r="11" spans="1:106" x14ac:dyDescent="0.3">
      <c r="A11" s="1342">
        <v>1986</v>
      </c>
      <c r="B11" s="1336">
        <v>59963</v>
      </c>
      <c r="C11" s="1469">
        <f t="shared" si="0"/>
        <v>62220</v>
      </c>
      <c r="D11" s="1537">
        <v>58123</v>
      </c>
      <c r="E11" s="1537">
        <f t="shared" si="53"/>
        <v>60380</v>
      </c>
      <c r="F11" s="1537">
        <v>24</v>
      </c>
      <c r="G11" s="1508">
        <v>49788</v>
      </c>
      <c r="H11" s="1346">
        <v>32908</v>
      </c>
      <c r="I11" s="1508">
        <f t="shared" si="2"/>
        <v>39380.015999999996</v>
      </c>
      <c r="J11" s="1316">
        <v>34788</v>
      </c>
      <c r="K11" s="1316">
        <v>34788</v>
      </c>
      <c r="L11" s="1315">
        <f t="shared" si="3"/>
        <v>39380.015999999996</v>
      </c>
      <c r="M11" s="1526"/>
      <c r="N11" s="1380">
        <f t="shared" si="31"/>
        <v>2523.0559999999896</v>
      </c>
      <c r="O11" s="1431">
        <f t="shared" si="4"/>
        <v>0.89669332180678629</v>
      </c>
      <c r="P11" s="1544">
        <f t="shared" si="5"/>
        <v>0.79095396481079772</v>
      </c>
      <c r="Q11" s="1334">
        <f t="shared" si="6"/>
        <v>0.69872258375512175</v>
      </c>
      <c r="R11" s="1335">
        <f t="shared" si="7"/>
        <v>0.79095396481079772</v>
      </c>
      <c r="S11" s="1317"/>
      <c r="T11" s="1317">
        <v>0.6732987535805528</v>
      </c>
      <c r="U11" s="1560">
        <f t="shared" si="54"/>
        <v>0.79</v>
      </c>
      <c r="V11" s="1561">
        <f t="shared" si="55"/>
        <v>0.20904603518920228</v>
      </c>
      <c r="W11" s="1530">
        <f t="shared" ref="W11:W13" si="58">G11*V11</f>
        <v>10407.984000000004</v>
      </c>
      <c r="X11" s="1532">
        <f>(E11-F11-AQ11-G11)/E11</f>
        <v>9.4998343822457768E-2</v>
      </c>
      <c r="Y11" s="1316">
        <f t="shared" si="51"/>
        <v>49134.840000000004</v>
      </c>
      <c r="Z11" s="1316">
        <f t="shared" si="52"/>
        <v>49194.172795372375</v>
      </c>
      <c r="AA11" s="1315"/>
      <c r="AB11" s="1622"/>
      <c r="AC11" s="1623">
        <f t="shared" si="32"/>
        <v>13061</v>
      </c>
      <c r="AD11" s="2215">
        <f t="shared" ref="AD11:AD48" si="59">ROUND(Y11,0)</f>
        <v>49135</v>
      </c>
      <c r="AE11" s="2216">
        <f t="shared" si="34"/>
        <v>13061</v>
      </c>
      <c r="AF11" s="2209">
        <f>(E11-F11-AR11)*X11</f>
        <v>5099.8910897648229</v>
      </c>
      <c r="AG11" s="1347">
        <v>0</v>
      </c>
      <c r="AH11" s="1347"/>
      <c r="AI11" s="1537">
        <v>1840</v>
      </c>
      <c r="AJ11" s="2300">
        <v>6672</v>
      </c>
      <c r="AK11" s="1316"/>
      <c r="AL11" s="1316"/>
      <c r="AM11" s="1316"/>
      <c r="AN11" s="1316"/>
      <c r="AO11" s="1316"/>
      <c r="AP11" s="1316"/>
      <c r="AQ11" s="1563">
        <f t="shared" si="39"/>
        <v>4832</v>
      </c>
      <c r="AR11" s="1470">
        <f t="shared" si="40"/>
        <v>6672</v>
      </c>
      <c r="AS11" s="1430">
        <f t="shared" si="41"/>
        <v>1394.7551467823575</v>
      </c>
      <c r="AT11" s="1316">
        <f t="shared" si="42"/>
        <v>5270.88</v>
      </c>
      <c r="AU11" s="2300">
        <f t="shared" si="43"/>
        <v>5270.88</v>
      </c>
      <c r="AV11" s="1316">
        <f t="shared" si="10"/>
        <v>44650.895999999993</v>
      </c>
      <c r="AW11" s="1316">
        <f t="shared" si="11"/>
        <v>44650.895999999993</v>
      </c>
      <c r="AX11" s="1350">
        <f t="shared" si="44"/>
        <v>0.1180464553275706</v>
      </c>
      <c r="AY11" s="1335">
        <f t="shared" si="13"/>
        <v>9.4400107337076308E-2</v>
      </c>
      <c r="AZ11" s="1335">
        <f t="shared" si="14"/>
        <v>9.4400107337076308E-2</v>
      </c>
      <c r="BA11" s="1316">
        <f t="shared" si="15"/>
        <v>4215.0493750966307</v>
      </c>
      <c r="BB11" s="1316">
        <f t="shared" si="45"/>
        <v>4215.0493750966307</v>
      </c>
      <c r="BC11" s="1316">
        <f t="shared" si="17"/>
        <v>48865.94537509662</v>
      </c>
      <c r="BD11" s="1316">
        <f t="shared" si="18"/>
        <v>48865.94537509662</v>
      </c>
      <c r="BE11" s="2300"/>
      <c r="BF11" s="1316">
        <f t="shared" si="46"/>
        <v>4484.1040000000066</v>
      </c>
      <c r="BG11" s="1348">
        <f t="shared" si="47"/>
        <v>9.1260893456802827E-2</v>
      </c>
      <c r="BH11" s="1348">
        <f t="shared" si="38"/>
        <v>0.90873910654319723</v>
      </c>
      <c r="BI11" s="1348">
        <f t="shared" si="36"/>
        <v>0.68920874696763756</v>
      </c>
      <c r="BJ11" s="1344"/>
      <c r="BK11" s="1316">
        <f t="shared" si="48"/>
        <v>49135</v>
      </c>
      <c r="BL11" s="1344" t="b">
        <f t="shared" si="49"/>
        <v>1</v>
      </c>
      <c r="BM11" s="1345"/>
      <c r="BN11" s="1345"/>
      <c r="BO11" s="1345"/>
      <c r="BP11" s="1345"/>
      <c r="BQ11" s="2072">
        <v>1</v>
      </c>
      <c r="BR11" s="1316"/>
      <c r="BS11" s="1316"/>
      <c r="BT11" s="1939"/>
      <c r="BU11" s="1939"/>
      <c r="BV11" s="1316"/>
      <c r="BW11" s="1936">
        <f t="shared" si="19"/>
        <v>0</v>
      </c>
      <c r="BX11" s="2216"/>
      <c r="BY11" s="1457"/>
      <c r="BZ11" s="1469">
        <f t="shared" si="20"/>
        <v>60380</v>
      </c>
      <c r="CA11" s="1470">
        <f t="shared" ref="CA11:CA32" si="60">AI11</f>
        <v>1840</v>
      </c>
      <c r="CB11" s="1470">
        <f t="shared" si="22"/>
        <v>24</v>
      </c>
      <c r="CC11" s="1471">
        <f t="shared" si="56"/>
        <v>0.79</v>
      </c>
      <c r="CD11" s="1471">
        <f t="shared" ref="CD11:CD46" si="61">1-BV11</f>
        <v>1</v>
      </c>
      <c r="CE11" s="1471">
        <f>1</f>
        <v>1</v>
      </c>
      <c r="CF11" s="1666">
        <f t="shared" si="57"/>
        <v>49134.840000000004</v>
      </c>
      <c r="CG11" s="1667">
        <v>49135</v>
      </c>
      <c r="CH11" s="1662">
        <f t="shared" ref="CH11:CH46" si="62">$CG11-$CF11</f>
        <v>0.1599999999962165</v>
      </c>
      <c r="CI11" s="1548">
        <f t="shared" ref="CI11:CI46" si="63">CH11/CF11</f>
        <v>3.2563451920514341E-6</v>
      </c>
      <c r="CJ11" s="1675">
        <f t="shared" ref="CJ11:CJ46" si="64">$CG11-$BW11</f>
        <v>49135</v>
      </c>
      <c r="CK11" s="1676" t="e">
        <f t="shared" ref="CK11:CK46" si="65">CJ11/BW11</f>
        <v>#DIV/0!</v>
      </c>
      <c r="CL11" s="1669"/>
      <c r="CM11" s="1013">
        <f t="shared" si="29"/>
        <v>49194.172795372375</v>
      </c>
      <c r="CN11" s="1014" t="e">
        <f t="shared" si="50"/>
        <v>#DIV/0!</v>
      </c>
    </row>
    <row r="12" spans="1:106" x14ac:dyDescent="0.3">
      <c r="A12" s="1342">
        <v>1987</v>
      </c>
      <c r="B12" s="1336">
        <v>145546</v>
      </c>
      <c r="C12" s="1469">
        <f t="shared" si="0"/>
        <v>150366</v>
      </c>
      <c r="D12" s="1537">
        <v>116993</v>
      </c>
      <c r="E12" s="1537">
        <f t="shared" si="53"/>
        <v>121813</v>
      </c>
      <c r="F12" s="1537">
        <v>55</v>
      </c>
      <c r="G12" s="1508">
        <v>69868</v>
      </c>
      <c r="H12" s="1346">
        <v>41115</v>
      </c>
      <c r="I12" s="1508">
        <f t="shared" si="2"/>
        <v>46048.800000000003</v>
      </c>
      <c r="J12" s="1316">
        <v>40120</v>
      </c>
      <c r="K12" s="1316">
        <v>40120</v>
      </c>
      <c r="L12" s="1315">
        <f t="shared" si="3"/>
        <v>45415.839999999997</v>
      </c>
      <c r="M12" s="1526"/>
      <c r="N12" s="1380" t="str">
        <f t="shared" si="31"/>
        <v/>
      </c>
      <c r="O12" s="1431">
        <f t="shared" si="4"/>
        <v>0.63085660626089157</v>
      </c>
      <c r="P12" s="1544">
        <f t="shared" si="5"/>
        <v>0.6590828419304976</v>
      </c>
      <c r="Q12" s="1334">
        <f t="shared" si="6"/>
        <v>0.57422568271597874</v>
      </c>
      <c r="R12" s="1335">
        <f t="shared" si="7"/>
        <v>0.6500234728344878</v>
      </c>
      <c r="S12" s="1317">
        <v>0.44000000000000006</v>
      </c>
      <c r="T12" s="1317">
        <v>0.58252145252856702</v>
      </c>
      <c r="U12" s="1560">
        <f t="shared" si="54"/>
        <v>0.66</v>
      </c>
      <c r="V12" s="1561">
        <f t="shared" si="55"/>
        <v>0.3409171580695024</v>
      </c>
      <c r="W12" s="1530">
        <f t="shared" si="58"/>
        <v>23819.199999999993</v>
      </c>
      <c r="X12" s="1532">
        <f>(E12-F12-AQ12-G12)/E12</f>
        <v>0.33562099283327723</v>
      </c>
      <c r="Y12" s="1316">
        <f t="shared" si="51"/>
        <v>99205.260000000009</v>
      </c>
      <c r="Z12" s="1316">
        <f t="shared" si="52"/>
        <v>97705.678225224692</v>
      </c>
      <c r="AA12" s="1315">
        <f t="shared" ref="AA12:AA18" si="66">S12*D12</f>
        <v>51476.920000000006</v>
      </c>
      <c r="AB12" s="1622"/>
      <c r="AC12" s="1623">
        <f t="shared" si="32"/>
        <v>51106</v>
      </c>
      <c r="AD12" s="2215">
        <f t="shared" si="59"/>
        <v>99205</v>
      </c>
      <c r="AE12" s="2216">
        <f t="shared" si="34"/>
        <v>51106</v>
      </c>
      <c r="AF12" s="2209">
        <f t="shared" ref="AF12:AF47" si="67">(E12-F12-AR12)*X12*V12</f>
        <v>9405.0092684481351</v>
      </c>
      <c r="AG12" s="1347">
        <v>0</v>
      </c>
      <c r="AH12" s="1347"/>
      <c r="AI12" s="1537">
        <v>28553</v>
      </c>
      <c r="AJ12" s="2300">
        <v>39560</v>
      </c>
      <c r="AK12" s="1316"/>
      <c r="AL12" s="1316"/>
      <c r="AM12" s="1316"/>
      <c r="AN12" s="1316"/>
      <c r="AO12" s="1316"/>
      <c r="AP12" s="1316"/>
      <c r="AQ12" s="1563">
        <f t="shared" si="39"/>
        <v>11007</v>
      </c>
      <c r="AR12" s="1470">
        <f t="shared" si="40"/>
        <v>39560</v>
      </c>
      <c r="AS12" s="1430">
        <f t="shared" si="41"/>
        <v>13486.682773229515</v>
      </c>
      <c r="AT12" s="1316">
        <f t="shared" si="42"/>
        <v>26109.600000000002</v>
      </c>
      <c r="AU12" s="2300">
        <f t="shared" si="43"/>
        <v>26109.600000000002</v>
      </c>
      <c r="AV12" s="1316">
        <f t="shared" si="10"/>
        <v>72158.400000000009</v>
      </c>
      <c r="AW12" s="1316">
        <f t="shared" si="11"/>
        <v>71525.440000000002</v>
      </c>
      <c r="AX12" s="1350">
        <f t="shared" si="44"/>
        <v>0.36503934823749423</v>
      </c>
      <c r="AY12" s="1335">
        <f t="shared" si="13"/>
        <v>0.33686955340637625</v>
      </c>
      <c r="AZ12" s="1335">
        <f t="shared" si="14"/>
        <v>0.34474252511736203</v>
      </c>
      <c r="BA12" s="1316">
        <f t="shared" si="15"/>
        <v>24307.967982518665</v>
      </c>
      <c r="BB12" s="1316">
        <f t="shared" si="45"/>
        <v>24657.860795730372</v>
      </c>
      <c r="BC12" s="1316">
        <f t="shared" si="17"/>
        <v>96466.36798251867</v>
      </c>
      <c r="BD12" s="1316">
        <f t="shared" si="18"/>
        <v>96183.300795730378</v>
      </c>
      <c r="BE12" s="2300"/>
      <c r="BF12" s="1316">
        <f t="shared" si="46"/>
        <v>27679.559999999998</v>
      </c>
      <c r="BG12" s="1348">
        <f t="shared" si="47"/>
        <v>0.27901375938712764</v>
      </c>
      <c r="BH12" s="1348">
        <f t="shared" si="38"/>
        <v>0.72098624061287231</v>
      </c>
      <c r="BI12" s="1348">
        <f t="shared" si="36"/>
        <v>0.56609882642551268</v>
      </c>
      <c r="BJ12" s="1344"/>
      <c r="BK12" s="1316">
        <f t="shared" si="48"/>
        <v>99205</v>
      </c>
      <c r="BL12" s="1344" t="b">
        <f t="shared" si="49"/>
        <v>1</v>
      </c>
      <c r="BM12" s="1345"/>
      <c r="BN12" s="1345"/>
      <c r="BO12" s="1345"/>
      <c r="BP12" s="1345"/>
      <c r="BQ12" s="2072">
        <v>1</v>
      </c>
      <c r="BR12" s="1316"/>
      <c r="BS12" s="1316"/>
      <c r="BT12" s="1939"/>
      <c r="BU12" s="1939"/>
      <c r="BV12" s="1316"/>
      <c r="BW12" s="1936">
        <f t="shared" si="19"/>
        <v>0</v>
      </c>
      <c r="BX12" s="2216"/>
      <c r="BY12" s="1457"/>
      <c r="BZ12" s="1469">
        <f t="shared" si="20"/>
        <v>121813</v>
      </c>
      <c r="CA12" s="1470">
        <f t="shared" si="60"/>
        <v>28553</v>
      </c>
      <c r="CB12" s="1470">
        <f t="shared" si="22"/>
        <v>55</v>
      </c>
      <c r="CC12" s="1471">
        <f t="shared" si="56"/>
        <v>0.66</v>
      </c>
      <c r="CD12" s="1471">
        <f t="shared" si="61"/>
        <v>1</v>
      </c>
      <c r="CE12" s="1471">
        <f>1</f>
        <v>1</v>
      </c>
      <c r="CF12" s="1666">
        <f t="shared" si="57"/>
        <v>99205.260000000009</v>
      </c>
      <c r="CG12" s="1667">
        <v>99205</v>
      </c>
      <c r="CH12" s="1662">
        <f t="shared" si="62"/>
        <v>-0.26000000000931323</v>
      </c>
      <c r="CI12" s="1548">
        <f t="shared" si="63"/>
        <v>-2.6208287746971602E-6</v>
      </c>
      <c r="CJ12" s="1675">
        <f t="shared" si="64"/>
        <v>99205</v>
      </c>
      <c r="CK12" s="1676" t="e">
        <f t="shared" si="65"/>
        <v>#DIV/0!</v>
      </c>
      <c r="CL12" s="1669"/>
      <c r="CM12" s="1013">
        <f t="shared" si="29"/>
        <v>97705.678225224692</v>
      </c>
      <c r="CN12" s="1014" t="e">
        <f t="shared" si="50"/>
        <v>#DIV/0!</v>
      </c>
    </row>
    <row r="13" spans="1:106" x14ac:dyDescent="0.3">
      <c r="A13" s="1342">
        <v>1988</v>
      </c>
      <c r="B13" s="1336">
        <v>99780</v>
      </c>
      <c r="C13" s="1469">
        <f t="shared" si="0"/>
        <v>100543</v>
      </c>
      <c r="D13" s="1537">
        <v>79714</v>
      </c>
      <c r="E13" s="1537">
        <f t="shared" si="53"/>
        <v>82911</v>
      </c>
      <c r="F13" s="1537">
        <v>45</v>
      </c>
      <c r="G13" s="1508">
        <v>49177</v>
      </c>
      <c r="H13" s="1346">
        <v>34089</v>
      </c>
      <c r="I13" s="1508">
        <f t="shared" si="2"/>
        <v>38463.095999999998</v>
      </c>
      <c r="J13" s="1316">
        <v>33978</v>
      </c>
      <c r="K13" s="1316">
        <v>33978</v>
      </c>
      <c r="L13" s="1315">
        <f t="shared" si="3"/>
        <v>38463.095999999998</v>
      </c>
      <c r="M13" s="1526"/>
      <c r="N13" s="1380">
        <f t="shared" si="31"/>
        <v>283.41599999999744</v>
      </c>
      <c r="O13" s="1431">
        <f t="shared" si="4"/>
        <v>0.70750129481498536</v>
      </c>
      <c r="P13" s="1544">
        <f t="shared" si="5"/>
        <v>0.78213587652764505</v>
      </c>
      <c r="Q13" s="1334">
        <f t="shared" si="6"/>
        <v>0.69093275311629421</v>
      </c>
      <c r="R13" s="1335">
        <f t="shared" si="7"/>
        <v>0.78213587652764505</v>
      </c>
      <c r="S13" s="1317">
        <v>0.69</v>
      </c>
      <c r="T13" s="1317">
        <v>0.69249582195410264</v>
      </c>
      <c r="U13" s="1560">
        <f t="shared" si="54"/>
        <v>0.78</v>
      </c>
      <c r="V13" s="1561">
        <f t="shared" si="55"/>
        <v>0.21786412347235495</v>
      </c>
      <c r="W13" s="1530">
        <f t="shared" si="58"/>
        <v>10713.904</v>
      </c>
      <c r="X13" s="1532">
        <f>(E13-F13-AQ13-G13)/E13</f>
        <v>0.24521474834461049</v>
      </c>
      <c r="Y13" s="1316">
        <f t="shared" si="51"/>
        <v>78388.44</v>
      </c>
      <c r="Z13" s="1316">
        <f t="shared" si="52"/>
        <v>78603.091319275278</v>
      </c>
      <c r="AA13" s="1315">
        <f t="shared" si="66"/>
        <v>55002.659999999996</v>
      </c>
      <c r="AB13" s="1622"/>
      <c r="AC13" s="1623">
        <f t="shared" si="32"/>
        <v>22110</v>
      </c>
      <c r="AD13" s="2215">
        <f t="shared" si="59"/>
        <v>78388</v>
      </c>
      <c r="AE13" s="2216">
        <f t="shared" si="34"/>
        <v>22110</v>
      </c>
      <c r="AF13" s="2209">
        <f t="shared" si="67"/>
        <v>2771.3972894207054</v>
      </c>
      <c r="AG13" s="1347">
        <v>0</v>
      </c>
      <c r="AH13" s="1347"/>
      <c r="AI13" s="1537">
        <v>17632</v>
      </c>
      <c r="AJ13" s="2300">
        <v>30990</v>
      </c>
      <c r="AK13" s="1316"/>
      <c r="AL13" s="1316"/>
      <c r="AM13" s="1316"/>
      <c r="AN13" s="1316"/>
      <c r="AO13" s="1316"/>
      <c r="AP13" s="1316"/>
      <c r="AQ13" s="1563">
        <f t="shared" si="39"/>
        <v>13358</v>
      </c>
      <c r="AR13" s="1470">
        <f t="shared" si="40"/>
        <v>30990</v>
      </c>
      <c r="AS13" s="1430">
        <f t="shared" si="41"/>
        <v>6751.60918640828</v>
      </c>
      <c r="AT13" s="1316">
        <f t="shared" si="42"/>
        <v>24172.2</v>
      </c>
      <c r="AU13" s="2300">
        <f t="shared" si="43"/>
        <v>24172.2</v>
      </c>
      <c r="AV13" s="1316">
        <f t="shared" si="10"/>
        <v>62635.296000000002</v>
      </c>
      <c r="AW13" s="1316">
        <f t="shared" si="11"/>
        <v>62635.296000000002</v>
      </c>
      <c r="AX13" s="1350">
        <f t="shared" si="44"/>
        <v>0.38591978554711387</v>
      </c>
      <c r="AY13" s="1335">
        <f t="shared" si="13"/>
        <v>0.2441333292511062</v>
      </c>
      <c r="AZ13" s="1335">
        <f t="shared" si="14"/>
        <v>0.2441333292511062</v>
      </c>
      <c r="BA13" s="1316">
        <f t="shared" si="15"/>
        <v>15291.363341108496</v>
      </c>
      <c r="BB13" s="1316">
        <f t="shared" si="45"/>
        <v>15291.363341108496</v>
      </c>
      <c r="BC13" s="1316">
        <f t="shared" si="17"/>
        <v>77926.65934110849</v>
      </c>
      <c r="BD13" s="1316">
        <f t="shared" si="18"/>
        <v>77926.65934110849</v>
      </c>
      <c r="BE13" s="2300"/>
      <c r="BF13" s="1316">
        <f t="shared" si="46"/>
        <v>15752.703999999998</v>
      </c>
      <c r="BG13" s="1348">
        <f t="shared" si="47"/>
        <v>0.20095810583252535</v>
      </c>
      <c r="BH13" s="1348">
        <f t="shared" si="38"/>
        <v>0.79904189416747462</v>
      </c>
      <c r="BI13" s="1348">
        <f t="shared" si="36"/>
        <v>0.72948541034197256</v>
      </c>
      <c r="BJ13" s="1344"/>
      <c r="BK13" s="1316">
        <f t="shared" si="48"/>
        <v>78388</v>
      </c>
      <c r="BL13" s="1344" t="b">
        <f t="shared" si="49"/>
        <v>1</v>
      </c>
      <c r="BM13" s="1345"/>
      <c r="BN13" s="1345"/>
      <c r="BO13" s="1345"/>
      <c r="BP13" s="1345"/>
      <c r="BQ13" s="2072">
        <v>1</v>
      </c>
      <c r="BR13" s="1316"/>
      <c r="BS13" s="1316"/>
      <c r="BT13" s="1939"/>
      <c r="BU13" s="1939"/>
      <c r="BV13" s="1316"/>
      <c r="BW13" s="1936">
        <f t="shared" si="19"/>
        <v>0</v>
      </c>
      <c r="BX13" s="2216"/>
      <c r="BY13" s="1457"/>
      <c r="BZ13" s="1469">
        <f t="shared" si="20"/>
        <v>82911</v>
      </c>
      <c r="CA13" s="1470">
        <f t="shared" si="60"/>
        <v>17632</v>
      </c>
      <c r="CB13" s="1470">
        <f t="shared" si="22"/>
        <v>45</v>
      </c>
      <c r="CC13" s="1471">
        <f t="shared" si="56"/>
        <v>0.78</v>
      </c>
      <c r="CD13" s="1471">
        <f t="shared" si="61"/>
        <v>1</v>
      </c>
      <c r="CE13" s="1471">
        <f>1</f>
        <v>1</v>
      </c>
      <c r="CF13" s="1666">
        <f t="shared" si="57"/>
        <v>78388.44</v>
      </c>
      <c r="CG13" s="1667">
        <v>78388</v>
      </c>
      <c r="CH13" s="1662">
        <f t="shared" si="62"/>
        <v>-0.44000000000232831</v>
      </c>
      <c r="CI13" s="1548">
        <f t="shared" si="63"/>
        <v>-5.6130725398072505E-6</v>
      </c>
      <c r="CJ13" s="1675">
        <f t="shared" si="64"/>
        <v>78388</v>
      </c>
      <c r="CK13" s="1676" t="e">
        <f t="shared" si="65"/>
        <v>#DIV/0!</v>
      </c>
      <c r="CL13" s="1669"/>
      <c r="CM13" s="1013">
        <f t="shared" si="29"/>
        <v>78603.091319275278</v>
      </c>
      <c r="CN13" s="1014" t="e">
        <f t="shared" si="50"/>
        <v>#DIV/0!</v>
      </c>
      <c r="CZ13" s="1066"/>
      <c r="DA13" s="1077"/>
      <c r="DB13" s="1077"/>
    </row>
    <row r="14" spans="1:106" x14ac:dyDescent="0.3">
      <c r="A14" s="1342">
        <v>1989</v>
      </c>
      <c r="B14" s="1336">
        <v>47478</v>
      </c>
      <c r="C14" s="1469">
        <f t="shared" si="0"/>
        <v>43470</v>
      </c>
      <c r="D14" s="1537">
        <v>41884</v>
      </c>
      <c r="E14" s="1539">
        <f t="shared" si="53"/>
        <v>43434</v>
      </c>
      <c r="F14" s="1539">
        <v>4</v>
      </c>
      <c r="G14" s="1509">
        <v>37360</v>
      </c>
      <c r="H14" s="1346">
        <v>16175</v>
      </c>
      <c r="I14" s="1508">
        <f t="shared" si="2"/>
        <v>18116</v>
      </c>
      <c r="J14" s="1316">
        <v>15976</v>
      </c>
      <c r="K14" s="1316">
        <v>15976</v>
      </c>
      <c r="L14" s="1315">
        <f t="shared" si="3"/>
        <v>18084.831999999999</v>
      </c>
      <c r="M14" s="1527">
        <v>21802</v>
      </c>
      <c r="N14" s="1380" t="str">
        <f t="shared" si="31"/>
        <v/>
      </c>
      <c r="O14" s="1431">
        <f t="shared" si="4"/>
        <v>0.90398761130468452</v>
      </c>
      <c r="P14" s="1816">
        <f t="shared" si="5"/>
        <v>0.48490364025695931</v>
      </c>
      <c r="Q14" s="1334">
        <f t="shared" si="6"/>
        <v>0.42762312633832977</v>
      </c>
      <c r="R14" s="1335">
        <f t="shared" si="7"/>
        <v>0.48406937901498925</v>
      </c>
      <c r="S14" s="1317">
        <v>0.41499999999999992</v>
      </c>
      <c r="T14" s="1317">
        <v>0.42991308091816688</v>
      </c>
      <c r="U14" s="1817">
        <f t="shared" si="54"/>
        <v>0.42</v>
      </c>
      <c r="V14" s="1561">
        <f t="shared" si="55"/>
        <v>0.58356531049250537</v>
      </c>
      <c r="W14" s="1533">
        <f>G14*V14</f>
        <v>21802</v>
      </c>
      <c r="X14" s="1534">
        <f t="shared" ref="X14:X48" si="68">(E14-F14-AJ14-G14)/E14</f>
        <v>9.0528157664502465E-2</v>
      </c>
      <c r="Y14" s="1316">
        <f t="shared" si="51"/>
        <v>18255.719999999998</v>
      </c>
      <c r="Z14" s="1316">
        <f t="shared" si="52"/>
        <v>21040.559628265524</v>
      </c>
      <c r="AA14" s="1315">
        <f t="shared" si="66"/>
        <v>17381.859999999997</v>
      </c>
      <c r="AB14" s="1469">
        <f t="shared" ref="AB14:AB47" si="69">M14+AF14+AS14</f>
        <v>25084.694901989671</v>
      </c>
      <c r="AC14" s="1623">
        <f t="shared" si="32"/>
        <v>25210</v>
      </c>
      <c r="AD14" s="2215">
        <f t="shared" si="59"/>
        <v>18256</v>
      </c>
      <c r="AE14" s="2217">
        <f t="shared" si="34"/>
        <v>25210</v>
      </c>
      <c r="AF14" s="2209">
        <f t="shared" si="67"/>
        <v>2181.4188848590479</v>
      </c>
      <c r="AG14" s="1347">
        <v>0</v>
      </c>
      <c r="AH14" s="1531">
        <f t="shared" ref="AH14:AH48" si="70">G14*V14-M14</f>
        <v>0</v>
      </c>
      <c r="AI14" s="1537">
        <v>36</v>
      </c>
      <c r="AJ14" s="2300">
        <v>2138</v>
      </c>
      <c r="AK14" s="1316"/>
      <c r="AL14" s="1316"/>
      <c r="AM14" s="1316"/>
      <c r="AN14" s="1316"/>
      <c r="AO14" s="1316"/>
      <c r="AP14" s="1316"/>
      <c r="AQ14" s="1563">
        <f t="shared" si="39"/>
        <v>2102</v>
      </c>
      <c r="AR14" s="1470">
        <f t="shared" si="40"/>
        <v>2138</v>
      </c>
      <c r="AS14" s="1430">
        <f t="shared" si="41"/>
        <v>1101.2760171306211</v>
      </c>
      <c r="AT14" s="1316">
        <f t="shared" si="42"/>
        <v>897.95999999999992</v>
      </c>
      <c r="AU14" s="2300">
        <f t="shared" si="43"/>
        <v>897.95999999999992</v>
      </c>
      <c r="AV14" s="1316">
        <f t="shared" si="10"/>
        <v>19013.96</v>
      </c>
      <c r="AW14" s="1316">
        <f t="shared" si="11"/>
        <v>18982.791999999998</v>
      </c>
      <c r="AX14" s="1350">
        <f t="shared" si="44"/>
        <v>4.7303895022397131E-2</v>
      </c>
      <c r="AY14" s="1335">
        <f t="shared" si="13"/>
        <v>-4.1472886064680574E-2</v>
      </c>
      <c r="AZ14" s="1335">
        <f t="shared" si="14"/>
        <v>-3.9764327704650937E-2</v>
      </c>
      <c r="BA14" s="1316">
        <f t="shared" si="15"/>
        <v>-788.56379671839386</v>
      </c>
      <c r="BB14" s="1316">
        <f t="shared" si="45"/>
        <v>-754.83796183722609</v>
      </c>
      <c r="BC14" s="1316">
        <f t="shared" si="17"/>
        <v>18225.396203281605</v>
      </c>
      <c r="BD14" s="1316">
        <f t="shared" si="18"/>
        <v>18227.95403816277</v>
      </c>
      <c r="BE14" s="2300"/>
      <c r="BF14" s="1316">
        <f t="shared" si="46"/>
        <v>-726.79199999999764</v>
      </c>
      <c r="BG14" s="1348">
        <f t="shared" si="47"/>
        <v>-3.9811130587204077E-2</v>
      </c>
      <c r="BH14" s="1348">
        <f t="shared" si="38"/>
        <v>1</v>
      </c>
      <c r="BI14" s="1348">
        <f t="shared" si="36"/>
        <v>0.40287365103619516</v>
      </c>
      <c r="BJ14" s="1344"/>
      <c r="BK14" s="1316">
        <f t="shared" si="48"/>
        <v>18256</v>
      </c>
      <c r="BL14" s="1344" t="b">
        <f t="shared" si="49"/>
        <v>1</v>
      </c>
      <c r="BM14" s="1345"/>
      <c r="BN14" s="1345"/>
      <c r="BO14" s="1345"/>
      <c r="BP14" s="1345"/>
      <c r="BQ14" s="2072">
        <v>1</v>
      </c>
      <c r="BR14" s="1316"/>
      <c r="BS14" s="1316"/>
      <c r="BT14" s="1939"/>
      <c r="BU14" s="1939"/>
      <c r="BV14" s="1316"/>
      <c r="BW14" s="1936">
        <f t="shared" si="19"/>
        <v>0</v>
      </c>
      <c r="BX14" s="2216"/>
      <c r="BY14" s="1457"/>
      <c r="BZ14" s="1469">
        <f t="shared" si="20"/>
        <v>43434</v>
      </c>
      <c r="CA14" s="1470">
        <f t="shared" si="60"/>
        <v>36</v>
      </c>
      <c r="CB14" s="1470">
        <f t="shared" si="22"/>
        <v>4</v>
      </c>
      <c r="CC14" s="1471">
        <f t="shared" si="56"/>
        <v>0.42</v>
      </c>
      <c r="CD14" s="1471">
        <f t="shared" si="61"/>
        <v>1</v>
      </c>
      <c r="CE14" s="1471">
        <f>1</f>
        <v>1</v>
      </c>
      <c r="CF14" s="1666">
        <f t="shared" si="57"/>
        <v>18255.719999999998</v>
      </c>
      <c r="CG14" s="1667">
        <v>18256</v>
      </c>
      <c r="CH14" s="1662">
        <f t="shared" si="62"/>
        <v>0.28000000000247383</v>
      </c>
      <c r="CI14" s="1548">
        <f t="shared" si="63"/>
        <v>1.5337658553180805E-5</v>
      </c>
      <c r="CJ14" s="1675">
        <f t="shared" si="64"/>
        <v>18256</v>
      </c>
      <c r="CK14" s="1676" t="e">
        <f t="shared" si="65"/>
        <v>#DIV/0!</v>
      </c>
      <c r="CL14" s="1669"/>
      <c r="CM14" s="1013">
        <f t="shared" si="29"/>
        <v>21040.559628265524</v>
      </c>
      <c r="CN14" s="1014" t="e">
        <f t="shared" si="50"/>
        <v>#DIV/0!</v>
      </c>
      <c r="CZ14" s="1066"/>
      <c r="DA14" s="1077"/>
      <c r="DB14" s="1077"/>
    </row>
    <row r="15" spans="1:106" s="1495" customFormat="1" x14ac:dyDescent="0.3">
      <c r="A15" s="1478">
        <v>1990</v>
      </c>
      <c r="B15" s="1479">
        <v>49754</v>
      </c>
      <c r="C15" s="1469">
        <f t="shared" si="0"/>
        <v>51639</v>
      </c>
      <c r="D15" s="1537">
        <v>49581</v>
      </c>
      <c r="E15" s="1537">
        <f t="shared" si="53"/>
        <v>51466</v>
      </c>
      <c r="F15" s="1537">
        <v>1</v>
      </c>
      <c r="G15" s="1508">
        <v>44143</v>
      </c>
      <c r="H15" s="1481">
        <v>9296</v>
      </c>
      <c r="I15" s="1508">
        <f t="shared" si="2"/>
        <v>10411.52</v>
      </c>
      <c r="J15" s="1480">
        <v>7609</v>
      </c>
      <c r="K15" s="1480">
        <v>7609</v>
      </c>
      <c r="L15" s="1486">
        <f t="shared" si="3"/>
        <v>8613.387999999999</v>
      </c>
      <c r="M15" s="1526">
        <v>27325</v>
      </c>
      <c r="N15" s="1482" t="str">
        <f t="shared" si="31"/>
        <v/>
      </c>
      <c r="O15" s="1431">
        <f t="shared" si="4"/>
        <v>0.90231388741261598</v>
      </c>
      <c r="P15" s="1544">
        <f t="shared" si="5"/>
        <v>0.2358589130779512</v>
      </c>
      <c r="Q15" s="1483">
        <f t="shared" si="6"/>
        <v>0.17237161044786262</v>
      </c>
      <c r="R15" s="1484">
        <f t="shared" si="7"/>
        <v>0.19512466302698048</v>
      </c>
      <c r="S15" s="1485">
        <v>0.25</v>
      </c>
      <c r="T15" s="1485">
        <v>0.18606498026300422</v>
      </c>
      <c r="U15" s="1560">
        <f t="shared" si="54"/>
        <v>0.24</v>
      </c>
      <c r="V15" s="1561">
        <f t="shared" si="55"/>
        <v>0.76414108692204885</v>
      </c>
      <c r="W15" s="1530">
        <f t="shared" ref="W15:W48" si="71">G15*V15</f>
        <v>33731.480000000003</v>
      </c>
      <c r="X15" s="1532">
        <f t="shared" si="68"/>
        <v>8.9495977927175216E-2</v>
      </c>
      <c r="Y15" s="1480">
        <f t="shared" si="51"/>
        <v>12393.119999999999</v>
      </c>
      <c r="Z15" s="1480">
        <f t="shared" si="52"/>
        <v>10075.847349387217</v>
      </c>
      <c r="AA15" s="1486">
        <f t="shared" si="66"/>
        <v>12395.25</v>
      </c>
      <c r="AB15" s="1469">
        <f t="shared" si="69"/>
        <v>32734.232054637076</v>
      </c>
      <c r="AC15" s="1623">
        <f t="shared" si="32"/>
        <v>39245</v>
      </c>
      <c r="AD15" s="2215">
        <f t="shared" si="59"/>
        <v>12393</v>
      </c>
      <c r="AE15" s="2216">
        <f t="shared" si="34"/>
        <v>39245</v>
      </c>
      <c r="AF15" s="2209">
        <f t="shared" si="67"/>
        <v>3333.8248625567908</v>
      </c>
      <c r="AG15" s="1487">
        <v>0</v>
      </c>
      <c r="AH15" s="1531">
        <f t="shared" si="70"/>
        <v>6406.4800000000032</v>
      </c>
      <c r="AI15" s="1537">
        <v>173</v>
      </c>
      <c r="AJ15" s="2300">
        <v>2716</v>
      </c>
      <c r="AK15" s="1480"/>
      <c r="AL15" s="1480"/>
      <c r="AM15" s="1480"/>
      <c r="AN15" s="1480"/>
      <c r="AO15" s="1480"/>
      <c r="AP15" s="1480"/>
      <c r="AQ15" s="1563">
        <f t="shared" si="39"/>
        <v>2543</v>
      </c>
      <c r="AR15" s="1470">
        <f t="shared" si="40"/>
        <v>2716</v>
      </c>
      <c r="AS15" s="1488">
        <f t="shared" si="41"/>
        <v>2075.4071920802849</v>
      </c>
      <c r="AT15" s="1480">
        <f t="shared" si="42"/>
        <v>651.84</v>
      </c>
      <c r="AU15" s="2300">
        <f t="shared" si="43"/>
        <v>651.84</v>
      </c>
      <c r="AV15" s="1480">
        <f t="shared" si="10"/>
        <v>11063.36</v>
      </c>
      <c r="AW15" s="1480">
        <f t="shared" si="11"/>
        <v>9265.2279999999992</v>
      </c>
      <c r="AX15" s="1489">
        <f t="shared" si="44"/>
        <v>7.035336853016462E-2</v>
      </c>
      <c r="AY15" s="1484">
        <f t="shared" si="13"/>
        <v>0.10767626523659631</v>
      </c>
      <c r="AZ15" s="1484">
        <f t="shared" si="14"/>
        <v>0.25325230896773288</v>
      </c>
      <c r="BA15" s="1480">
        <f t="shared" si="15"/>
        <v>1191.2612857679501</v>
      </c>
      <c r="BB15" s="1480">
        <f t="shared" si="45"/>
        <v>2346.4403841124895</v>
      </c>
      <c r="BC15" s="1480">
        <f t="shared" si="17"/>
        <v>12254.621285767951</v>
      </c>
      <c r="BD15" s="1480">
        <f t="shared" si="18"/>
        <v>11611.668384112489</v>
      </c>
      <c r="BE15" s="2300"/>
      <c r="BF15" s="1480">
        <f t="shared" si="46"/>
        <v>3127.7720000000008</v>
      </c>
      <c r="BG15" s="1490">
        <f t="shared" si="47"/>
        <v>0.25238215121439528</v>
      </c>
      <c r="BH15" s="1348">
        <f t="shared" si="38"/>
        <v>0.74761784878560467</v>
      </c>
      <c r="BI15" s="1490">
        <f t="shared" si="36"/>
        <v>0.16661301708315684</v>
      </c>
      <c r="BJ15" s="1491"/>
      <c r="BK15" s="1480">
        <f t="shared" si="48"/>
        <v>12393</v>
      </c>
      <c r="BL15" s="1491" t="b">
        <f t="shared" si="49"/>
        <v>1</v>
      </c>
      <c r="BM15" s="1492"/>
      <c r="BN15" s="1492"/>
      <c r="BO15" s="1492"/>
      <c r="BP15" s="1492"/>
      <c r="BQ15" s="2072">
        <v>1</v>
      </c>
      <c r="BR15" s="1480"/>
      <c r="BS15" s="1480"/>
      <c r="BT15" s="1939"/>
      <c r="BU15" s="1939"/>
      <c r="BV15" s="1480"/>
      <c r="BW15" s="1936">
        <f t="shared" si="19"/>
        <v>0</v>
      </c>
      <c r="BX15" s="2216"/>
      <c r="BY15" s="1457"/>
      <c r="BZ15" s="1469">
        <f t="shared" si="20"/>
        <v>51466</v>
      </c>
      <c r="CA15" s="1470">
        <f t="shared" si="60"/>
        <v>173</v>
      </c>
      <c r="CB15" s="1470">
        <f t="shared" si="22"/>
        <v>1</v>
      </c>
      <c r="CC15" s="1471">
        <f t="shared" si="56"/>
        <v>0.24</v>
      </c>
      <c r="CD15" s="1471">
        <f t="shared" si="61"/>
        <v>1</v>
      </c>
      <c r="CE15" s="1471">
        <f>1</f>
        <v>1</v>
      </c>
      <c r="CF15" s="1666">
        <f t="shared" si="57"/>
        <v>12393.119999999999</v>
      </c>
      <c r="CG15" s="1667">
        <v>12393</v>
      </c>
      <c r="CH15" s="1662">
        <f t="shared" si="62"/>
        <v>-0.11999999999898137</v>
      </c>
      <c r="CI15" s="1549">
        <f t="shared" si="63"/>
        <v>-9.6827917424330098E-6</v>
      </c>
      <c r="CJ15" s="1675">
        <f t="shared" si="64"/>
        <v>12393</v>
      </c>
      <c r="CK15" s="1676" t="e">
        <f t="shared" si="65"/>
        <v>#DIV/0!</v>
      </c>
      <c r="CL15" s="1670"/>
      <c r="CM15" s="1493">
        <f t="shared" si="29"/>
        <v>10075.847349387217</v>
      </c>
      <c r="CN15" s="1494" t="e">
        <f t="shared" si="50"/>
        <v>#DIV/0!</v>
      </c>
      <c r="CZ15" s="1496"/>
      <c r="DA15" s="1497"/>
      <c r="DB15" s="1497"/>
    </row>
    <row r="16" spans="1:106" ht="15" thickBot="1" x14ac:dyDescent="0.35">
      <c r="A16" s="1342">
        <v>1991</v>
      </c>
      <c r="B16" s="1336">
        <v>76484</v>
      </c>
      <c r="C16" s="1469">
        <f t="shared" si="0"/>
        <v>79540</v>
      </c>
      <c r="D16" s="1537">
        <v>76481</v>
      </c>
      <c r="E16" s="1537">
        <f t="shared" si="53"/>
        <v>79537</v>
      </c>
      <c r="F16" s="1537">
        <v>10</v>
      </c>
      <c r="G16" s="1508">
        <v>62119</v>
      </c>
      <c r="H16" s="1346">
        <v>27440</v>
      </c>
      <c r="I16" s="1508">
        <f t="shared" si="2"/>
        <v>31118.679999999997</v>
      </c>
      <c r="J16" s="1316">
        <v>27490</v>
      </c>
      <c r="K16" s="1316">
        <v>27490</v>
      </c>
      <c r="L16" s="1315">
        <f t="shared" si="3"/>
        <v>31118.679999999997</v>
      </c>
      <c r="M16" s="1526">
        <v>26689</v>
      </c>
      <c r="N16" s="1380">
        <f t="shared" si="31"/>
        <v>385.87999999999374</v>
      </c>
      <c r="O16" s="1431">
        <f t="shared" si="4"/>
        <v>0.81457926277554127</v>
      </c>
      <c r="P16" s="1544">
        <f t="shared" si="5"/>
        <v>0.50095268758350897</v>
      </c>
      <c r="Q16" s="1334">
        <f t="shared" si="6"/>
        <v>0.44253770987942498</v>
      </c>
      <c r="R16" s="1335">
        <f t="shared" si="7"/>
        <v>0.50095268758350897</v>
      </c>
      <c r="S16" s="1317">
        <v>0.53000000000000014</v>
      </c>
      <c r="T16" s="1317">
        <v>0.44221024692351002</v>
      </c>
      <c r="U16" s="1560">
        <f t="shared" si="54"/>
        <v>0.5</v>
      </c>
      <c r="V16" s="1810">
        <f>MIN(1-P16,M16/G16)</f>
        <v>0.42964310436420416</v>
      </c>
      <c r="W16" s="1530">
        <f t="shared" si="71"/>
        <v>26689</v>
      </c>
      <c r="X16" s="1532">
        <f t="shared" si="68"/>
        <v>0.17774117706224776</v>
      </c>
      <c r="Y16" s="1316">
        <f t="shared" si="51"/>
        <v>39765</v>
      </c>
      <c r="Z16" s="1316">
        <f t="shared" si="52"/>
        <v>39840.767243516471</v>
      </c>
      <c r="AA16" s="1315">
        <f t="shared" si="66"/>
        <v>40534.930000000008</v>
      </c>
      <c r="AB16" s="1469">
        <f t="shared" si="69"/>
        <v>34144.693870876712</v>
      </c>
      <c r="AC16" s="1623">
        <f t="shared" si="32"/>
        <v>39765</v>
      </c>
      <c r="AD16" s="2215">
        <f t="shared" si="59"/>
        <v>39765</v>
      </c>
      <c r="AE16" s="2216">
        <f t="shared" si="34"/>
        <v>39765</v>
      </c>
      <c r="AF16" s="2209">
        <f t="shared" si="67"/>
        <v>5823.3101119623689</v>
      </c>
      <c r="AG16" s="1347">
        <v>0</v>
      </c>
      <c r="AH16" s="1531">
        <f t="shared" si="70"/>
        <v>0</v>
      </c>
      <c r="AI16" s="1537">
        <v>3</v>
      </c>
      <c r="AJ16" s="2300">
        <v>3271</v>
      </c>
      <c r="AK16" s="1316"/>
      <c r="AL16" s="1316"/>
      <c r="AM16" s="1316"/>
      <c r="AN16" s="1316"/>
      <c r="AO16" s="1316"/>
      <c r="AP16" s="1316"/>
      <c r="AQ16" s="1563">
        <f t="shared" si="39"/>
        <v>3268</v>
      </c>
      <c r="AR16" s="1470">
        <f t="shared" si="40"/>
        <v>3271</v>
      </c>
      <c r="AS16" s="1430">
        <f t="shared" si="41"/>
        <v>1632.3837589143423</v>
      </c>
      <c r="AT16" s="1316">
        <f t="shared" si="42"/>
        <v>1635.5</v>
      </c>
      <c r="AU16" s="2300">
        <f t="shared" si="43"/>
        <v>1635.5</v>
      </c>
      <c r="AV16" s="1316">
        <f t="shared" si="10"/>
        <v>32754.179999999997</v>
      </c>
      <c r="AW16" s="1316">
        <f t="shared" si="11"/>
        <v>32754.179999999997</v>
      </c>
      <c r="AX16" s="1350">
        <f t="shared" si="44"/>
        <v>4.9932558226156179E-2</v>
      </c>
      <c r="AY16" s="1335">
        <f t="shared" si="13"/>
        <v>0.1764165105548362</v>
      </c>
      <c r="AZ16" s="1335">
        <f t="shared" si="14"/>
        <v>0.1764165105548362</v>
      </c>
      <c r="BA16" s="1316">
        <f t="shared" si="15"/>
        <v>5778.3781416850043</v>
      </c>
      <c r="BB16" s="1316">
        <f t="shared" si="45"/>
        <v>5778.3781416850043</v>
      </c>
      <c r="BC16" s="1316">
        <f t="shared" si="17"/>
        <v>38532.558141685004</v>
      </c>
      <c r="BD16" s="1316">
        <f t="shared" si="18"/>
        <v>38532.558141685004</v>
      </c>
      <c r="BE16" s="2300"/>
      <c r="BF16" s="1316">
        <f t="shared" si="46"/>
        <v>7010.8200000000033</v>
      </c>
      <c r="BG16" s="1348">
        <f t="shared" si="47"/>
        <v>0.1763062995096191</v>
      </c>
      <c r="BH16" s="1348">
        <f t="shared" si="38"/>
        <v>0.82369370049038093</v>
      </c>
      <c r="BI16" s="1348">
        <f t="shared" si="36"/>
        <v>0.3808200729592971</v>
      </c>
      <c r="BJ16" s="1344"/>
      <c r="BK16" s="1316">
        <f t="shared" si="48"/>
        <v>39765</v>
      </c>
      <c r="BL16" s="1344" t="b">
        <f t="shared" si="49"/>
        <v>1</v>
      </c>
      <c r="BM16" s="1345"/>
      <c r="BN16" s="1345"/>
      <c r="BO16" s="1345"/>
      <c r="BP16" s="1345"/>
      <c r="BQ16" s="2072">
        <v>1</v>
      </c>
      <c r="BR16" s="1316"/>
      <c r="BS16" s="1316"/>
      <c r="BT16" s="1939"/>
      <c r="BU16" s="1939"/>
      <c r="BV16" s="1316"/>
      <c r="BW16" s="2226">
        <f t="shared" si="19"/>
        <v>0</v>
      </c>
      <c r="BX16" s="2216"/>
      <c r="BY16" s="1457"/>
      <c r="BZ16" s="1469">
        <f t="shared" si="20"/>
        <v>79537</v>
      </c>
      <c r="CA16" s="1470">
        <f t="shared" si="60"/>
        <v>3</v>
      </c>
      <c r="CB16" s="1470">
        <f t="shared" si="22"/>
        <v>10</v>
      </c>
      <c r="CC16" s="1471">
        <f t="shared" si="56"/>
        <v>0.5</v>
      </c>
      <c r="CD16" s="1471">
        <f t="shared" si="61"/>
        <v>1</v>
      </c>
      <c r="CE16" s="1471">
        <f>1</f>
        <v>1</v>
      </c>
      <c r="CF16" s="1666">
        <f t="shared" si="57"/>
        <v>39765</v>
      </c>
      <c r="CG16" s="1667">
        <v>39765</v>
      </c>
      <c r="CH16" s="1662">
        <f t="shared" si="62"/>
        <v>0</v>
      </c>
      <c r="CI16" s="1548">
        <f t="shared" si="63"/>
        <v>0</v>
      </c>
      <c r="CJ16" s="1675">
        <f t="shared" si="64"/>
        <v>39765</v>
      </c>
      <c r="CK16" s="1676" t="e">
        <f t="shared" si="65"/>
        <v>#DIV/0!</v>
      </c>
      <c r="CL16" s="1669"/>
      <c r="CM16" s="1013">
        <f t="shared" si="29"/>
        <v>39840.767243516471</v>
      </c>
      <c r="CN16" s="1014" t="e">
        <f t="shared" si="50"/>
        <v>#DIV/0!</v>
      </c>
      <c r="CZ16" s="1066"/>
      <c r="DA16" s="1077"/>
      <c r="DB16" s="1077"/>
    </row>
    <row r="17" spans="1:106" x14ac:dyDescent="0.3">
      <c r="A17" s="1342">
        <v>1992</v>
      </c>
      <c r="B17" s="1336">
        <v>85000</v>
      </c>
      <c r="C17" s="1469">
        <f t="shared" si="0"/>
        <v>88427</v>
      </c>
      <c r="D17" s="1537">
        <v>84992</v>
      </c>
      <c r="E17" s="1537">
        <f t="shared" si="53"/>
        <v>88419</v>
      </c>
      <c r="F17" s="1537">
        <v>35</v>
      </c>
      <c r="G17" s="1508">
        <v>68359</v>
      </c>
      <c r="H17" s="1346">
        <v>41804</v>
      </c>
      <c r="I17" s="1508">
        <f t="shared" si="2"/>
        <v>47488.531999999992</v>
      </c>
      <c r="J17" s="1316">
        <v>41951</v>
      </c>
      <c r="K17" s="1316">
        <v>41951</v>
      </c>
      <c r="L17" s="1315">
        <f t="shared" si="3"/>
        <v>47488.531999999992</v>
      </c>
      <c r="M17" s="1526">
        <v>16461</v>
      </c>
      <c r="N17" s="1380">
        <f t="shared" si="31"/>
        <v>668.05199999998877</v>
      </c>
      <c r="O17" s="1431">
        <f t="shared" si="4"/>
        <v>0.79296344844386191</v>
      </c>
      <c r="P17" s="1544">
        <f t="shared" si="5"/>
        <v>0.69469319328837453</v>
      </c>
      <c r="Q17" s="1334">
        <f t="shared" si="6"/>
        <v>0.61368656650916487</v>
      </c>
      <c r="R17" s="1335">
        <f t="shared" si="7"/>
        <v>0.69469319328837453</v>
      </c>
      <c r="S17" s="1317">
        <v>0.63</v>
      </c>
      <c r="T17" s="1317">
        <v>0.58903167877886586</v>
      </c>
      <c r="U17" s="1560">
        <f t="shared" si="54"/>
        <v>0.69</v>
      </c>
      <c r="V17" s="1561">
        <f t="shared" si="55"/>
        <v>0.30530680671162547</v>
      </c>
      <c r="W17" s="1530">
        <f t="shared" si="71"/>
        <v>20870.468000000004</v>
      </c>
      <c r="X17" s="1532">
        <f t="shared" si="68"/>
        <v>0.20176658862914079</v>
      </c>
      <c r="Y17" s="1316">
        <f t="shared" si="51"/>
        <v>60990.479999999996</v>
      </c>
      <c r="Z17" s="1316">
        <f t="shared" si="52"/>
        <v>61405.320741146003</v>
      </c>
      <c r="AA17" s="1315">
        <f t="shared" si="66"/>
        <v>53544.959999999999</v>
      </c>
      <c r="AB17" s="1469">
        <f t="shared" si="69"/>
        <v>22438.015221816779</v>
      </c>
      <c r="AC17" s="1623">
        <f t="shared" si="32"/>
        <v>27402</v>
      </c>
      <c r="AD17" s="2215">
        <f t="shared" si="59"/>
        <v>60990</v>
      </c>
      <c r="AE17" s="2216">
        <f t="shared" si="34"/>
        <v>27402</v>
      </c>
      <c r="AF17" s="2209">
        <f t="shared" si="67"/>
        <v>5309.9198491518746</v>
      </c>
      <c r="AG17" s="1347">
        <v>0</v>
      </c>
      <c r="AH17" s="1530">
        <f t="shared" si="70"/>
        <v>4409.4680000000044</v>
      </c>
      <c r="AI17" s="1537">
        <v>8</v>
      </c>
      <c r="AJ17" s="2300">
        <v>2185</v>
      </c>
      <c r="AK17" s="1316"/>
      <c r="AL17" s="1316"/>
      <c r="AM17" s="1316"/>
      <c r="AN17" s="1316"/>
      <c r="AO17" s="1316"/>
      <c r="AP17" s="1316"/>
      <c r="AQ17" s="1563">
        <f t="shared" si="39"/>
        <v>2177</v>
      </c>
      <c r="AR17" s="1470">
        <f t="shared" si="40"/>
        <v>2185</v>
      </c>
      <c r="AS17" s="1430">
        <f t="shared" si="41"/>
        <v>667.09537266490167</v>
      </c>
      <c r="AT17" s="1316">
        <f t="shared" si="42"/>
        <v>1507.6499999999999</v>
      </c>
      <c r="AU17" s="2300">
        <f t="shared" si="43"/>
        <v>1507.6499999999999</v>
      </c>
      <c r="AV17" s="1316">
        <f t="shared" si="10"/>
        <v>48996.181999999993</v>
      </c>
      <c r="AW17" s="1316">
        <f t="shared" si="11"/>
        <v>48996.181999999993</v>
      </c>
      <c r="AX17" s="1350">
        <f t="shared" si="44"/>
        <v>3.0770764954706063E-2</v>
      </c>
      <c r="AY17" s="1335">
        <f t="shared" si="13"/>
        <v>0.19699431773385981</v>
      </c>
      <c r="AZ17" s="1335">
        <f t="shared" si="14"/>
        <v>0.19699431773385981</v>
      </c>
      <c r="BA17" s="1316">
        <f t="shared" si="15"/>
        <v>9651.9694446540216</v>
      </c>
      <c r="BB17" s="1316">
        <f t="shared" si="45"/>
        <v>9651.9694446540216</v>
      </c>
      <c r="BC17" s="1316">
        <f t="shared" si="17"/>
        <v>58648.151444654017</v>
      </c>
      <c r="BD17" s="1316">
        <f t="shared" si="18"/>
        <v>58648.151444654017</v>
      </c>
      <c r="BE17" s="2300"/>
      <c r="BF17" s="1316">
        <f t="shared" si="46"/>
        <v>11993.818000000007</v>
      </c>
      <c r="BG17" s="1348">
        <f t="shared" si="47"/>
        <v>0.19665220527955413</v>
      </c>
      <c r="BH17" s="1348">
        <f t="shared" si="38"/>
        <v>0.80334779472044582</v>
      </c>
      <c r="BI17" s="1348">
        <f t="shared" si="36"/>
        <v>0.51132636012801203</v>
      </c>
      <c r="BJ17" s="1344"/>
      <c r="BK17" s="1316">
        <f t="shared" si="48"/>
        <v>60990</v>
      </c>
      <c r="BL17" s="1344" t="b">
        <f t="shared" si="49"/>
        <v>1</v>
      </c>
      <c r="BM17" s="1345"/>
      <c r="BN17" s="1345"/>
      <c r="BO17" s="1345"/>
      <c r="BP17" s="1345"/>
      <c r="BQ17" s="2072">
        <v>1</v>
      </c>
      <c r="BR17" s="1316"/>
      <c r="BS17" s="1316"/>
      <c r="BT17" s="1939"/>
      <c r="BU17" s="1939"/>
      <c r="BV17" s="1316"/>
      <c r="BW17" s="1936">
        <f t="shared" ref="BW17:BW18" si="72">AC17*BU17</f>
        <v>0</v>
      </c>
      <c r="BX17" s="2216"/>
      <c r="BY17" s="1457"/>
      <c r="BZ17" s="1469">
        <f t="shared" si="20"/>
        <v>88419</v>
      </c>
      <c r="CA17" s="1470">
        <f t="shared" si="60"/>
        <v>8</v>
      </c>
      <c r="CB17" s="1470">
        <f t="shared" si="22"/>
        <v>35</v>
      </c>
      <c r="CC17" s="1471">
        <f t="shared" si="56"/>
        <v>0.69</v>
      </c>
      <c r="CD17" s="1471">
        <f t="shared" si="61"/>
        <v>1</v>
      </c>
      <c r="CE17" s="1471">
        <f>1</f>
        <v>1</v>
      </c>
      <c r="CF17" s="1666">
        <f t="shared" si="57"/>
        <v>60990.479999999996</v>
      </c>
      <c r="CG17" s="1667">
        <v>60990</v>
      </c>
      <c r="CH17" s="1662">
        <f t="shared" si="62"/>
        <v>-0.47999999999592546</v>
      </c>
      <c r="CI17" s="1548">
        <f t="shared" si="63"/>
        <v>-7.8700807076108512E-6</v>
      </c>
      <c r="CJ17" s="1675">
        <f t="shared" si="64"/>
        <v>60990</v>
      </c>
      <c r="CK17" s="1676" t="e">
        <f t="shared" si="65"/>
        <v>#DIV/0!</v>
      </c>
      <c r="CL17" s="1669"/>
      <c r="CM17" s="1013">
        <f t="shared" si="29"/>
        <v>61405.320741146003</v>
      </c>
      <c r="CN17" s="1014" t="e">
        <f t="shared" si="50"/>
        <v>#DIV/0!</v>
      </c>
      <c r="CZ17" s="1066"/>
      <c r="DA17" s="1077"/>
      <c r="DB17" s="1077"/>
    </row>
    <row r="18" spans="1:106" x14ac:dyDescent="0.3">
      <c r="A18" s="1342">
        <v>1993</v>
      </c>
      <c r="B18" s="1336">
        <v>88025</v>
      </c>
      <c r="C18" s="1469">
        <f t="shared" si="0"/>
        <v>83459</v>
      </c>
      <c r="D18" s="1537">
        <v>80178</v>
      </c>
      <c r="E18" s="1537">
        <f t="shared" si="53"/>
        <v>83395</v>
      </c>
      <c r="F18" s="1537">
        <v>18</v>
      </c>
      <c r="G18" s="1508">
        <v>65630</v>
      </c>
      <c r="H18" s="1346">
        <v>28319</v>
      </c>
      <c r="I18" s="1508">
        <f>MAX(H18*1.12,L18)</f>
        <v>31717.280000000002</v>
      </c>
      <c r="J18" s="1316">
        <v>27849</v>
      </c>
      <c r="K18" s="1316">
        <v>27849</v>
      </c>
      <c r="L18" s="1315">
        <f t="shared" si="3"/>
        <v>31525.067999999996</v>
      </c>
      <c r="M18" s="1526">
        <v>25056</v>
      </c>
      <c r="N18" s="1380" t="str">
        <f t="shared" si="31"/>
        <v/>
      </c>
      <c r="O18" s="1431">
        <f t="shared" si="4"/>
        <v>0.83689317912293903</v>
      </c>
      <c r="P18" s="1544">
        <f t="shared" si="5"/>
        <v>0.48327411244857538</v>
      </c>
      <c r="Q18" s="1334">
        <f t="shared" si="6"/>
        <v>0.42433338412311444</v>
      </c>
      <c r="R18" s="1335">
        <f t="shared" si="7"/>
        <v>0.48034539082736549</v>
      </c>
      <c r="S18" s="1317">
        <v>0.57999999999999996</v>
      </c>
      <c r="T18" s="1317">
        <v>0.42734137581729442</v>
      </c>
      <c r="U18" s="1560">
        <f t="shared" si="54"/>
        <v>0.48</v>
      </c>
      <c r="V18" s="1561">
        <f t="shared" si="55"/>
        <v>0.51672588755142468</v>
      </c>
      <c r="W18" s="1530">
        <f t="shared" si="71"/>
        <v>33912.720000000001</v>
      </c>
      <c r="X18" s="1532">
        <f t="shared" si="68"/>
        <v>0.15261106780982073</v>
      </c>
      <c r="Y18" s="1316">
        <f t="shared" si="51"/>
        <v>40051.68</v>
      </c>
      <c r="Z18" s="1316">
        <f t="shared" si="52"/>
        <v>40080.499756026205</v>
      </c>
      <c r="AA18" s="1315">
        <f t="shared" si="66"/>
        <v>46503.24</v>
      </c>
      <c r="AB18" s="1469">
        <f t="shared" si="69"/>
        <v>33829.04727165449</v>
      </c>
      <c r="AC18" s="1623">
        <f t="shared" si="32"/>
        <v>39050.1</v>
      </c>
      <c r="AD18" s="2215">
        <f t="shared" si="59"/>
        <v>40052</v>
      </c>
      <c r="AE18" s="2216">
        <f t="shared" si="34"/>
        <v>43389</v>
      </c>
      <c r="AF18" s="2209">
        <f t="shared" si="67"/>
        <v>6179.0833161463406</v>
      </c>
      <c r="AG18" s="1347">
        <v>0.1</v>
      </c>
      <c r="AH18" s="1531">
        <f t="shared" si="70"/>
        <v>8856.7200000000012</v>
      </c>
      <c r="AI18" s="1537">
        <v>64</v>
      </c>
      <c r="AJ18" s="2300">
        <v>5020</v>
      </c>
      <c r="AK18" s="1316"/>
      <c r="AL18" s="1316"/>
      <c r="AM18" s="1316"/>
      <c r="AN18" s="1316"/>
      <c r="AO18" s="1316"/>
      <c r="AP18" s="1316"/>
      <c r="AQ18" s="1563">
        <f t="shared" si="39"/>
        <v>4956</v>
      </c>
      <c r="AR18" s="1470">
        <f t="shared" si="40"/>
        <v>5020</v>
      </c>
      <c r="AS18" s="1430">
        <f t="shared" si="41"/>
        <v>2593.9639555081517</v>
      </c>
      <c r="AT18" s="1316">
        <f t="shared" si="42"/>
        <v>2409.6</v>
      </c>
      <c r="AU18" s="2300">
        <f t="shared" si="43"/>
        <v>2409.6</v>
      </c>
      <c r="AV18" s="1316">
        <f t="shared" si="10"/>
        <v>34126.880000000005</v>
      </c>
      <c r="AW18" s="1316">
        <f t="shared" si="11"/>
        <v>33934.667999999998</v>
      </c>
      <c r="AX18" s="1350">
        <f t="shared" si="44"/>
        <v>7.1007030332520121E-2</v>
      </c>
      <c r="AY18" s="1335">
        <f t="shared" si="13"/>
        <v>0.14822631252872864</v>
      </c>
      <c r="AZ18" s="1335">
        <f t="shared" si="14"/>
        <v>0.1530280592361653</v>
      </c>
      <c r="BA18" s="1316">
        <f t="shared" si="15"/>
        <v>5058.5015805104194</v>
      </c>
      <c r="BB18" s="1316">
        <f t="shared" si="45"/>
        <v>5192.9563848636026</v>
      </c>
      <c r="BC18" s="1316">
        <f t="shared" si="17"/>
        <v>39185.381580510424</v>
      </c>
      <c r="BD18" s="1316">
        <f t="shared" si="18"/>
        <v>39127.6243848636</v>
      </c>
      <c r="BE18" s="2300"/>
      <c r="BF18" s="1316">
        <f t="shared" si="46"/>
        <v>6117.3320000000022</v>
      </c>
      <c r="BG18" s="1348">
        <f t="shared" si="47"/>
        <v>0.15273474483171881</v>
      </c>
      <c r="BH18" s="1348">
        <f t="shared" si="38"/>
        <v>0.84726525516828122</v>
      </c>
      <c r="BI18" s="1348">
        <f t="shared" si="36"/>
        <v>0.37739280101773554</v>
      </c>
      <c r="BJ18" s="1344"/>
      <c r="BK18" s="1316">
        <f t="shared" si="48"/>
        <v>40052</v>
      </c>
      <c r="BL18" s="1344" t="b">
        <f t="shared" si="49"/>
        <v>1</v>
      </c>
      <c r="BM18" s="1345"/>
      <c r="BN18" s="1345"/>
      <c r="BO18" s="1345"/>
      <c r="BP18" s="1345"/>
      <c r="BQ18" s="2072">
        <v>1</v>
      </c>
      <c r="BR18" s="1316"/>
      <c r="BS18" s="1316"/>
      <c r="BT18" s="1939"/>
      <c r="BU18" s="1939"/>
      <c r="BV18" s="1316"/>
      <c r="BW18" s="1936">
        <f t="shared" si="72"/>
        <v>0</v>
      </c>
      <c r="BX18" s="2216"/>
      <c r="BY18" s="1457"/>
      <c r="BZ18" s="1469">
        <f t="shared" si="20"/>
        <v>83395</v>
      </c>
      <c r="CA18" s="1470">
        <f t="shared" si="60"/>
        <v>64</v>
      </c>
      <c r="CB18" s="1470">
        <f t="shared" si="22"/>
        <v>18</v>
      </c>
      <c r="CC18" s="1471">
        <f t="shared" si="56"/>
        <v>0.48</v>
      </c>
      <c r="CD18" s="1471">
        <f t="shared" si="61"/>
        <v>1</v>
      </c>
      <c r="CE18" s="1471">
        <f>1</f>
        <v>1</v>
      </c>
      <c r="CF18" s="1666">
        <f t="shared" si="57"/>
        <v>40051.68</v>
      </c>
      <c r="CG18" s="1667">
        <v>40052</v>
      </c>
      <c r="CH18" s="1662">
        <f t="shared" si="62"/>
        <v>0.31999999999970896</v>
      </c>
      <c r="CI18" s="1548">
        <f t="shared" si="63"/>
        <v>7.9896773368734831E-6</v>
      </c>
      <c r="CJ18" s="1675">
        <f t="shared" si="64"/>
        <v>40052</v>
      </c>
      <c r="CK18" s="1676" t="e">
        <f t="shared" si="65"/>
        <v>#DIV/0!</v>
      </c>
      <c r="CL18" s="1669"/>
      <c r="CM18" s="1013">
        <f t="shared" si="29"/>
        <v>40080.499756026205</v>
      </c>
      <c r="CN18" s="1014" t="e">
        <f t="shared" si="50"/>
        <v>#DIV/0!</v>
      </c>
      <c r="CZ18" s="1066"/>
      <c r="DA18" s="1077"/>
      <c r="DB18" s="1077"/>
    </row>
    <row r="19" spans="1:106" x14ac:dyDescent="0.3">
      <c r="A19" s="1342">
        <v>1994</v>
      </c>
      <c r="B19" s="1336">
        <v>12873</v>
      </c>
      <c r="C19" s="1469">
        <f t="shared" si="0"/>
        <v>12957</v>
      </c>
      <c r="D19" s="1537">
        <v>12678</v>
      </c>
      <c r="E19" s="1537">
        <f t="shared" si="53"/>
        <v>12956</v>
      </c>
      <c r="F19" s="1537">
        <v>5</v>
      </c>
      <c r="G19" s="1508">
        <v>11367</v>
      </c>
      <c r="H19" s="1346">
        <v>1662</v>
      </c>
      <c r="I19" s="1508">
        <f t="shared" ref="I19:I48" si="73">MAX(H19,L19)</f>
        <v>1885.9119999999998</v>
      </c>
      <c r="J19" s="1316">
        <v>1666</v>
      </c>
      <c r="K19" s="1316">
        <v>1666</v>
      </c>
      <c r="L19" s="1315">
        <f t="shared" si="3"/>
        <v>1885.9119999999998</v>
      </c>
      <c r="M19" s="1526">
        <v>6931</v>
      </c>
      <c r="N19" s="1380">
        <f t="shared" si="31"/>
        <v>24.471999999999525</v>
      </c>
      <c r="O19" s="1431">
        <f t="shared" si="4"/>
        <v>0.91081730769230773</v>
      </c>
      <c r="P19" s="1544">
        <f t="shared" si="5"/>
        <v>0.16591114630069498</v>
      </c>
      <c r="Q19" s="1334">
        <f t="shared" si="6"/>
        <v>0.14656461687340547</v>
      </c>
      <c r="R19" s="1335">
        <f t="shared" si="7"/>
        <v>0.16591114630069498</v>
      </c>
      <c r="S19" s="1317"/>
      <c r="T19" s="1317">
        <v>0.1516531560251389</v>
      </c>
      <c r="U19" s="1560">
        <f t="shared" si="54"/>
        <v>0.17</v>
      </c>
      <c r="V19" s="1561">
        <f t="shared" si="55"/>
        <v>0.83408885369930497</v>
      </c>
      <c r="W19" s="1530">
        <f t="shared" si="71"/>
        <v>9481.0879999999997</v>
      </c>
      <c r="X19" s="1532">
        <f t="shared" si="68"/>
        <v>8.5828959555418333E-2</v>
      </c>
      <c r="Y19" s="1316">
        <f t="shared" si="51"/>
        <v>2201.84</v>
      </c>
      <c r="Z19" s="1316">
        <f t="shared" si="52"/>
        <v>2148.8811668866015</v>
      </c>
      <c r="AA19" s="1315"/>
      <c r="AB19" s="1469">
        <f t="shared" si="69"/>
        <v>8218.0488015200717</v>
      </c>
      <c r="AC19" s="1623">
        <f t="shared" si="32"/>
        <v>10212.5</v>
      </c>
      <c r="AD19" s="2215">
        <f t="shared" si="59"/>
        <v>2202</v>
      </c>
      <c r="AE19" s="2216">
        <f t="shared" si="34"/>
        <v>10750</v>
      </c>
      <c r="AF19" s="2209">
        <f t="shared" si="67"/>
        <v>893.35886257400068</v>
      </c>
      <c r="AG19" s="1347">
        <v>0.05</v>
      </c>
      <c r="AH19" s="1530">
        <f t="shared" si="70"/>
        <v>2550.0879999999997</v>
      </c>
      <c r="AI19" s="1537">
        <v>1</v>
      </c>
      <c r="AJ19" s="2300">
        <v>472</v>
      </c>
      <c r="AK19" s="1316"/>
      <c r="AL19" s="1316"/>
      <c r="AM19" s="1316"/>
      <c r="AN19" s="1316"/>
      <c r="AO19" s="1316"/>
      <c r="AP19" s="1316"/>
      <c r="AQ19" s="1563">
        <f t="shared" si="39"/>
        <v>471</v>
      </c>
      <c r="AR19" s="1470">
        <f t="shared" si="40"/>
        <v>472</v>
      </c>
      <c r="AS19" s="1430">
        <f t="shared" si="41"/>
        <v>393.68993894607195</v>
      </c>
      <c r="AT19" s="1316">
        <f t="shared" si="42"/>
        <v>80.240000000000009</v>
      </c>
      <c r="AU19" s="2300">
        <f t="shared" si="43"/>
        <v>80.240000000000009</v>
      </c>
      <c r="AV19" s="1316">
        <f t="shared" si="10"/>
        <v>1966.1519999999998</v>
      </c>
      <c r="AW19" s="1316">
        <f t="shared" si="11"/>
        <v>1966.1519999999998</v>
      </c>
      <c r="AX19" s="1350">
        <f t="shared" si="44"/>
        <v>4.0810679947430317E-2</v>
      </c>
      <c r="AY19" s="1335">
        <f t="shared" si="13"/>
        <v>0.10739425748687875</v>
      </c>
      <c r="AZ19" s="1335">
        <f t="shared" si="14"/>
        <v>0.10739425748687875</v>
      </c>
      <c r="BA19" s="1316">
        <f t="shared" si="15"/>
        <v>211.15343414634162</v>
      </c>
      <c r="BB19" s="1316">
        <f t="shared" si="45"/>
        <v>211.15343414634162</v>
      </c>
      <c r="BC19" s="1316">
        <f t="shared" si="17"/>
        <v>2177.3054341463412</v>
      </c>
      <c r="BD19" s="1316">
        <f t="shared" si="18"/>
        <v>2177.3054341463412</v>
      </c>
      <c r="BE19" s="2300"/>
      <c r="BF19" s="1316">
        <f t="shared" si="46"/>
        <v>235.84800000000018</v>
      </c>
      <c r="BG19" s="1348">
        <f t="shared" si="47"/>
        <v>0.10710626702997283</v>
      </c>
      <c r="BH19" s="1348">
        <f t="shared" si="38"/>
        <v>0.89289373297002717</v>
      </c>
      <c r="BI19" s="1348">
        <f t="shared" si="36"/>
        <v>0.13773781353525794</v>
      </c>
      <c r="BJ19" s="1344"/>
      <c r="BK19" s="1316">
        <f t="shared" si="48"/>
        <v>2202</v>
      </c>
      <c r="BL19" s="1344" t="b">
        <f t="shared" si="49"/>
        <v>1</v>
      </c>
      <c r="BM19" s="1345"/>
      <c r="BN19" s="1345"/>
      <c r="BO19" s="1345"/>
      <c r="BP19" s="1345"/>
      <c r="BQ19" s="2072">
        <v>1</v>
      </c>
      <c r="BR19" s="1316"/>
      <c r="BS19" s="1316"/>
      <c r="BT19" s="1939"/>
      <c r="BU19" s="1939"/>
      <c r="BV19" s="1316"/>
      <c r="BW19" s="2227">
        <f t="shared" ref="BW19:BW31" si="74">AD19</f>
        <v>2202</v>
      </c>
      <c r="BX19" s="2216"/>
      <c r="BY19" s="1457"/>
      <c r="BZ19" s="1469">
        <f t="shared" si="20"/>
        <v>12956</v>
      </c>
      <c r="CA19" s="1470">
        <f t="shared" si="60"/>
        <v>1</v>
      </c>
      <c r="CB19" s="1470">
        <f t="shared" si="22"/>
        <v>5</v>
      </c>
      <c r="CC19" s="1471">
        <f t="shared" si="56"/>
        <v>0.17</v>
      </c>
      <c r="CD19" s="1471">
        <f t="shared" si="61"/>
        <v>1</v>
      </c>
      <c r="CE19" s="1471">
        <f>1</f>
        <v>1</v>
      </c>
      <c r="CF19" s="1666">
        <f t="shared" si="57"/>
        <v>2201.84</v>
      </c>
      <c r="CG19" s="1667">
        <v>2202</v>
      </c>
      <c r="CH19" s="1662">
        <f t="shared" si="62"/>
        <v>0.15999999999985448</v>
      </c>
      <c r="CI19" s="1548">
        <f t="shared" si="63"/>
        <v>7.2666497111440647E-5</v>
      </c>
      <c r="CJ19" s="1675">
        <f t="shared" si="64"/>
        <v>0</v>
      </c>
      <c r="CK19" s="1676">
        <f t="shared" si="65"/>
        <v>0</v>
      </c>
      <c r="CL19" s="1669"/>
      <c r="CM19" s="1013">
        <f t="shared" si="29"/>
        <v>2148.8811668866015</v>
      </c>
      <c r="CN19" s="1014">
        <f t="shared" si="50"/>
        <v>2.4122994147774079E-2</v>
      </c>
      <c r="CZ19" s="1066"/>
      <c r="DA19" s="1077"/>
      <c r="DB19" s="1077"/>
    </row>
    <row r="20" spans="1:106" s="1449" customFormat="1" x14ac:dyDescent="0.3">
      <c r="A20" s="1553">
        <v>1995</v>
      </c>
      <c r="B20" s="1432">
        <v>9913</v>
      </c>
      <c r="C20" s="1501">
        <f t="shared" si="0"/>
        <v>8883</v>
      </c>
      <c r="D20" s="1540">
        <v>8774</v>
      </c>
      <c r="E20" s="1433">
        <f>ROUND((D20+BoostBonDamCounts*BoostBonDamCountPct*D20)*VLOOKUP(A20,BON_Count_Adjustment,5)+VLOOKUP(A20,BON_Count_Adjustment,4),0)</f>
        <v>8882</v>
      </c>
      <c r="F20" s="1539">
        <v>5</v>
      </c>
      <c r="G20" s="1433">
        <f>9462-ReduceRISdamCounts*BoostBonDamCountPct*9462</f>
        <v>8023.4074317434188</v>
      </c>
      <c r="H20" s="1435">
        <v>4988</v>
      </c>
      <c r="I20" s="1509">
        <f t="shared" si="73"/>
        <v>5537.7439999999997</v>
      </c>
      <c r="J20" s="1434">
        <v>4892</v>
      </c>
      <c r="K20" s="1434">
        <v>4892</v>
      </c>
      <c r="L20" s="1440">
        <f t="shared" si="3"/>
        <v>5537.7439999999997</v>
      </c>
      <c r="M20" s="1527">
        <v>3261</v>
      </c>
      <c r="N20" s="1436" t="str">
        <f t="shared" si="31"/>
        <v/>
      </c>
      <c r="O20" s="1557">
        <f t="shared" si="4"/>
        <v>0.95142979150283635</v>
      </c>
      <c r="P20" s="1816">
        <f t="shared" si="5"/>
        <v>0.69019852813291505</v>
      </c>
      <c r="Q20" s="1437">
        <f t="shared" si="6"/>
        <v>0.60971601425169175</v>
      </c>
      <c r="R20" s="1438">
        <f t="shared" si="7"/>
        <v>0.69019852813291505</v>
      </c>
      <c r="S20" s="1439"/>
      <c r="T20" s="1439">
        <v>0.56055918414117112</v>
      </c>
      <c r="U20" s="1817">
        <f t="shared" ref="U20:U23" si="75">MIN(ROUND(P20,2),ROUND(1-V20,2))</f>
        <v>0.59</v>
      </c>
      <c r="V20" s="1561">
        <f t="shared" ref="V20:V23" si="76">MAX(1-P20,M20/G20)</f>
        <v>0.40643579772583133</v>
      </c>
      <c r="W20" s="1530">
        <f t="shared" si="71"/>
        <v>3261</v>
      </c>
      <c r="X20" s="1532">
        <f t="shared" si="68"/>
        <v>4.6002315723551138E-2</v>
      </c>
      <c r="Y20" s="1434">
        <f t="shared" si="51"/>
        <v>5238.0199999999995</v>
      </c>
      <c r="Z20" s="1434">
        <f t="shared" si="52"/>
        <v>6127.5825327640196</v>
      </c>
      <c r="AA20" s="1440"/>
      <c r="AB20" s="1469">
        <f t="shared" si="69"/>
        <v>3556.5146568553109</v>
      </c>
      <c r="AC20" s="1624">
        <f t="shared" si="32"/>
        <v>3458</v>
      </c>
      <c r="AD20" s="2218">
        <f t="shared" si="59"/>
        <v>5238</v>
      </c>
      <c r="AE20" s="2217">
        <f t="shared" si="34"/>
        <v>3640</v>
      </c>
      <c r="AF20" s="2209">
        <f t="shared" si="67"/>
        <v>157.65300187445808</v>
      </c>
      <c r="AG20" s="1441">
        <v>0.05</v>
      </c>
      <c r="AH20" s="1530">
        <f t="shared" si="70"/>
        <v>0</v>
      </c>
      <c r="AI20" s="1537">
        <v>1</v>
      </c>
      <c r="AJ20" s="2301">
        <v>445</v>
      </c>
      <c r="AK20" s="1434"/>
      <c r="AL20" s="1434"/>
      <c r="AM20" s="1434"/>
      <c r="AN20" s="1434"/>
      <c r="AO20" s="1434"/>
      <c r="AP20" s="1434"/>
      <c r="AQ20" s="1564">
        <f t="shared" si="39"/>
        <v>444</v>
      </c>
      <c r="AR20" s="1505">
        <f t="shared" si="40"/>
        <v>445</v>
      </c>
      <c r="AS20" s="1442">
        <f t="shared" si="41"/>
        <v>137.86165498085279</v>
      </c>
      <c r="AT20" s="1434">
        <f t="shared" si="42"/>
        <v>262.55</v>
      </c>
      <c r="AU20" s="2301">
        <f t="shared" si="43"/>
        <v>262.55</v>
      </c>
      <c r="AV20" s="1434">
        <f t="shared" si="10"/>
        <v>5800.2939999999999</v>
      </c>
      <c r="AW20" s="1434">
        <f t="shared" si="11"/>
        <v>5800.2939999999999</v>
      </c>
      <c r="AX20" s="1443">
        <f t="shared" si="44"/>
        <v>4.5264946914759838E-2</v>
      </c>
      <c r="AY20" s="1438">
        <f t="shared" si="13"/>
        <v>-0.10673348115976315</v>
      </c>
      <c r="AZ20" s="1438">
        <f t="shared" si="14"/>
        <v>-0.10673348115976315</v>
      </c>
      <c r="BA20" s="1434">
        <f t="shared" si="15"/>
        <v>-619.08557037008723</v>
      </c>
      <c r="BB20" s="1434">
        <f t="shared" si="45"/>
        <v>-619.08557037008723</v>
      </c>
      <c r="BC20" s="1434">
        <f t="shared" si="17"/>
        <v>5181.2084296299126</v>
      </c>
      <c r="BD20" s="1434">
        <f t="shared" si="18"/>
        <v>5181.2084296299126</v>
      </c>
      <c r="BE20" s="2301"/>
      <c r="BF20" s="1434">
        <f t="shared" si="46"/>
        <v>-562.29399999999987</v>
      </c>
      <c r="BG20" s="1444">
        <f t="shared" si="47"/>
        <v>-0.10734898816342113</v>
      </c>
      <c r="BH20" s="1348">
        <f t="shared" si="38"/>
        <v>1</v>
      </c>
      <c r="BI20" s="1444">
        <f t="shared" si="36"/>
        <v>0.58748005470708919</v>
      </c>
      <c r="BJ20" s="1445"/>
      <c r="BK20" s="1434">
        <f t="shared" si="48"/>
        <v>5238</v>
      </c>
      <c r="BL20" s="1445" t="b">
        <f t="shared" si="49"/>
        <v>1</v>
      </c>
      <c r="BM20" s="1446"/>
      <c r="BN20" s="1446"/>
      <c r="BO20" s="1446"/>
      <c r="BP20" s="1446"/>
      <c r="BQ20" s="2072">
        <v>1</v>
      </c>
      <c r="BR20" s="1434"/>
      <c r="BS20" s="1434"/>
      <c r="BT20" s="1939"/>
      <c r="BU20" s="1939"/>
      <c r="BV20" s="1434"/>
      <c r="BW20" s="2227">
        <f t="shared" si="74"/>
        <v>5238</v>
      </c>
      <c r="BX20" s="2217"/>
      <c r="BY20" s="1457"/>
      <c r="BZ20" s="1552">
        <f t="shared" si="20"/>
        <v>8882</v>
      </c>
      <c r="CA20" s="1470">
        <f t="shared" si="60"/>
        <v>1</v>
      </c>
      <c r="CB20" s="1470">
        <f t="shared" si="22"/>
        <v>5</v>
      </c>
      <c r="CC20" s="1815">
        <f t="shared" si="56"/>
        <v>0.59</v>
      </c>
      <c r="CD20" s="1471">
        <f t="shared" si="61"/>
        <v>1</v>
      </c>
      <c r="CE20" s="1471">
        <f>1</f>
        <v>1</v>
      </c>
      <c r="CF20" s="1666">
        <f t="shared" si="57"/>
        <v>5238.0199999999995</v>
      </c>
      <c r="CG20" s="1667">
        <v>5238</v>
      </c>
      <c r="CH20" s="1662">
        <f t="shared" si="62"/>
        <v>-1.9999999999527063E-2</v>
      </c>
      <c r="CI20" s="1548">
        <f t="shared" si="63"/>
        <v>-3.818236661854492E-6</v>
      </c>
      <c r="CJ20" s="1677">
        <f t="shared" si="64"/>
        <v>0</v>
      </c>
      <c r="CK20" s="1678">
        <f t="shared" si="65"/>
        <v>0</v>
      </c>
      <c r="CL20" s="1669"/>
      <c r="CM20" s="1447">
        <f t="shared" si="29"/>
        <v>6127.5825327640196</v>
      </c>
      <c r="CN20" s="1448">
        <f t="shared" si="50"/>
        <v>-0.16983248048186705</v>
      </c>
      <c r="CZ20" s="1066"/>
      <c r="DA20" s="1450"/>
      <c r="DB20" s="1450"/>
    </row>
    <row r="21" spans="1:106" x14ac:dyDescent="0.3">
      <c r="A21" s="1342">
        <v>1996</v>
      </c>
      <c r="B21" s="1336">
        <v>30942</v>
      </c>
      <c r="C21" s="1469">
        <f t="shared" si="0"/>
        <v>31300</v>
      </c>
      <c r="D21" s="1537">
        <v>30232</v>
      </c>
      <c r="E21" s="1537">
        <f>ROUND(D21*VLOOKUP(A21,BON_Count_Adjustment,5)+VLOOKUP(A21,BON_Count_Adjustment,4),0)</f>
        <v>31275</v>
      </c>
      <c r="F21" s="1537">
        <v>3</v>
      </c>
      <c r="G21" s="1508">
        <v>29500</v>
      </c>
      <c r="H21" s="1346">
        <v>21741</v>
      </c>
      <c r="I21" s="1508">
        <f t="shared" si="73"/>
        <v>21741</v>
      </c>
      <c r="J21" s="1316">
        <v>17701</v>
      </c>
      <c r="K21" s="1316">
        <v>17701</v>
      </c>
      <c r="L21" s="1315">
        <f t="shared" si="3"/>
        <v>20037.531999999999</v>
      </c>
      <c r="M21" s="1526">
        <v>6160</v>
      </c>
      <c r="N21" s="1380" t="str">
        <f t="shared" si="31"/>
        <v/>
      </c>
      <c r="O21" s="1431">
        <f t="shared" si="4"/>
        <v>0.98718334839206234</v>
      </c>
      <c r="P21" s="1544">
        <f t="shared" si="5"/>
        <v>0.73698305084745763</v>
      </c>
      <c r="Q21" s="1334">
        <f t="shared" si="6"/>
        <v>0.6000338983050848</v>
      </c>
      <c r="R21" s="1335">
        <f t="shared" si="7"/>
        <v>0.67923837288135591</v>
      </c>
      <c r="S21" s="1317"/>
      <c r="T21" s="1317">
        <v>0.66364468864468862</v>
      </c>
      <c r="U21" s="1560">
        <f t="shared" si="75"/>
        <v>0.74</v>
      </c>
      <c r="V21" s="1561">
        <f t="shared" si="76"/>
        <v>0.26301694915254237</v>
      </c>
      <c r="W21" s="1530">
        <f t="shared" si="71"/>
        <v>7759</v>
      </c>
      <c r="X21" s="1532">
        <f t="shared" si="68"/>
        <v>1.1446842525979217E-2</v>
      </c>
      <c r="Y21" s="1316">
        <f t="shared" si="51"/>
        <v>23159.78</v>
      </c>
      <c r="Z21" s="1316">
        <f t="shared" si="52"/>
        <v>21258.123356067797</v>
      </c>
      <c r="AA21" s="1315"/>
      <c r="AB21" s="1469">
        <f t="shared" si="69"/>
        <v>6621.7998527290702</v>
      </c>
      <c r="AC21" s="1623">
        <f t="shared" si="32"/>
        <v>7486.04</v>
      </c>
      <c r="AD21" s="2215">
        <f t="shared" si="59"/>
        <v>23160</v>
      </c>
      <c r="AE21" s="2216">
        <f t="shared" si="34"/>
        <v>8137</v>
      </c>
      <c r="AF21" s="2209">
        <f t="shared" si="67"/>
        <v>89.893886627376077</v>
      </c>
      <c r="AG21" s="1347">
        <v>0.08</v>
      </c>
      <c r="AH21" s="1530">
        <f t="shared" si="70"/>
        <v>1599</v>
      </c>
      <c r="AI21" s="1537">
        <v>25</v>
      </c>
      <c r="AJ21" s="2300">
        <v>1414</v>
      </c>
      <c r="AK21" s="1316"/>
      <c r="AL21" s="1316"/>
      <c r="AM21" s="1316"/>
      <c r="AN21" s="1316"/>
      <c r="AO21" s="1316"/>
      <c r="AP21" s="1316"/>
      <c r="AQ21" s="1563">
        <f t="shared" si="39"/>
        <v>1389</v>
      </c>
      <c r="AR21" s="1470">
        <f t="shared" si="40"/>
        <v>1414</v>
      </c>
      <c r="AS21" s="1430">
        <f t="shared" si="41"/>
        <v>371.9059661016949</v>
      </c>
      <c r="AT21" s="1316">
        <f t="shared" si="42"/>
        <v>1046.3599999999999</v>
      </c>
      <c r="AU21" s="2300">
        <f t="shared" si="43"/>
        <v>1046.3599999999999</v>
      </c>
      <c r="AV21" s="1316">
        <f t="shared" si="10"/>
        <v>22787.360000000001</v>
      </c>
      <c r="AW21" s="1316">
        <f t="shared" si="11"/>
        <v>21083.892</v>
      </c>
      <c r="AX21" s="1350">
        <f t="shared" si="44"/>
        <v>4.9628408265418922E-2</v>
      </c>
      <c r="AY21" s="1335">
        <f t="shared" si="13"/>
        <v>1.6187698489856767E-2</v>
      </c>
      <c r="AZ21" s="1335">
        <f t="shared" si="14"/>
        <v>8.9792295893015364E-2</v>
      </c>
      <c r="BA21" s="1316">
        <f t="shared" si="15"/>
        <v>368.87491305982252</v>
      </c>
      <c r="BB21" s="1316">
        <f t="shared" si="45"/>
        <v>1893.1710690403795</v>
      </c>
      <c r="BC21" s="1316">
        <f t="shared" si="17"/>
        <v>23156.234913059823</v>
      </c>
      <c r="BD21" s="1316">
        <f t="shared" si="18"/>
        <v>22977.063069040378</v>
      </c>
      <c r="BE21" s="2300"/>
      <c r="BF21" s="1316">
        <f t="shared" si="46"/>
        <v>2076.1080000000002</v>
      </c>
      <c r="BG21" s="1348">
        <f t="shared" si="47"/>
        <v>8.96419689119171E-2</v>
      </c>
      <c r="BH21" s="1348">
        <f t="shared" si="38"/>
        <v>0.91035803108808289</v>
      </c>
      <c r="BI21" s="1348">
        <f t="shared" si="36"/>
        <v>0.62011643291876162</v>
      </c>
      <c r="BJ21" s="1344"/>
      <c r="BK21" s="1316">
        <f t="shared" si="48"/>
        <v>23160</v>
      </c>
      <c r="BL21" s="1344" t="b">
        <f t="shared" si="49"/>
        <v>1</v>
      </c>
      <c r="BM21" s="1345"/>
      <c r="BN21" s="1345"/>
      <c r="BO21" s="1345"/>
      <c r="BP21" s="1345"/>
      <c r="BQ21" s="2072">
        <v>1</v>
      </c>
      <c r="BR21" s="1316"/>
      <c r="BS21" s="1316"/>
      <c r="BT21" s="1939"/>
      <c r="BU21" s="1939"/>
      <c r="BV21" s="1316"/>
      <c r="BW21" s="2227">
        <f t="shared" si="74"/>
        <v>23160</v>
      </c>
      <c r="BX21" s="2216"/>
      <c r="BY21" s="1457"/>
      <c r="BZ21" s="1469">
        <f t="shared" si="20"/>
        <v>31275</v>
      </c>
      <c r="CA21" s="1470">
        <f t="shared" si="60"/>
        <v>25</v>
      </c>
      <c r="CB21" s="1470">
        <f t="shared" si="22"/>
        <v>3</v>
      </c>
      <c r="CC21" s="1471">
        <f t="shared" si="56"/>
        <v>0.74</v>
      </c>
      <c r="CD21" s="1471">
        <f t="shared" si="61"/>
        <v>1</v>
      </c>
      <c r="CE21" s="1471">
        <f>1</f>
        <v>1</v>
      </c>
      <c r="CF21" s="1666">
        <f t="shared" si="57"/>
        <v>23159.78</v>
      </c>
      <c r="CG21" s="1667">
        <v>23160</v>
      </c>
      <c r="CH21" s="1662">
        <f t="shared" si="62"/>
        <v>0.22000000000116415</v>
      </c>
      <c r="CI21" s="1548">
        <f t="shared" si="63"/>
        <v>9.4992266766421867E-6</v>
      </c>
      <c r="CJ21" s="1679">
        <f t="shared" si="64"/>
        <v>0</v>
      </c>
      <c r="CK21" s="1680">
        <f t="shared" si="65"/>
        <v>0</v>
      </c>
      <c r="CL21" s="1669"/>
      <c r="CM21" s="1013">
        <f t="shared" si="29"/>
        <v>21258.123356067797</v>
      </c>
      <c r="CN21" s="1014">
        <f t="shared" si="50"/>
        <v>8.2119026076519969E-2</v>
      </c>
      <c r="CZ21" s="1066"/>
      <c r="DA21" s="1077"/>
      <c r="DB21" s="1077"/>
    </row>
    <row r="22" spans="1:106" x14ac:dyDescent="0.3">
      <c r="A22" s="1342">
        <v>1997</v>
      </c>
      <c r="B22" s="1336">
        <v>49979</v>
      </c>
      <c r="C22" s="1469">
        <f t="shared" si="0"/>
        <v>48793</v>
      </c>
      <c r="D22" s="1537">
        <v>47008</v>
      </c>
      <c r="E22" s="1537">
        <f>ROUND(D22*VLOOKUP(A22,BON_Count_Adjustment,5)+VLOOKUP(A22,BON_Count_Adjustment,4),0)</f>
        <v>48781</v>
      </c>
      <c r="F22" s="1537">
        <v>16</v>
      </c>
      <c r="G22" s="1508">
        <v>41504</v>
      </c>
      <c r="H22" s="1346">
        <v>30661</v>
      </c>
      <c r="I22" s="1508">
        <f t="shared" si="73"/>
        <v>30661</v>
      </c>
      <c r="J22" s="1316">
        <v>24621</v>
      </c>
      <c r="K22" s="1316">
        <v>24621</v>
      </c>
      <c r="L22" s="1315">
        <f t="shared" si="3"/>
        <v>27870.971999999998</v>
      </c>
      <c r="M22" s="1526">
        <v>9592</v>
      </c>
      <c r="N22" s="1380" t="str">
        <f t="shared" si="31"/>
        <v/>
      </c>
      <c r="O22" s="1431">
        <f t="shared" si="4"/>
        <v>0.88814705441783826</v>
      </c>
      <c r="P22" s="1544">
        <f t="shared" si="5"/>
        <v>0.73874807247494212</v>
      </c>
      <c r="Q22" s="1334">
        <f t="shared" si="6"/>
        <v>0.59321993060909795</v>
      </c>
      <c r="R22" s="1335">
        <f t="shared" si="7"/>
        <v>0.6715249614494988</v>
      </c>
      <c r="S22" s="1317"/>
      <c r="T22" s="1317">
        <v>0.79711850224871872</v>
      </c>
      <c r="U22" s="1560">
        <f t="shared" si="75"/>
        <v>0.74</v>
      </c>
      <c r="V22" s="1561">
        <f t="shared" si="76"/>
        <v>0.26125192752505788</v>
      </c>
      <c r="W22" s="1530">
        <f t="shared" si="71"/>
        <v>10843.000000000002</v>
      </c>
      <c r="X22" s="1532">
        <f t="shared" si="68"/>
        <v>0.10690637748303643</v>
      </c>
      <c r="Y22" s="1316">
        <f t="shared" si="51"/>
        <v>36094.980000000003</v>
      </c>
      <c r="Z22" s="1316">
        <f t="shared" si="52"/>
        <v>32754.973044622202</v>
      </c>
      <c r="AA22" s="1315"/>
      <c r="AB22" s="1469">
        <f t="shared" si="69"/>
        <v>11431.359622569822</v>
      </c>
      <c r="AC22" s="1623">
        <f t="shared" si="32"/>
        <v>12555.18</v>
      </c>
      <c r="AD22" s="2215">
        <f t="shared" si="59"/>
        <v>36095</v>
      </c>
      <c r="AE22" s="2216">
        <f t="shared" si="34"/>
        <v>12682</v>
      </c>
      <c r="AF22" s="2209">
        <f t="shared" si="67"/>
        <v>1304.8381788535532</v>
      </c>
      <c r="AG22" s="1347">
        <v>0.01</v>
      </c>
      <c r="AH22" s="1530">
        <f t="shared" si="70"/>
        <v>1251.0000000000018</v>
      </c>
      <c r="AI22" s="1537">
        <v>12</v>
      </c>
      <c r="AJ22" s="2300">
        <v>2046</v>
      </c>
      <c r="AK22" s="1316"/>
      <c r="AL22" s="1316"/>
      <c r="AM22" s="1316"/>
      <c r="AN22" s="1316"/>
      <c r="AO22" s="1316"/>
      <c r="AP22" s="1316"/>
      <c r="AQ22" s="1563">
        <f t="shared" si="39"/>
        <v>2034</v>
      </c>
      <c r="AR22" s="1470">
        <f t="shared" si="40"/>
        <v>2046</v>
      </c>
      <c r="AS22" s="1430">
        <f t="shared" si="41"/>
        <v>534.52144371626844</v>
      </c>
      <c r="AT22" s="1316">
        <f t="shared" si="42"/>
        <v>1514.04</v>
      </c>
      <c r="AU22" s="2300">
        <f t="shared" si="43"/>
        <v>1514.04</v>
      </c>
      <c r="AV22" s="1316">
        <f t="shared" si="10"/>
        <v>32175.040000000001</v>
      </c>
      <c r="AW22" s="1316">
        <f t="shared" si="11"/>
        <v>29385.011999999999</v>
      </c>
      <c r="AX22" s="1350">
        <f t="shared" si="44"/>
        <v>5.1524226023797436E-2</v>
      </c>
      <c r="AY22" s="1335">
        <f t="shared" si="13"/>
        <v>0.10891978877465036</v>
      </c>
      <c r="AZ22" s="1335">
        <f t="shared" si="14"/>
        <v>0.18621029344056764</v>
      </c>
      <c r="BA22" s="1316">
        <f t="shared" si="15"/>
        <v>3504.4985606159266</v>
      </c>
      <c r="BB22" s="1316">
        <f t="shared" si="45"/>
        <v>5471.7917072746013</v>
      </c>
      <c r="BC22" s="1316">
        <f t="shared" si="17"/>
        <v>35679.538560615925</v>
      </c>
      <c r="BD22" s="1316">
        <f t="shared" si="18"/>
        <v>34856.803707274601</v>
      </c>
      <c r="BE22" s="2300"/>
      <c r="BF22" s="1316">
        <f t="shared" si="46"/>
        <v>6709.9880000000012</v>
      </c>
      <c r="BG22" s="1348">
        <f t="shared" si="47"/>
        <v>0.18589799141155289</v>
      </c>
      <c r="BH22" s="1348">
        <f t="shared" si="38"/>
        <v>0.81410200858844717</v>
      </c>
      <c r="BI22" s="1348">
        <f t="shared" si="36"/>
        <v>0.55597004765146363</v>
      </c>
      <c r="BJ22" s="1344"/>
      <c r="BK22" s="1316">
        <f t="shared" si="48"/>
        <v>36095</v>
      </c>
      <c r="BL22" s="1344" t="b">
        <f t="shared" si="49"/>
        <v>1</v>
      </c>
      <c r="BM22" s="1345"/>
      <c r="BN22" s="1345"/>
      <c r="BO22" s="1345"/>
      <c r="BP22" s="1345"/>
      <c r="BQ22" s="2072">
        <v>1</v>
      </c>
      <c r="BR22" s="1316"/>
      <c r="BS22" s="1316"/>
      <c r="BT22" s="1939"/>
      <c r="BU22" s="1939"/>
      <c r="BV22" s="1316"/>
      <c r="BW22" s="2227">
        <f t="shared" si="74"/>
        <v>36095</v>
      </c>
      <c r="BX22" s="2216"/>
      <c r="BY22" s="1457"/>
      <c r="BZ22" s="1469">
        <f t="shared" si="20"/>
        <v>48781</v>
      </c>
      <c r="CA22" s="1470">
        <f t="shared" si="60"/>
        <v>12</v>
      </c>
      <c r="CB22" s="1470">
        <f t="shared" si="22"/>
        <v>16</v>
      </c>
      <c r="CC22" s="1471">
        <f t="shared" si="56"/>
        <v>0.74</v>
      </c>
      <c r="CD22" s="1471">
        <f t="shared" si="61"/>
        <v>1</v>
      </c>
      <c r="CE22" s="1471">
        <f>1</f>
        <v>1</v>
      </c>
      <c r="CF22" s="1666">
        <f t="shared" si="57"/>
        <v>36094.980000000003</v>
      </c>
      <c r="CG22" s="1667">
        <v>36095</v>
      </c>
      <c r="CH22" s="1662">
        <f t="shared" si="62"/>
        <v>1.9999999996798579E-2</v>
      </c>
      <c r="CI22" s="1548">
        <f t="shared" si="63"/>
        <v>5.5409367166288993E-7</v>
      </c>
      <c r="CJ22" s="1679">
        <f t="shared" si="64"/>
        <v>0</v>
      </c>
      <c r="CK22" s="1680">
        <f t="shared" si="65"/>
        <v>0</v>
      </c>
      <c r="CL22" s="1669"/>
      <c r="CM22" s="1013">
        <f t="shared" si="29"/>
        <v>32754.973044622202</v>
      </c>
      <c r="CN22" s="1014">
        <f t="shared" si="50"/>
        <v>9.2534338700035967E-2</v>
      </c>
      <c r="DA22" s="1077"/>
    </row>
    <row r="23" spans="1:106" x14ac:dyDescent="0.3">
      <c r="A23" s="1342">
        <v>1998</v>
      </c>
      <c r="B23" s="1336">
        <v>13220</v>
      </c>
      <c r="C23" s="1469">
        <f t="shared" si="0"/>
        <v>13522</v>
      </c>
      <c r="D23" s="1537">
        <v>13218</v>
      </c>
      <c r="E23" s="1537">
        <f>ROUND(D23*VLOOKUP(A23,BON_Count_Adjustment,5)+VLOOKUP(A23,BON_Count_Adjustment,4),0)</f>
        <v>13520</v>
      </c>
      <c r="F23" s="1537">
        <v>4</v>
      </c>
      <c r="G23" s="1508">
        <v>9334</v>
      </c>
      <c r="H23" s="1346">
        <v>5988</v>
      </c>
      <c r="I23" s="1508">
        <f t="shared" si="73"/>
        <v>5988</v>
      </c>
      <c r="J23" s="1316">
        <v>4664</v>
      </c>
      <c r="K23" s="1316">
        <v>4135</v>
      </c>
      <c r="L23" s="1315">
        <v>4666</v>
      </c>
      <c r="M23" s="1526">
        <v>3984</v>
      </c>
      <c r="N23" s="1380" t="str">
        <f t="shared" si="31"/>
        <v/>
      </c>
      <c r="O23" s="1431">
        <f t="shared" si="4"/>
        <v>0.71290002291300691</v>
      </c>
      <c r="P23" s="1818">
        <f t="shared" si="5"/>
        <v>0.64152560531390612</v>
      </c>
      <c r="Q23" s="1334">
        <f t="shared" si="6"/>
        <v>0.49967859438611528</v>
      </c>
      <c r="R23" s="1335">
        <f t="shared" si="7"/>
        <v>0.49989286479537176</v>
      </c>
      <c r="S23" s="1317"/>
      <c r="T23" s="1317">
        <v>0.5312979227659278</v>
      </c>
      <c r="U23" s="1817">
        <f t="shared" si="75"/>
        <v>0.56999999999999995</v>
      </c>
      <c r="V23" s="1561">
        <f t="shared" si="76"/>
        <v>0.4268266552389115</v>
      </c>
      <c r="W23" s="1530">
        <f t="shared" si="71"/>
        <v>3984</v>
      </c>
      <c r="X23" s="1532">
        <f t="shared" si="68"/>
        <v>0.2778846153846154</v>
      </c>
      <c r="Y23" s="1316">
        <f t="shared" si="51"/>
        <v>7705.2599999999993</v>
      </c>
      <c r="Z23" s="1316">
        <f t="shared" si="52"/>
        <v>6757.5517463038359</v>
      </c>
      <c r="AA23" s="1315"/>
      <c r="AB23" s="1469">
        <f t="shared" si="69"/>
        <v>5689.0562888365112</v>
      </c>
      <c r="AC23" s="1623">
        <f t="shared" si="32"/>
        <v>5754.87</v>
      </c>
      <c r="AD23" s="2215">
        <f t="shared" si="59"/>
        <v>7705</v>
      </c>
      <c r="AE23" s="2216">
        <f t="shared" si="34"/>
        <v>5813</v>
      </c>
      <c r="AF23" s="2209">
        <f t="shared" si="67"/>
        <v>1552.7046710949219</v>
      </c>
      <c r="AG23" s="1347">
        <v>0.01</v>
      </c>
      <c r="AH23" s="1531">
        <f t="shared" si="70"/>
        <v>0</v>
      </c>
      <c r="AI23" s="1537">
        <v>2</v>
      </c>
      <c r="AJ23" s="2300">
        <v>425</v>
      </c>
      <c r="AK23" s="1316"/>
      <c r="AL23" s="1316"/>
      <c r="AM23" s="1316"/>
      <c r="AN23" s="1316"/>
      <c r="AO23" s="1316"/>
      <c r="AP23" s="1316"/>
      <c r="AQ23" s="1563">
        <f t="shared" si="39"/>
        <v>423</v>
      </c>
      <c r="AR23" s="1470">
        <f t="shared" si="40"/>
        <v>425</v>
      </c>
      <c r="AS23" s="1430">
        <f t="shared" si="41"/>
        <v>152.35161774158991</v>
      </c>
      <c r="AT23" s="1316">
        <f t="shared" si="42"/>
        <v>242.24999999999997</v>
      </c>
      <c r="AU23" s="2300">
        <f t="shared" si="43"/>
        <v>242.24999999999997</v>
      </c>
      <c r="AV23" s="1316">
        <f t="shared" si="10"/>
        <v>6230.25</v>
      </c>
      <c r="AW23" s="1316">
        <f t="shared" si="11"/>
        <v>4908.25</v>
      </c>
      <c r="AX23" s="1350">
        <f t="shared" si="44"/>
        <v>4.9355676666836441E-2</v>
      </c>
      <c r="AY23" s="1335">
        <f t="shared" si="13"/>
        <v>0.19169651199003424</v>
      </c>
      <c r="AZ23" s="1335">
        <f t="shared" si="14"/>
        <v>0.36324224021592438</v>
      </c>
      <c r="BA23" s="1316">
        <f t="shared" si="15"/>
        <v>1194.3171938259109</v>
      </c>
      <c r="BB23" s="1316">
        <f t="shared" si="45"/>
        <v>1782.8837255398109</v>
      </c>
      <c r="BC23" s="1316">
        <f t="shared" si="17"/>
        <v>7424.5671938259111</v>
      </c>
      <c r="BD23" s="1316">
        <f t="shared" si="18"/>
        <v>6691.1337255398112</v>
      </c>
      <c r="BE23" s="2300"/>
      <c r="BF23" s="1316">
        <f t="shared" si="46"/>
        <v>2796.75</v>
      </c>
      <c r="BG23" s="1348">
        <f t="shared" si="47"/>
        <v>0.36297858533419858</v>
      </c>
      <c r="BH23" s="1348">
        <f t="shared" si="38"/>
        <v>0.63702141466580142</v>
      </c>
      <c r="BI23" s="1348">
        <f t="shared" si="36"/>
        <v>0.33115826902708428</v>
      </c>
      <c r="BJ23" s="1344"/>
      <c r="BK23" s="1316">
        <f t="shared" si="48"/>
        <v>7705</v>
      </c>
      <c r="BL23" s="1344" t="b">
        <f t="shared" si="49"/>
        <v>1</v>
      </c>
      <c r="BM23" s="1345"/>
      <c r="BN23" s="1345"/>
      <c r="BO23" s="1345"/>
      <c r="BP23" s="1345"/>
      <c r="BQ23" s="2072">
        <v>1</v>
      </c>
      <c r="BR23" s="1316"/>
      <c r="BS23" s="1316"/>
      <c r="BT23" s="1939"/>
      <c r="BU23" s="1939"/>
      <c r="BV23" s="1316"/>
      <c r="BW23" s="2227">
        <f t="shared" si="74"/>
        <v>7705</v>
      </c>
      <c r="BX23" s="2216"/>
      <c r="BY23" s="1457"/>
      <c r="BZ23" s="1469">
        <f t="shared" si="20"/>
        <v>13520</v>
      </c>
      <c r="CA23" s="1470">
        <f t="shared" si="60"/>
        <v>2</v>
      </c>
      <c r="CB23" s="1470">
        <f t="shared" si="22"/>
        <v>4</v>
      </c>
      <c r="CC23" s="1471">
        <f t="shared" si="56"/>
        <v>0.56999999999999995</v>
      </c>
      <c r="CD23" s="1471">
        <f t="shared" si="61"/>
        <v>1</v>
      </c>
      <c r="CE23" s="1471">
        <f>1</f>
        <v>1</v>
      </c>
      <c r="CF23" s="1666">
        <f t="shared" si="57"/>
        <v>7705.2599999999993</v>
      </c>
      <c r="CG23" s="1667">
        <v>7705</v>
      </c>
      <c r="CH23" s="1662">
        <f t="shared" si="62"/>
        <v>-0.25999999999930878</v>
      </c>
      <c r="CI23" s="1548">
        <f t="shared" si="63"/>
        <v>-3.3743183227990857E-5</v>
      </c>
      <c r="CJ23" s="1679">
        <f t="shared" si="64"/>
        <v>0</v>
      </c>
      <c r="CK23" s="1680">
        <f t="shared" si="65"/>
        <v>0</v>
      </c>
      <c r="CL23" s="1669"/>
      <c r="CM23" s="1013">
        <f t="shared" si="29"/>
        <v>6757.5517463038359</v>
      </c>
      <c r="CN23" s="1014">
        <f t="shared" si="50"/>
        <v>0.12296538010333084</v>
      </c>
    </row>
    <row r="24" spans="1:106" s="1449" customFormat="1" x14ac:dyDescent="0.3">
      <c r="A24" s="1553">
        <v>1999</v>
      </c>
      <c r="B24" s="1432">
        <v>19094</v>
      </c>
      <c r="C24" s="1501">
        <f t="shared" si="0"/>
        <v>18383</v>
      </c>
      <c r="D24" s="1540">
        <v>17877</v>
      </c>
      <c r="E24" s="1433">
        <f>ROUND((D24+BoostBonDamCounts*BoostBonDamCountPct*D24)*VLOOKUP(A24,BON_Count_Adjustment,5)+VLOOKUP(A24,BON_Count_Adjustment,4),0)</f>
        <v>18382</v>
      </c>
      <c r="F24" s="1539">
        <v>15</v>
      </c>
      <c r="G24" s="1433">
        <f>18371-ReduceRISdamCounts*BoostBonDamCountPct*18371</f>
        <v>15577.892404201897</v>
      </c>
      <c r="H24" s="1435">
        <v>14111</v>
      </c>
      <c r="I24" s="1509">
        <f t="shared" si="73"/>
        <v>14111</v>
      </c>
      <c r="J24" s="1434">
        <v>12388</v>
      </c>
      <c r="K24" s="1434">
        <v>11013</v>
      </c>
      <c r="L24" s="1440">
        <v>12388</v>
      </c>
      <c r="M24" s="1527">
        <v>908</v>
      </c>
      <c r="N24" s="1436" t="str">
        <f t="shared" si="31"/>
        <v/>
      </c>
      <c r="O24" s="1557">
        <f t="shared" si="4"/>
        <v>0.88190061165092259</v>
      </c>
      <c r="P24" s="1545">
        <f t="shared" si="5"/>
        <v>0.90583498934642626</v>
      </c>
      <c r="Q24" s="1437">
        <f t="shared" si="6"/>
        <v>0.7952295264703797</v>
      </c>
      <c r="R24" s="1438">
        <f t="shared" si="7"/>
        <v>0.7952295264703797</v>
      </c>
      <c r="S24" s="1439"/>
      <c r="T24" s="1439">
        <v>0.74158529929043604</v>
      </c>
      <c r="U24" s="1560">
        <f t="shared" ref="U24:U27" si="77">MIN(ROUND(P24,2),ROUND(1-V24,2))</f>
        <v>0.91</v>
      </c>
      <c r="V24" s="1561">
        <f t="shared" ref="V24:V27" si="78">MAX(1-P24,M24/G24)</f>
        <v>9.4165010653573744E-2</v>
      </c>
      <c r="W24" s="1530">
        <f t="shared" si="71"/>
        <v>1466.8924042018971</v>
      </c>
      <c r="X24" s="1532">
        <f t="shared" si="68"/>
        <v>0.11343203110641405</v>
      </c>
      <c r="Y24" s="1434">
        <f t="shared" si="51"/>
        <v>16714.88</v>
      </c>
      <c r="Z24" s="1434">
        <f t="shared" si="52"/>
        <v>14606.775942207934</v>
      </c>
      <c r="AA24" s="1440"/>
      <c r="AB24" s="1469">
        <f t="shared" si="69"/>
        <v>1162.9564713400432</v>
      </c>
      <c r="AC24" s="1624">
        <f t="shared" si="32"/>
        <v>1553.82</v>
      </c>
      <c r="AD24" s="2218">
        <f t="shared" si="59"/>
        <v>16715</v>
      </c>
      <c r="AE24" s="2217">
        <f t="shared" si="34"/>
        <v>1653</v>
      </c>
      <c r="AF24" s="2209">
        <f t="shared" si="67"/>
        <v>188.66430383992727</v>
      </c>
      <c r="AG24" s="1441">
        <v>0.06</v>
      </c>
      <c r="AH24" s="1530">
        <f t="shared" si="70"/>
        <v>558.89240420189708</v>
      </c>
      <c r="AI24" s="1537">
        <v>1</v>
      </c>
      <c r="AJ24" s="2301">
        <v>704</v>
      </c>
      <c r="AK24" s="1434"/>
      <c r="AL24" s="1434"/>
      <c r="AM24" s="1434"/>
      <c r="AN24" s="1434"/>
      <c r="AO24" s="1434"/>
      <c r="AP24" s="1434"/>
      <c r="AQ24" s="1564">
        <f t="shared" si="39"/>
        <v>703</v>
      </c>
      <c r="AR24" s="1505">
        <f t="shared" si="40"/>
        <v>704</v>
      </c>
      <c r="AS24" s="1442">
        <f t="shared" si="41"/>
        <v>66.292167500115909</v>
      </c>
      <c r="AT24" s="1434">
        <f t="shared" si="42"/>
        <v>640.64</v>
      </c>
      <c r="AU24" s="2301">
        <f t="shared" si="43"/>
        <v>640.64</v>
      </c>
      <c r="AV24" s="1434">
        <f t="shared" si="10"/>
        <v>14751.64</v>
      </c>
      <c r="AW24" s="1434">
        <f t="shared" si="11"/>
        <v>13028.64</v>
      </c>
      <c r="AX24" s="1443">
        <f t="shared" si="44"/>
        <v>4.9171671026292843E-2</v>
      </c>
      <c r="AY24" s="1438">
        <f t="shared" si="13"/>
        <v>0.11818118776012362</v>
      </c>
      <c r="AZ24" s="1438">
        <f t="shared" si="14"/>
        <v>0.22118448410473213</v>
      </c>
      <c r="BA24" s="1434">
        <f t="shared" si="15"/>
        <v>1743.3663366097501</v>
      </c>
      <c r="BB24" s="1434">
        <f t="shared" si="45"/>
        <v>2881.7330169862771</v>
      </c>
      <c r="BC24" s="1434">
        <f t="shared" si="17"/>
        <v>16495.006336609749</v>
      </c>
      <c r="BD24" s="1434">
        <f t="shared" si="18"/>
        <v>15910.373016986276</v>
      </c>
      <c r="BE24" s="2301"/>
      <c r="BF24" s="1434">
        <f t="shared" si="46"/>
        <v>3686.3600000000006</v>
      </c>
      <c r="BG24" s="1444">
        <f t="shared" si="47"/>
        <v>0.22054202811845652</v>
      </c>
      <c r="BH24" s="1348">
        <f t="shared" si="38"/>
        <v>0.77945797188154353</v>
      </c>
      <c r="BI24" s="1444">
        <f t="shared" si="36"/>
        <v>0.65187895060692502</v>
      </c>
      <c r="BJ24" s="1445"/>
      <c r="BK24" s="1434">
        <f t="shared" si="48"/>
        <v>16715</v>
      </c>
      <c r="BL24" s="1445" t="b">
        <f t="shared" si="49"/>
        <v>1</v>
      </c>
      <c r="BM24" s="1446"/>
      <c r="BN24" s="1446"/>
      <c r="BO24" s="1446"/>
      <c r="BP24" s="1446"/>
      <c r="BQ24" s="2072">
        <v>1</v>
      </c>
      <c r="BR24" s="1434"/>
      <c r="BS24" s="1434"/>
      <c r="BT24" s="1939"/>
      <c r="BU24" s="1939"/>
      <c r="BV24" s="1434"/>
      <c r="BW24" s="2227">
        <f t="shared" si="74"/>
        <v>16715</v>
      </c>
      <c r="BX24" s="2216"/>
      <c r="BY24" s="1457"/>
      <c r="BZ24" s="1552">
        <f t="shared" si="20"/>
        <v>18382</v>
      </c>
      <c r="CA24" s="1470">
        <f t="shared" si="60"/>
        <v>1</v>
      </c>
      <c r="CB24" s="1470">
        <f t="shared" si="22"/>
        <v>15</v>
      </c>
      <c r="CC24" s="1471">
        <f t="shared" si="56"/>
        <v>0.91</v>
      </c>
      <c r="CD24" s="1471">
        <f t="shared" si="61"/>
        <v>1</v>
      </c>
      <c r="CE24" s="1471">
        <f>1</f>
        <v>1</v>
      </c>
      <c r="CF24" s="1666">
        <f t="shared" si="57"/>
        <v>16714.88</v>
      </c>
      <c r="CG24" s="1667">
        <v>16715</v>
      </c>
      <c r="CH24" s="1662">
        <f t="shared" si="62"/>
        <v>0.11999999999898137</v>
      </c>
      <c r="CI24" s="1548">
        <f t="shared" si="63"/>
        <v>7.1792319178469341E-6</v>
      </c>
      <c r="CJ24" s="1677">
        <f t="shared" si="64"/>
        <v>0</v>
      </c>
      <c r="CK24" s="1678">
        <f t="shared" si="65"/>
        <v>0</v>
      </c>
      <c r="CL24" s="1669"/>
      <c r="CM24" s="1447">
        <f t="shared" si="29"/>
        <v>14606.775942207934</v>
      </c>
      <c r="CN24" s="1448">
        <f t="shared" si="50"/>
        <v>0.12612767321519985</v>
      </c>
    </row>
    <row r="25" spans="1:106" x14ac:dyDescent="0.3">
      <c r="A25" s="1342">
        <v>2000</v>
      </c>
      <c r="B25" s="1336">
        <v>93764</v>
      </c>
      <c r="C25" s="1469">
        <f t="shared" si="0"/>
        <v>97557</v>
      </c>
      <c r="D25" s="1537">
        <v>93398</v>
      </c>
      <c r="E25" s="1537">
        <f t="shared" ref="E25:E31" si="79">ROUND(D25*VLOOKUP(A25,BON_Count_Adjustment,5)+VLOOKUP(A25,BON_Count_Adjustment,4),0)</f>
        <v>97191</v>
      </c>
      <c r="F25" s="1537">
        <v>365</v>
      </c>
      <c r="G25" s="1508">
        <v>76512</v>
      </c>
      <c r="H25" s="1346">
        <v>57428</v>
      </c>
      <c r="I25" s="1508">
        <f t="shared" si="73"/>
        <v>59944</v>
      </c>
      <c r="J25" s="1316">
        <v>59944</v>
      </c>
      <c r="K25" s="1316">
        <v>53351</v>
      </c>
      <c r="L25" s="1315">
        <v>59944</v>
      </c>
      <c r="M25" s="1526">
        <v>18390</v>
      </c>
      <c r="N25" s="1380" t="str">
        <f t="shared" si="31"/>
        <v/>
      </c>
      <c r="O25" s="1431">
        <f t="shared" si="4"/>
        <v>0.81152287817398872</v>
      </c>
      <c r="P25" s="1818">
        <f t="shared" si="5"/>
        <v>0.78345880384776245</v>
      </c>
      <c r="Q25" s="1334">
        <f t="shared" si="6"/>
        <v>0.78345880384776245</v>
      </c>
      <c r="R25" s="1335">
        <f t="shared" si="7"/>
        <v>0.78345880384776245</v>
      </c>
      <c r="S25" s="1317">
        <v>0.55000000000000004</v>
      </c>
      <c r="T25" s="1317">
        <v>0.75851596902363716</v>
      </c>
      <c r="U25" s="1817">
        <f t="shared" si="77"/>
        <v>0.76</v>
      </c>
      <c r="V25" s="1561">
        <f t="shared" si="78"/>
        <v>0.24035445420326224</v>
      </c>
      <c r="W25" s="1530">
        <f t="shared" si="71"/>
        <v>18390</v>
      </c>
      <c r="X25" s="1532">
        <f t="shared" si="68"/>
        <v>0.17907007850521139</v>
      </c>
      <c r="Y25" s="1316">
        <f t="shared" si="51"/>
        <v>73865.919999999998</v>
      </c>
      <c r="Z25" s="1316">
        <f t="shared" si="52"/>
        <v>76145.92806357173</v>
      </c>
      <c r="AA25" s="1315">
        <f t="shared" ref="AA25:AA46" si="80">S25*D25</f>
        <v>51368.9</v>
      </c>
      <c r="AB25" s="1469">
        <f t="shared" si="69"/>
        <v>23062.306848786426</v>
      </c>
      <c r="AC25" s="1623">
        <f t="shared" si="32"/>
        <v>21926.44</v>
      </c>
      <c r="AD25" s="2215">
        <f t="shared" si="59"/>
        <v>73866</v>
      </c>
      <c r="AE25" s="2216">
        <f t="shared" si="34"/>
        <v>23326</v>
      </c>
      <c r="AF25" s="2209">
        <f t="shared" si="67"/>
        <v>4042.171967983415</v>
      </c>
      <c r="AG25" s="1347">
        <v>0.06</v>
      </c>
      <c r="AH25" s="1531">
        <f t="shared" si="70"/>
        <v>0</v>
      </c>
      <c r="AI25" s="1537">
        <v>366</v>
      </c>
      <c r="AJ25" s="2300">
        <v>2910</v>
      </c>
      <c r="AK25" s="1316"/>
      <c r="AL25" s="1316"/>
      <c r="AM25" s="1316"/>
      <c r="AN25" s="1316"/>
      <c r="AO25" s="1316"/>
      <c r="AP25" s="1316"/>
      <c r="AQ25" s="1563">
        <f t="shared" si="39"/>
        <v>2544</v>
      </c>
      <c r="AR25" s="1470">
        <f t="shared" si="40"/>
        <v>2910</v>
      </c>
      <c r="AS25" s="1430">
        <f t="shared" si="41"/>
        <v>630.13488080301124</v>
      </c>
      <c r="AT25" s="1316">
        <f t="shared" si="42"/>
        <v>2211.6</v>
      </c>
      <c r="AU25" s="2300">
        <f t="shared" si="43"/>
        <v>2211.6</v>
      </c>
      <c r="AV25" s="1316">
        <f t="shared" si="10"/>
        <v>62155.6</v>
      </c>
      <c r="AW25" s="1316">
        <f t="shared" si="11"/>
        <v>62155.6</v>
      </c>
      <c r="AX25" s="1350">
        <f t="shared" si="44"/>
        <v>3.5581669230125686E-2</v>
      </c>
      <c r="AY25" s="1335">
        <f t="shared" si="13"/>
        <v>0.16229193844567591</v>
      </c>
      <c r="AZ25" s="1335">
        <f t="shared" si="14"/>
        <v>0.16229193844567591</v>
      </c>
      <c r="BA25" s="1316">
        <f t="shared" si="15"/>
        <v>10087.352809254053</v>
      </c>
      <c r="BB25" s="1316">
        <f t="shared" si="45"/>
        <v>10087.352809254053</v>
      </c>
      <c r="BC25" s="1316">
        <f t="shared" si="17"/>
        <v>72242.952809254057</v>
      </c>
      <c r="BD25" s="1316">
        <f t="shared" si="18"/>
        <v>72242.952809254057</v>
      </c>
      <c r="BE25" s="2300"/>
      <c r="BF25" s="1316">
        <f t="shared" si="46"/>
        <v>11710.400000000001</v>
      </c>
      <c r="BG25" s="1348">
        <f t="shared" si="47"/>
        <v>0.15853572685674061</v>
      </c>
      <c r="BH25" s="1348">
        <f t="shared" si="38"/>
        <v>0.84146427314325944</v>
      </c>
      <c r="BI25" s="1348">
        <f t="shared" si="36"/>
        <v>0.59490138975138651</v>
      </c>
      <c r="BJ25" s="1344"/>
      <c r="BK25" s="1316">
        <f t="shared" si="48"/>
        <v>73866</v>
      </c>
      <c r="BL25" s="1344" t="b">
        <f t="shared" si="49"/>
        <v>1</v>
      </c>
      <c r="BM25" s="1345"/>
      <c r="BN25" s="1345"/>
      <c r="BO25" s="1345"/>
      <c r="BP25" s="1345"/>
      <c r="BQ25" s="2072">
        <v>1</v>
      </c>
      <c r="BR25" s="1316"/>
      <c r="BS25" s="1316"/>
      <c r="BT25" s="1939"/>
      <c r="BU25" s="1939"/>
      <c r="BV25" s="1316"/>
      <c r="BW25" s="2227">
        <f t="shared" si="74"/>
        <v>73866</v>
      </c>
      <c r="BX25" s="2216"/>
      <c r="BY25" s="1457"/>
      <c r="BZ25" s="1469">
        <f t="shared" si="20"/>
        <v>97191</v>
      </c>
      <c r="CA25" s="1470">
        <f t="shared" si="60"/>
        <v>366</v>
      </c>
      <c r="CB25" s="1470">
        <f t="shared" si="22"/>
        <v>365</v>
      </c>
      <c r="CC25" s="1471">
        <f t="shared" si="56"/>
        <v>0.76</v>
      </c>
      <c r="CD25" s="1471">
        <f t="shared" si="61"/>
        <v>1</v>
      </c>
      <c r="CE25" s="1471">
        <f>1</f>
        <v>1</v>
      </c>
      <c r="CF25" s="1666">
        <f t="shared" si="57"/>
        <v>73865.919999999998</v>
      </c>
      <c r="CG25" s="1667">
        <v>73866</v>
      </c>
      <c r="CH25" s="1662">
        <f t="shared" si="62"/>
        <v>8.000000000174623E-2</v>
      </c>
      <c r="CI25" s="1548">
        <f t="shared" si="63"/>
        <v>1.0830434387298801E-6</v>
      </c>
      <c r="CJ25" s="1679">
        <f t="shared" si="64"/>
        <v>0</v>
      </c>
      <c r="CK25" s="1680">
        <f t="shared" si="65"/>
        <v>0</v>
      </c>
      <c r="CL25" s="1669"/>
      <c r="CM25" s="1013">
        <f t="shared" si="29"/>
        <v>76145.92806357173</v>
      </c>
      <c r="CN25" s="1014">
        <f t="shared" si="50"/>
        <v>-3.086573069574269E-2</v>
      </c>
    </row>
    <row r="26" spans="1:106" x14ac:dyDescent="0.3">
      <c r="A26" s="1342">
        <v>2001</v>
      </c>
      <c r="B26" s="1336">
        <v>117879</v>
      </c>
      <c r="C26" s="1469">
        <f t="shared" si="0"/>
        <v>121355</v>
      </c>
      <c r="D26" s="1537">
        <v>114934</v>
      </c>
      <c r="E26" s="1537">
        <f t="shared" si="79"/>
        <v>119664</v>
      </c>
      <c r="F26" s="1537">
        <v>41</v>
      </c>
      <c r="G26" s="1508">
        <v>104840</v>
      </c>
      <c r="H26" s="1346">
        <v>66220</v>
      </c>
      <c r="I26" s="1508">
        <f t="shared" si="73"/>
        <v>74486</v>
      </c>
      <c r="J26" s="1316">
        <v>74486</v>
      </c>
      <c r="K26" s="1316">
        <v>64819</v>
      </c>
      <c r="L26" s="1315">
        <v>74486</v>
      </c>
      <c r="M26" s="1526">
        <v>32554</v>
      </c>
      <c r="N26" s="1380">
        <f t="shared" si="31"/>
        <v>319.59999999999127</v>
      </c>
      <c r="O26" s="1431">
        <f t="shared" si="4"/>
        <v>0.91953619730910241</v>
      </c>
      <c r="P26" s="1818">
        <f t="shared" si="5"/>
        <v>0.7104731018695154</v>
      </c>
      <c r="Q26" s="1334">
        <f t="shared" si="6"/>
        <v>0.7104731018695154</v>
      </c>
      <c r="R26" s="1335">
        <f t="shared" si="7"/>
        <v>0.7104731018695154</v>
      </c>
      <c r="S26" s="1317">
        <v>0.56000000000000005</v>
      </c>
      <c r="T26" s="1317">
        <v>0.63162914917970236</v>
      </c>
      <c r="U26" s="1817">
        <f t="shared" si="77"/>
        <v>0.69</v>
      </c>
      <c r="V26" s="1561">
        <f t="shared" si="78"/>
        <v>0.3105112552460893</v>
      </c>
      <c r="W26" s="1530">
        <f t="shared" si="71"/>
        <v>32554.000000000004</v>
      </c>
      <c r="X26" s="1532">
        <f t="shared" si="68"/>
        <v>6.2533426928733787E-2</v>
      </c>
      <c r="Y26" s="1316">
        <f t="shared" si="51"/>
        <v>83706.659999999989</v>
      </c>
      <c r="Z26" s="1316">
        <f t="shared" si="52"/>
        <v>86190.333880198392</v>
      </c>
      <c r="AA26" s="1315">
        <f t="shared" si="80"/>
        <v>64363.040000000008</v>
      </c>
      <c r="AB26" s="1469">
        <f t="shared" si="69"/>
        <v>36848.559438610006</v>
      </c>
      <c r="AC26" s="1623">
        <f t="shared" si="32"/>
        <v>36478.79</v>
      </c>
      <c r="AD26" s="2215">
        <f t="shared" si="59"/>
        <v>83707</v>
      </c>
      <c r="AE26" s="2216">
        <f t="shared" si="34"/>
        <v>37607</v>
      </c>
      <c r="AF26" s="2209">
        <f t="shared" si="67"/>
        <v>2181.0130822574674</v>
      </c>
      <c r="AG26" s="1347">
        <v>0.03</v>
      </c>
      <c r="AH26" s="1531">
        <f t="shared" si="70"/>
        <v>0</v>
      </c>
      <c r="AI26" s="1537">
        <v>1691</v>
      </c>
      <c r="AJ26" s="2300">
        <v>7300</v>
      </c>
      <c r="AK26" s="1316"/>
      <c r="AL26" s="1316"/>
      <c r="AM26" s="1316"/>
      <c r="AN26" s="1316"/>
      <c r="AO26" s="1316"/>
      <c r="AP26" s="1316"/>
      <c r="AQ26" s="1563">
        <f t="shared" si="39"/>
        <v>5609</v>
      </c>
      <c r="AR26" s="1470">
        <f t="shared" si="40"/>
        <v>7300</v>
      </c>
      <c r="AS26" s="1430">
        <f t="shared" si="41"/>
        <v>2113.5463563525377</v>
      </c>
      <c r="AT26" s="1316">
        <f t="shared" si="42"/>
        <v>5037</v>
      </c>
      <c r="AU26" s="2300">
        <f t="shared" si="43"/>
        <v>5037</v>
      </c>
      <c r="AV26" s="1316">
        <f t="shared" si="10"/>
        <v>79523</v>
      </c>
      <c r="AW26" s="1316">
        <f t="shared" si="11"/>
        <v>79523</v>
      </c>
      <c r="AX26" s="1350">
        <f t="shared" si="44"/>
        <v>6.3340165738214105E-2</v>
      </c>
      <c r="AY26" s="1335">
        <f t="shared" si="13"/>
        <v>5.1011794376912244E-2</v>
      </c>
      <c r="AZ26" s="1335">
        <f t="shared" si="14"/>
        <v>5.1011794376912244E-2</v>
      </c>
      <c r="BA26" s="1316">
        <f t="shared" si="15"/>
        <v>4056.6109242351922</v>
      </c>
      <c r="BB26" s="1316">
        <f t="shared" si="45"/>
        <v>4056.6109242351922</v>
      </c>
      <c r="BC26" s="1316">
        <f t="shared" si="17"/>
        <v>83579.610924235196</v>
      </c>
      <c r="BD26" s="1316">
        <f t="shared" si="18"/>
        <v>83579.610924235196</v>
      </c>
      <c r="BE26" s="2300"/>
      <c r="BF26" s="1316">
        <f t="shared" si="46"/>
        <v>4184</v>
      </c>
      <c r="BG26" s="1348">
        <f t="shared" si="47"/>
        <v>4.9983872316532667E-2</v>
      </c>
      <c r="BH26" s="1348">
        <f t="shared" si="38"/>
        <v>0.95001612768346733</v>
      </c>
      <c r="BI26" s="1348">
        <f t="shared" si="36"/>
        <v>0.60779229818852554</v>
      </c>
      <c r="BJ26" s="1344"/>
      <c r="BK26" s="1316">
        <f t="shared" si="48"/>
        <v>83707</v>
      </c>
      <c r="BL26" s="1344" t="b">
        <f t="shared" si="49"/>
        <v>1</v>
      </c>
      <c r="BM26" s="1345"/>
      <c r="BN26" s="1345"/>
      <c r="BO26" s="1345"/>
      <c r="BP26" s="1345"/>
      <c r="BQ26" s="2072">
        <v>1</v>
      </c>
      <c r="BR26" s="1316"/>
      <c r="BS26" s="1316"/>
      <c r="BT26" s="1939"/>
      <c r="BU26" s="1939"/>
      <c r="BV26" s="1316"/>
      <c r="BW26" s="2227">
        <f t="shared" si="74"/>
        <v>83707</v>
      </c>
      <c r="BX26" s="2216"/>
      <c r="BY26" s="1457"/>
      <c r="BZ26" s="1469">
        <f t="shared" si="20"/>
        <v>119664</v>
      </c>
      <c r="CA26" s="1470">
        <f t="shared" si="60"/>
        <v>1691</v>
      </c>
      <c r="CB26" s="1470">
        <f t="shared" si="22"/>
        <v>41</v>
      </c>
      <c r="CC26" s="1471">
        <f t="shared" si="56"/>
        <v>0.69</v>
      </c>
      <c r="CD26" s="1471">
        <f t="shared" si="61"/>
        <v>1</v>
      </c>
      <c r="CE26" s="1471">
        <f>1</f>
        <v>1</v>
      </c>
      <c r="CF26" s="1666">
        <f t="shared" si="57"/>
        <v>83706.659999999989</v>
      </c>
      <c r="CG26" s="1667">
        <v>83707</v>
      </c>
      <c r="CH26" s="1662">
        <f t="shared" si="62"/>
        <v>0.34000000001105946</v>
      </c>
      <c r="CI26" s="1548">
        <f t="shared" si="63"/>
        <v>4.0618034456405199E-6</v>
      </c>
      <c r="CJ26" s="1679">
        <f t="shared" si="64"/>
        <v>0</v>
      </c>
      <c r="CK26" s="1680">
        <f t="shared" si="65"/>
        <v>0</v>
      </c>
      <c r="CL26" s="1669"/>
      <c r="CM26" s="1013">
        <f t="shared" si="29"/>
        <v>86190.333880198392</v>
      </c>
      <c r="CN26" s="1014">
        <f t="shared" si="50"/>
        <v>-2.9666979824846094E-2</v>
      </c>
    </row>
    <row r="27" spans="1:106" x14ac:dyDescent="0.3">
      <c r="A27" s="1342">
        <v>2002</v>
      </c>
      <c r="B27" s="1336">
        <v>50557</v>
      </c>
      <c r="C27" s="1469">
        <f t="shared" si="0"/>
        <v>51515</v>
      </c>
      <c r="D27" s="1537">
        <v>49610</v>
      </c>
      <c r="E27" s="1537">
        <f t="shared" si="79"/>
        <v>51496</v>
      </c>
      <c r="F27" s="1537">
        <v>64</v>
      </c>
      <c r="G27" s="1508">
        <v>44320</v>
      </c>
      <c r="H27" s="1346">
        <v>12373</v>
      </c>
      <c r="I27" s="1508">
        <f t="shared" si="73"/>
        <v>12373</v>
      </c>
      <c r="J27" s="1316">
        <v>10586</v>
      </c>
      <c r="K27" s="1316">
        <v>9594</v>
      </c>
      <c r="L27" s="1315">
        <v>10659</v>
      </c>
      <c r="M27" s="1526">
        <v>27241</v>
      </c>
      <c r="N27" s="1380" t="str">
        <f t="shared" si="31"/>
        <v/>
      </c>
      <c r="O27" s="1431">
        <f t="shared" si="4"/>
        <v>0.90658048151860415</v>
      </c>
      <c r="P27" s="1544">
        <f t="shared" si="5"/>
        <v>0.27917418772563179</v>
      </c>
      <c r="Q27" s="1334">
        <f t="shared" si="6"/>
        <v>0.23885379061371842</v>
      </c>
      <c r="R27" s="1335">
        <f t="shared" si="7"/>
        <v>0.24050090252707582</v>
      </c>
      <c r="S27" s="1317">
        <v>0.27</v>
      </c>
      <c r="T27" s="1317">
        <v>0.25014670328380628</v>
      </c>
      <c r="U27" s="1560">
        <f t="shared" si="77"/>
        <v>0.28000000000000003</v>
      </c>
      <c r="V27" s="1561">
        <f t="shared" si="78"/>
        <v>0.72082581227436826</v>
      </c>
      <c r="W27" s="1530">
        <f t="shared" si="71"/>
        <v>31947</v>
      </c>
      <c r="X27" s="1532">
        <f t="shared" si="68"/>
        <v>8.8317539226347677E-2</v>
      </c>
      <c r="Y27" s="1316">
        <f t="shared" si="51"/>
        <v>14406.28</v>
      </c>
      <c r="Z27" s="1316">
        <f t="shared" si="52"/>
        <v>12374.011935920578</v>
      </c>
      <c r="AA27" s="1315">
        <f t="shared" si="80"/>
        <v>13394.7</v>
      </c>
      <c r="AB27" s="1469">
        <f t="shared" si="69"/>
        <v>32200.210592088326</v>
      </c>
      <c r="AC27" s="1623">
        <f t="shared" si="32"/>
        <v>36674.550000000003</v>
      </c>
      <c r="AD27" s="2215">
        <f t="shared" si="59"/>
        <v>14406</v>
      </c>
      <c r="AE27" s="2216">
        <f t="shared" si="34"/>
        <v>37045</v>
      </c>
      <c r="AF27" s="2209">
        <f t="shared" si="67"/>
        <v>3111.0132094168475</v>
      </c>
      <c r="AG27" s="1347">
        <v>0.01</v>
      </c>
      <c r="AH27" s="1530">
        <f t="shared" si="70"/>
        <v>4706</v>
      </c>
      <c r="AI27" s="1537">
        <v>19</v>
      </c>
      <c r="AJ27" s="2300">
        <v>2564</v>
      </c>
      <c r="AK27" s="1316"/>
      <c r="AL27" s="1316"/>
      <c r="AM27" s="1316"/>
      <c r="AN27" s="1316"/>
      <c r="AO27" s="1316"/>
      <c r="AP27" s="1316"/>
      <c r="AQ27" s="1563">
        <f t="shared" si="39"/>
        <v>2545</v>
      </c>
      <c r="AR27" s="1470">
        <f t="shared" si="40"/>
        <v>2564</v>
      </c>
      <c r="AS27" s="1430">
        <f t="shared" si="41"/>
        <v>1848.1973826714802</v>
      </c>
      <c r="AT27" s="1316">
        <f t="shared" si="42"/>
        <v>717.92000000000007</v>
      </c>
      <c r="AU27" s="2300">
        <f t="shared" si="43"/>
        <v>717.92000000000007</v>
      </c>
      <c r="AV27" s="1316">
        <f t="shared" si="10"/>
        <v>13090.92</v>
      </c>
      <c r="AW27" s="1316">
        <f t="shared" si="11"/>
        <v>11376.92</v>
      </c>
      <c r="AX27" s="1350">
        <f t="shared" si="44"/>
        <v>6.3103194889302203E-2</v>
      </c>
      <c r="AY27" s="1335">
        <f t="shared" si="13"/>
        <v>9.2467653520939289E-2</v>
      </c>
      <c r="AZ27" s="1335">
        <f t="shared" si="14"/>
        <v>0.21133957699904576</v>
      </c>
      <c r="BA27" s="1316">
        <f t="shared" si="15"/>
        <v>1210.4866548303346</v>
      </c>
      <c r="BB27" s="1316">
        <f t="shared" si="45"/>
        <v>2404.3934603519838</v>
      </c>
      <c r="BC27" s="1316">
        <f t="shared" si="17"/>
        <v>14301.406654830334</v>
      </c>
      <c r="BD27" s="1316">
        <f t="shared" si="18"/>
        <v>13781.313460351983</v>
      </c>
      <c r="BE27" s="2300"/>
      <c r="BF27" s="1316">
        <f t="shared" si="46"/>
        <v>3029.08</v>
      </c>
      <c r="BG27" s="1348">
        <f t="shared" si="47"/>
        <v>0.21026516729140635</v>
      </c>
      <c r="BH27" s="1348">
        <f t="shared" si="38"/>
        <v>0.78973483270859368</v>
      </c>
      <c r="BI27" s="1348">
        <f t="shared" si="36"/>
        <v>0.20785970570449505</v>
      </c>
      <c r="BJ27" s="1344"/>
      <c r="BK27" s="1316">
        <f t="shared" si="48"/>
        <v>14406</v>
      </c>
      <c r="BL27" s="1344" t="b">
        <f t="shared" si="49"/>
        <v>1</v>
      </c>
      <c r="BM27" s="1345"/>
      <c r="BN27" s="1345"/>
      <c r="BO27" s="1345"/>
      <c r="BP27" s="1345"/>
      <c r="BQ27" s="2072">
        <v>1</v>
      </c>
      <c r="BR27" s="1316"/>
      <c r="BS27" s="1316"/>
      <c r="BT27" s="1939"/>
      <c r="BU27" s="1939"/>
      <c r="BV27" s="1316"/>
      <c r="BW27" s="2227">
        <f t="shared" si="74"/>
        <v>14406</v>
      </c>
      <c r="BX27" s="2216"/>
      <c r="BY27" s="1457"/>
      <c r="BZ27" s="1469">
        <f t="shared" si="20"/>
        <v>51496</v>
      </c>
      <c r="CA27" s="1470">
        <f t="shared" si="60"/>
        <v>19</v>
      </c>
      <c r="CB27" s="1470">
        <f t="shared" si="22"/>
        <v>64</v>
      </c>
      <c r="CC27" s="1471">
        <f t="shared" si="56"/>
        <v>0.28000000000000003</v>
      </c>
      <c r="CD27" s="1471">
        <f t="shared" si="61"/>
        <v>1</v>
      </c>
      <c r="CE27" s="1471">
        <f>1</f>
        <v>1</v>
      </c>
      <c r="CF27" s="1666">
        <f t="shared" si="57"/>
        <v>14406.28</v>
      </c>
      <c r="CG27" s="1667">
        <v>14408</v>
      </c>
      <c r="CH27" s="1662">
        <f t="shared" si="62"/>
        <v>1.7199999999993452</v>
      </c>
      <c r="CI27" s="1548">
        <f t="shared" si="63"/>
        <v>1.1939237610259866E-4</v>
      </c>
      <c r="CJ27" s="1679">
        <f t="shared" si="64"/>
        <v>2</v>
      </c>
      <c r="CK27" s="1680">
        <f t="shared" si="65"/>
        <v>1.3883104262113008E-4</v>
      </c>
      <c r="CL27" s="1669"/>
      <c r="CM27" s="1013">
        <f t="shared" si="29"/>
        <v>12374.011935920578</v>
      </c>
      <c r="CN27" s="1014">
        <f t="shared" si="50"/>
        <v>0.1410515107649189</v>
      </c>
    </row>
    <row r="28" spans="1:106" x14ac:dyDescent="0.3">
      <c r="A28" s="1342">
        <v>2003</v>
      </c>
      <c r="B28" s="1336">
        <v>39291</v>
      </c>
      <c r="C28" s="1469">
        <f t="shared" si="0"/>
        <v>40728</v>
      </c>
      <c r="D28" s="1537">
        <v>39291</v>
      </c>
      <c r="E28" s="1537">
        <f t="shared" si="79"/>
        <v>40728</v>
      </c>
      <c r="F28" s="1537">
        <v>40</v>
      </c>
      <c r="G28" s="1508">
        <v>34779</v>
      </c>
      <c r="H28" s="1346">
        <v>30355</v>
      </c>
      <c r="I28" s="1508">
        <f t="shared" si="73"/>
        <v>30355</v>
      </c>
      <c r="J28" s="1316">
        <v>28977</v>
      </c>
      <c r="K28" s="1316">
        <v>24684</v>
      </c>
      <c r="L28" s="1315">
        <v>29374</v>
      </c>
      <c r="M28" s="1526">
        <v>4699</v>
      </c>
      <c r="N28" s="1380" t="str">
        <f t="shared" si="31"/>
        <v/>
      </c>
      <c r="O28" s="1431">
        <f t="shared" si="4"/>
        <v>0.87830193444113336</v>
      </c>
      <c r="P28" s="1818">
        <f t="shared" si="5"/>
        <v>0.87279680266827686</v>
      </c>
      <c r="Q28" s="1334">
        <f t="shared" si="6"/>
        <v>0.8331751919261623</v>
      </c>
      <c r="R28" s="1335">
        <f t="shared" si="7"/>
        <v>0.84459012622559593</v>
      </c>
      <c r="S28" s="1317">
        <v>0.84000000000000008</v>
      </c>
      <c r="T28" s="1317">
        <v>0.87278693528693529</v>
      </c>
      <c r="U28" s="1817">
        <f t="shared" ref="U28:U31" si="81">MIN(ROUND(P28,2),ROUND(1-V28,2))</f>
        <v>0.86</v>
      </c>
      <c r="V28" s="1561">
        <f t="shared" ref="V28:V32" si="82">MAX(1-P28,M28/G28)</f>
        <v>0.13511026769027287</v>
      </c>
      <c r="W28" s="1530">
        <f t="shared" si="71"/>
        <v>4699</v>
      </c>
      <c r="X28" s="1532">
        <f t="shared" si="68"/>
        <v>0.11832154782950305</v>
      </c>
      <c r="Y28" s="1316">
        <f t="shared" si="51"/>
        <v>34991.68</v>
      </c>
      <c r="Z28" s="1316">
        <f t="shared" si="52"/>
        <v>34364.683055867048</v>
      </c>
      <c r="AA28" s="1315">
        <f t="shared" si="80"/>
        <v>33004.44</v>
      </c>
      <c r="AB28" s="1469">
        <f t="shared" si="69"/>
        <v>5470.6831698101314</v>
      </c>
      <c r="AC28" s="1623">
        <f t="shared" si="32"/>
        <v>5639.04</v>
      </c>
      <c r="AD28" s="2215">
        <f t="shared" si="59"/>
        <v>34992</v>
      </c>
      <c r="AE28" s="2216">
        <f t="shared" si="34"/>
        <v>5696</v>
      </c>
      <c r="AF28" s="2209">
        <f t="shared" si="67"/>
        <v>633.03168471855304</v>
      </c>
      <c r="AG28" s="1347">
        <v>0.01</v>
      </c>
      <c r="AH28" s="1531">
        <f t="shared" si="70"/>
        <v>0</v>
      </c>
      <c r="AI28" s="1537">
        <v>0</v>
      </c>
      <c r="AJ28" s="2300">
        <v>1090</v>
      </c>
      <c r="AK28" s="1316"/>
      <c r="AL28" s="1316"/>
      <c r="AM28" s="1316"/>
      <c r="AN28" s="1316"/>
      <c r="AO28" s="1316"/>
      <c r="AP28" s="1316"/>
      <c r="AQ28" s="1563">
        <f t="shared" si="39"/>
        <v>1090</v>
      </c>
      <c r="AR28" s="1470">
        <f t="shared" si="40"/>
        <v>1090</v>
      </c>
      <c r="AS28" s="1430">
        <f t="shared" si="41"/>
        <v>138.65148509157822</v>
      </c>
      <c r="AT28" s="1316">
        <f t="shared" si="42"/>
        <v>937.4</v>
      </c>
      <c r="AU28" s="2300">
        <f t="shared" si="43"/>
        <v>937.4</v>
      </c>
      <c r="AV28" s="1316">
        <f t="shared" si="10"/>
        <v>31292.400000000001</v>
      </c>
      <c r="AW28" s="1316">
        <f t="shared" si="11"/>
        <v>30311.4</v>
      </c>
      <c r="AX28" s="1350">
        <f t="shared" si="44"/>
        <v>3.0925658333168377E-2</v>
      </c>
      <c r="AY28" s="1335">
        <f t="shared" si="13"/>
        <v>0.10659714133011748</v>
      </c>
      <c r="AZ28" s="1335">
        <f t="shared" si="14"/>
        <v>0.13460484301982986</v>
      </c>
      <c r="BA28" s="1316">
        <f t="shared" si="15"/>
        <v>3335.6803853585684</v>
      </c>
      <c r="BB28" s="1316">
        <f t="shared" si="45"/>
        <v>4080.061238711271</v>
      </c>
      <c r="BC28" s="1316">
        <f t="shared" si="17"/>
        <v>34628.080385358568</v>
      </c>
      <c r="BD28" s="1316">
        <f t="shared" si="18"/>
        <v>34391.461238711272</v>
      </c>
      <c r="BE28" s="2300"/>
      <c r="BF28" s="1316">
        <f t="shared" si="46"/>
        <v>4680.5999999999985</v>
      </c>
      <c r="BG28" s="1348">
        <f t="shared" si="47"/>
        <v>0.13376200274348418</v>
      </c>
      <c r="BH28" s="1348">
        <f t="shared" si="38"/>
        <v>0.86623799725651585</v>
      </c>
      <c r="BI28" s="1348">
        <f t="shared" si="36"/>
        <v>0.65209335471227514</v>
      </c>
      <c r="BJ28" s="1344"/>
      <c r="BK28" s="1316">
        <f t="shared" si="48"/>
        <v>34992</v>
      </c>
      <c r="BL28" s="1344" t="b">
        <f t="shared" si="49"/>
        <v>1</v>
      </c>
      <c r="BM28" s="1345"/>
      <c r="BN28" s="1345"/>
      <c r="BO28" s="1345"/>
      <c r="BP28" s="1345"/>
      <c r="BQ28" s="2072">
        <v>1</v>
      </c>
      <c r="BR28" s="1316"/>
      <c r="BS28" s="1316"/>
      <c r="BT28" s="1939"/>
      <c r="BU28" s="1939"/>
      <c r="BV28" s="1316"/>
      <c r="BW28" s="2227">
        <f t="shared" si="74"/>
        <v>34992</v>
      </c>
      <c r="BX28" s="2216"/>
      <c r="BY28" s="1457"/>
      <c r="BZ28" s="1469">
        <f t="shared" si="20"/>
        <v>40728</v>
      </c>
      <c r="CA28" s="1470">
        <f t="shared" si="60"/>
        <v>0</v>
      </c>
      <c r="CB28" s="1470">
        <f t="shared" si="22"/>
        <v>40</v>
      </c>
      <c r="CC28" s="1471">
        <f t="shared" si="56"/>
        <v>0.86</v>
      </c>
      <c r="CD28" s="1471">
        <f t="shared" si="61"/>
        <v>1</v>
      </c>
      <c r="CE28" s="1471">
        <f>1</f>
        <v>1</v>
      </c>
      <c r="CF28" s="1666">
        <f t="shared" si="57"/>
        <v>34991.68</v>
      </c>
      <c r="CG28" s="1667">
        <v>34992</v>
      </c>
      <c r="CH28" s="1662">
        <f t="shared" si="62"/>
        <v>0.31999999999970896</v>
      </c>
      <c r="CI28" s="1548">
        <f t="shared" si="63"/>
        <v>9.1450310473720891E-6</v>
      </c>
      <c r="CJ28" s="1679">
        <f t="shared" si="64"/>
        <v>0</v>
      </c>
      <c r="CK28" s="1680">
        <f t="shared" si="65"/>
        <v>0</v>
      </c>
      <c r="CL28" s="1669"/>
      <c r="CM28" s="1013">
        <f t="shared" si="29"/>
        <v>34364.683055867048</v>
      </c>
      <c r="CN28" s="1014">
        <f t="shared" si="50"/>
        <v>1.792743896127549E-2</v>
      </c>
    </row>
    <row r="29" spans="1:106" x14ac:dyDescent="0.3">
      <c r="A29" s="1342">
        <v>2004</v>
      </c>
      <c r="B29" s="1336">
        <v>130231</v>
      </c>
      <c r="C29" s="1469">
        <f t="shared" si="0"/>
        <v>129057</v>
      </c>
      <c r="D29" s="1537">
        <v>123291</v>
      </c>
      <c r="E29" s="1537">
        <f t="shared" si="79"/>
        <v>128385</v>
      </c>
      <c r="F29" s="1537">
        <v>118</v>
      </c>
      <c r="G29" s="1508">
        <v>106666</v>
      </c>
      <c r="H29" s="1346">
        <v>81338</v>
      </c>
      <c r="I29" s="1508">
        <f t="shared" si="73"/>
        <v>81338</v>
      </c>
      <c r="J29" s="1316">
        <v>78053</v>
      </c>
      <c r="K29" s="1316">
        <v>64959</v>
      </c>
      <c r="L29" s="1315">
        <v>78053</v>
      </c>
      <c r="M29" s="1526">
        <v>31409</v>
      </c>
      <c r="N29" s="1380" t="str">
        <f t="shared" si="31"/>
        <v/>
      </c>
      <c r="O29" s="1431">
        <f t="shared" si="4"/>
        <v>0.85591629086357146</v>
      </c>
      <c r="P29" s="1818">
        <f t="shared" si="5"/>
        <v>0.76254851592822459</v>
      </c>
      <c r="Q29" s="1334">
        <f t="shared" si="6"/>
        <v>0.73175144844655282</v>
      </c>
      <c r="R29" s="1335">
        <f t="shared" si="7"/>
        <v>0.73175144844655282</v>
      </c>
      <c r="S29" s="1317">
        <v>0.77000000000000013</v>
      </c>
      <c r="T29" s="1317">
        <v>0.75366728328952071</v>
      </c>
      <c r="U29" s="1817">
        <f t="shared" si="81"/>
        <v>0.71</v>
      </c>
      <c r="V29" s="1561">
        <f t="shared" si="82"/>
        <v>0.29446121538259612</v>
      </c>
      <c r="W29" s="1530">
        <f t="shared" si="71"/>
        <v>31408.999999999996</v>
      </c>
      <c r="X29" s="1532">
        <f t="shared" si="68"/>
        <v>0.13462631927405849</v>
      </c>
      <c r="Y29" s="1316">
        <f t="shared" si="51"/>
        <v>91546.69</v>
      </c>
      <c r="Z29" s="1316">
        <f t="shared" si="52"/>
        <v>94351.300011250074</v>
      </c>
      <c r="AA29" s="1315">
        <f t="shared" si="80"/>
        <v>94934.070000000022</v>
      </c>
      <c r="AB29" s="1469">
        <f t="shared" si="69"/>
        <v>37347.732415152721</v>
      </c>
      <c r="AC29" s="1623">
        <f t="shared" si="32"/>
        <v>35522.400000000001</v>
      </c>
      <c r="AD29" s="2215">
        <f t="shared" si="59"/>
        <v>91547</v>
      </c>
      <c r="AE29" s="2216">
        <f t="shared" si="34"/>
        <v>37392</v>
      </c>
      <c r="AF29" s="2209">
        <f t="shared" si="67"/>
        <v>4913.6543584148649</v>
      </c>
      <c r="AG29" s="1347">
        <v>0.05</v>
      </c>
      <c r="AH29" s="1531">
        <f t="shared" si="70"/>
        <v>0</v>
      </c>
      <c r="AI29" s="1537">
        <v>672</v>
      </c>
      <c r="AJ29" s="2300">
        <v>4317</v>
      </c>
      <c r="AK29" s="1316"/>
      <c r="AL29" s="1316"/>
      <c r="AM29" s="1316">
        <v>0</v>
      </c>
      <c r="AN29" s="1316">
        <v>0</v>
      </c>
      <c r="AO29" s="1316">
        <v>0</v>
      </c>
      <c r="AP29" s="1316">
        <f>SUM(AK29:AO29)</f>
        <v>0</v>
      </c>
      <c r="AQ29" s="1563">
        <f t="shared" si="39"/>
        <v>3645</v>
      </c>
      <c r="AR29" s="1470">
        <f t="shared" si="40"/>
        <v>4317</v>
      </c>
      <c r="AS29" s="1430">
        <f t="shared" si="41"/>
        <v>1025.0780567378545</v>
      </c>
      <c r="AT29" s="1316">
        <f t="shared" si="42"/>
        <v>3065.0699999999997</v>
      </c>
      <c r="AU29" s="2300">
        <f t="shared" si="43"/>
        <v>3065.0699999999997</v>
      </c>
      <c r="AV29" s="1316">
        <f t="shared" si="10"/>
        <v>84403.07</v>
      </c>
      <c r="AW29" s="1316">
        <f t="shared" si="11"/>
        <v>81118.070000000007</v>
      </c>
      <c r="AX29" s="1350">
        <f t="shared" si="44"/>
        <v>3.7785292475523632E-2</v>
      </c>
      <c r="AY29" s="1335">
        <f t="shared" si="13"/>
        <v>7.9288364059027908E-2</v>
      </c>
      <c r="AZ29" s="1335">
        <f t="shared" si="14"/>
        <v>0.11532653489970464</v>
      </c>
      <c r="BA29" s="1316">
        <f t="shared" si="15"/>
        <v>6692.1813418596175</v>
      </c>
      <c r="BB29" s="1316">
        <f t="shared" si="45"/>
        <v>9355.0659308516842</v>
      </c>
      <c r="BC29" s="1316">
        <f t="shared" si="17"/>
        <v>91095.251341859621</v>
      </c>
      <c r="BD29" s="1316">
        <f t="shared" si="18"/>
        <v>90473.135930851684</v>
      </c>
      <c r="BE29" s="2302">
        <v>112</v>
      </c>
      <c r="BF29" s="1316">
        <f t="shared" si="46"/>
        <v>10428.929999999993</v>
      </c>
      <c r="BG29" s="1348">
        <f t="shared" si="47"/>
        <v>0.11391886134990763</v>
      </c>
      <c r="BH29" s="1348">
        <f t="shared" si="38"/>
        <v>0.88608113865009241</v>
      </c>
      <c r="BI29" s="1348">
        <f t="shared" si="36"/>
        <v>0.55173589313088556</v>
      </c>
      <c r="BJ29" s="1344"/>
      <c r="BK29" s="1316">
        <f t="shared" si="48"/>
        <v>91547</v>
      </c>
      <c r="BL29" s="1344" t="b">
        <f t="shared" si="49"/>
        <v>1</v>
      </c>
      <c r="BM29" s="1345"/>
      <c r="BN29" s="1345"/>
      <c r="BO29" s="1345"/>
      <c r="BP29" s="1345"/>
      <c r="BQ29" s="2072">
        <v>1</v>
      </c>
      <c r="BR29" s="1316"/>
      <c r="BS29" s="1316"/>
      <c r="BT29" s="1939"/>
      <c r="BU29" s="1939"/>
      <c r="BV29" s="1316"/>
      <c r="BW29" s="2227">
        <f t="shared" si="74"/>
        <v>91547</v>
      </c>
      <c r="BX29" s="2216"/>
      <c r="BY29" s="1457"/>
      <c r="BZ29" s="1469">
        <f t="shared" si="20"/>
        <v>128385</v>
      </c>
      <c r="CA29" s="1470">
        <f t="shared" si="60"/>
        <v>672</v>
      </c>
      <c r="CB29" s="1470">
        <f t="shared" si="22"/>
        <v>118</v>
      </c>
      <c r="CC29" s="1471">
        <f t="shared" si="56"/>
        <v>0.71</v>
      </c>
      <c r="CD29" s="1471">
        <f t="shared" si="61"/>
        <v>1</v>
      </c>
      <c r="CE29" s="1471">
        <f>1</f>
        <v>1</v>
      </c>
      <c r="CF29" s="1666">
        <f t="shared" ref="CF29:CF33" si="83">(BZ29+CA29-CB29)*CC29*CD29*CE29</f>
        <v>91546.69</v>
      </c>
      <c r="CG29" s="1667">
        <v>91554</v>
      </c>
      <c r="CH29" s="1662">
        <f t="shared" si="62"/>
        <v>7.3099999999976717</v>
      </c>
      <c r="CI29" s="1548">
        <f t="shared" si="63"/>
        <v>7.9849965083365342E-5</v>
      </c>
      <c r="CJ29" s="1679">
        <f t="shared" si="64"/>
        <v>7</v>
      </c>
      <c r="CK29" s="1680">
        <f t="shared" si="65"/>
        <v>7.6463455929741013E-5</v>
      </c>
      <c r="CL29" s="1669"/>
      <c r="CM29" s="1013">
        <f t="shared" si="29"/>
        <v>94351.300011250074</v>
      </c>
      <c r="CN29" s="1014">
        <f t="shared" si="50"/>
        <v>-3.0632352903427463E-2</v>
      </c>
    </row>
    <row r="30" spans="1:106" x14ac:dyDescent="0.3">
      <c r="A30" s="1342">
        <v>2005</v>
      </c>
      <c r="B30" s="1336">
        <v>77399</v>
      </c>
      <c r="C30" s="1469">
        <f t="shared" si="0"/>
        <v>75878</v>
      </c>
      <c r="D30" s="1808">
        <v>72971</v>
      </c>
      <c r="E30" s="1808">
        <f t="shared" si="79"/>
        <v>75874</v>
      </c>
      <c r="F30" s="1537">
        <v>19</v>
      </c>
      <c r="G30" s="1508">
        <v>71226</v>
      </c>
      <c r="H30" s="1346">
        <v>55570</v>
      </c>
      <c r="I30" s="1508">
        <f t="shared" si="73"/>
        <v>55570</v>
      </c>
      <c r="J30" s="1316">
        <v>55559</v>
      </c>
      <c r="K30" s="1316">
        <v>46891</v>
      </c>
      <c r="L30" s="1315">
        <v>55559</v>
      </c>
      <c r="M30" s="1526">
        <v>14176</v>
      </c>
      <c r="N30" s="1380" t="str">
        <f t="shared" si="31"/>
        <v/>
      </c>
      <c r="O30" s="1431">
        <f t="shared" si="4"/>
        <v>0.97445719836372835</v>
      </c>
      <c r="P30" s="1544">
        <f t="shared" si="5"/>
        <v>0.78019262628815322</v>
      </c>
      <c r="Q30" s="1334">
        <f t="shared" si="6"/>
        <v>0.78003818830202454</v>
      </c>
      <c r="R30" s="1335">
        <f t="shared" si="7"/>
        <v>0.78003818830202454</v>
      </c>
      <c r="S30" s="1317">
        <v>0.78000000000000014</v>
      </c>
      <c r="T30" s="1317">
        <v>0.78290130693413229</v>
      </c>
      <c r="U30" s="1560">
        <f t="shared" si="81"/>
        <v>0.78</v>
      </c>
      <c r="V30" s="1561">
        <f t="shared" si="82"/>
        <v>0.21980737371184678</v>
      </c>
      <c r="W30" s="1530">
        <f t="shared" si="71"/>
        <v>15655.999999999998</v>
      </c>
      <c r="X30" s="1532">
        <f t="shared" si="68"/>
        <v>2.4553865619316235E-2</v>
      </c>
      <c r="Y30" s="1316">
        <f t="shared" si="51"/>
        <v>59170.020000000004</v>
      </c>
      <c r="Z30" s="1316">
        <f t="shared" si="52"/>
        <v>59172.916926403283</v>
      </c>
      <c r="AA30" s="1315">
        <f t="shared" si="80"/>
        <v>56917.380000000012</v>
      </c>
      <c r="AB30" s="1469">
        <f t="shared" si="69"/>
        <v>15178.457351717367</v>
      </c>
      <c r="AC30" s="1623">
        <f t="shared" si="32"/>
        <v>16689</v>
      </c>
      <c r="AD30" s="2215">
        <f t="shared" si="59"/>
        <v>59170</v>
      </c>
      <c r="AE30" s="2216">
        <f t="shared" si="34"/>
        <v>16689</v>
      </c>
      <c r="AF30" s="2209">
        <f t="shared" si="67"/>
        <v>394.47015603039898</v>
      </c>
      <c r="AG30" s="1347">
        <v>0</v>
      </c>
      <c r="AH30" s="1530">
        <f t="shared" si="70"/>
        <v>1479.9999999999982</v>
      </c>
      <c r="AI30" s="1537">
        <v>4</v>
      </c>
      <c r="AJ30" s="2300">
        <v>2766</v>
      </c>
      <c r="AK30" s="1316"/>
      <c r="AL30" s="1316"/>
      <c r="AM30" s="1316"/>
      <c r="AN30" s="1316"/>
      <c r="AO30" s="1316"/>
      <c r="AP30" s="1316"/>
      <c r="AQ30" s="1563">
        <f t="shared" si="39"/>
        <v>2762</v>
      </c>
      <c r="AR30" s="1470">
        <f t="shared" si="40"/>
        <v>2766</v>
      </c>
      <c r="AS30" s="1430">
        <f t="shared" si="41"/>
        <v>607.98719568696822</v>
      </c>
      <c r="AT30" s="1316">
        <f t="shared" si="42"/>
        <v>2157.48</v>
      </c>
      <c r="AU30" s="2300">
        <f t="shared" si="43"/>
        <v>2157.48</v>
      </c>
      <c r="AV30" s="1316">
        <f t="shared" si="10"/>
        <v>57727.48</v>
      </c>
      <c r="AW30" s="1316">
        <f t="shared" si="11"/>
        <v>57716.480000000003</v>
      </c>
      <c r="AX30" s="1350">
        <f t="shared" si="44"/>
        <v>3.7380658002705638E-2</v>
      </c>
      <c r="AY30" s="1335">
        <f t="shared" si="13"/>
        <v>2.4625171421175339E-2</v>
      </c>
      <c r="AZ30" s="1335">
        <f t="shared" si="14"/>
        <v>2.4811039625073434E-2</v>
      </c>
      <c r="BA30" s="1316">
        <f t="shared" si="15"/>
        <v>1421.5490907124711</v>
      </c>
      <c r="BB30" s="1316">
        <f t="shared" si="45"/>
        <v>1432.0058722997585</v>
      </c>
      <c r="BC30" s="1316">
        <f t="shared" si="17"/>
        <v>59149.029090712473</v>
      </c>
      <c r="BD30" s="1316">
        <f t="shared" si="18"/>
        <v>59148.48587229976</v>
      </c>
      <c r="BE30" s="2302"/>
      <c r="BF30" s="1316">
        <f t="shared" si="46"/>
        <v>1453.5199999999968</v>
      </c>
      <c r="BG30" s="1348">
        <f t="shared" si="47"/>
        <v>2.4565151259083942E-2</v>
      </c>
      <c r="BH30" s="1348">
        <f t="shared" si="38"/>
        <v>0.97543484874091602</v>
      </c>
      <c r="BI30" s="1348">
        <f t="shared" si="36"/>
        <v>0.67216401036028017</v>
      </c>
      <c r="BJ30" s="1344"/>
      <c r="BK30" s="1316">
        <f t="shared" si="48"/>
        <v>59170</v>
      </c>
      <c r="BL30" s="1344" t="b">
        <f t="shared" si="49"/>
        <v>1</v>
      </c>
      <c r="BM30" s="1345"/>
      <c r="BN30" s="1345"/>
      <c r="BO30" s="1345"/>
      <c r="BP30" s="1345"/>
      <c r="BQ30" s="2072">
        <v>1</v>
      </c>
      <c r="BR30" s="1316"/>
      <c r="BS30" s="1316"/>
      <c r="BT30" s="1939"/>
      <c r="BU30" s="1939"/>
      <c r="BV30" s="1316"/>
      <c r="BW30" s="2227">
        <f t="shared" si="74"/>
        <v>59170</v>
      </c>
      <c r="BX30" s="2216"/>
      <c r="BY30" s="1457"/>
      <c r="BZ30" s="1469">
        <f t="shared" si="20"/>
        <v>75874</v>
      </c>
      <c r="CA30" s="1470">
        <f t="shared" si="60"/>
        <v>4</v>
      </c>
      <c r="CB30" s="1470">
        <f t="shared" si="22"/>
        <v>19</v>
      </c>
      <c r="CC30" s="1471">
        <f t="shared" si="56"/>
        <v>0.78</v>
      </c>
      <c r="CD30" s="1471">
        <f t="shared" si="61"/>
        <v>1</v>
      </c>
      <c r="CE30" s="1471">
        <f>1</f>
        <v>1</v>
      </c>
      <c r="CF30" s="1666">
        <f t="shared" si="83"/>
        <v>59170.020000000004</v>
      </c>
      <c r="CG30" s="1667">
        <v>59170</v>
      </c>
      <c r="CH30" s="1662">
        <f t="shared" si="62"/>
        <v>-2.0000000004074536E-2</v>
      </c>
      <c r="CI30" s="1548">
        <f t="shared" si="63"/>
        <v>-3.3800901206513933E-7</v>
      </c>
      <c r="CJ30" s="1679">
        <f t="shared" si="64"/>
        <v>0</v>
      </c>
      <c r="CK30" s="1680">
        <f t="shared" si="65"/>
        <v>0</v>
      </c>
      <c r="CL30" s="1669"/>
      <c r="CM30" s="1013">
        <f t="shared" si="29"/>
        <v>59172.916926403283</v>
      </c>
      <c r="CN30" s="1014">
        <f t="shared" si="50"/>
        <v>-4.929738724493087E-5</v>
      </c>
    </row>
    <row r="31" spans="1:106" x14ac:dyDescent="0.3">
      <c r="A31" s="1342">
        <v>2006</v>
      </c>
      <c r="B31" s="1336">
        <v>37067</v>
      </c>
      <c r="C31" s="1469">
        <f t="shared" si="0"/>
        <v>38407</v>
      </c>
      <c r="D31" s="1537">
        <v>37066</v>
      </c>
      <c r="E31" s="1537">
        <f t="shared" si="79"/>
        <v>38406</v>
      </c>
      <c r="F31" s="1537">
        <v>51</v>
      </c>
      <c r="G31" s="1508">
        <v>35132</v>
      </c>
      <c r="H31" s="1346">
        <v>25377</v>
      </c>
      <c r="I31" s="1508">
        <f t="shared" si="73"/>
        <v>25377</v>
      </c>
      <c r="J31" s="1316">
        <v>22075</v>
      </c>
      <c r="K31" s="1316">
        <v>18880</v>
      </c>
      <c r="L31" s="1315">
        <v>22075</v>
      </c>
      <c r="M31" s="1526">
        <v>9150</v>
      </c>
      <c r="N31" s="1380" t="str">
        <f t="shared" si="31"/>
        <v/>
      </c>
      <c r="O31" s="1431">
        <f t="shared" si="4"/>
        <v>0.95571273122959743</v>
      </c>
      <c r="P31" s="1544">
        <f t="shared" si="5"/>
        <v>0.72233291586018444</v>
      </c>
      <c r="Q31" s="1334">
        <f t="shared" si="6"/>
        <v>0.62834452920414441</v>
      </c>
      <c r="R31" s="1335">
        <f t="shared" si="7"/>
        <v>0.62834452920414441</v>
      </c>
      <c r="S31" s="1317">
        <v>0.72799999999999987</v>
      </c>
      <c r="T31" s="1317">
        <v>0.72233291586018444</v>
      </c>
      <c r="U31" s="1560">
        <f t="shared" si="81"/>
        <v>0.72</v>
      </c>
      <c r="V31" s="1561">
        <f t="shared" si="82"/>
        <v>0.27766708413981556</v>
      </c>
      <c r="W31" s="1530">
        <f t="shared" si="71"/>
        <v>9755</v>
      </c>
      <c r="X31" s="1532">
        <f t="shared" si="68"/>
        <v>4.2363172420975891E-2</v>
      </c>
      <c r="Y31" s="1316">
        <f t="shared" si="51"/>
        <v>27616.32</v>
      </c>
      <c r="Z31" s="1316">
        <f t="shared" si="52"/>
        <v>24100.782762154162</v>
      </c>
      <c r="AA31" s="1315">
        <f t="shared" si="80"/>
        <v>26984.047999999995</v>
      </c>
      <c r="AB31" s="1469">
        <f t="shared" si="69"/>
        <v>10025.547584132586</v>
      </c>
      <c r="AC31" s="1623">
        <f t="shared" si="32"/>
        <v>10417.799999999999</v>
      </c>
      <c r="AD31" s="2215">
        <f t="shared" si="59"/>
        <v>27616</v>
      </c>
      <c r="AE31" s="2216">
        <f t="shared" si="34"/>
        <v>10740</v>
      </c>
      <c r="AF31" s="2209">
        <f t="shared" si="67"/>
        <v>432.39091784543945</v>
      </c>
      <c r="AG31" s="1347">
        <v>0.03</v>
      </c>
      <c r="AH31" s="1530">
        <f t="shared" si="70"/>
        <v>605</v>
      </c>
      <c r="AI31" s="1537">
        <v>1</v>
      </c>
      <c r="AJ31" s="2300">
        <v>1596</v>
      </c>
      <c r="AK31" s="1316"/>
      <c r="AL31" s="1316"/>
      <c r="AM31" s="1316">
        <v>0</v>
      </c>
      <c r="AN31" s="1316">
        <v>0</v>
      </c>
      <c r="AO31" s="1316">
        <v>0</v>
      </c>
      <c r="AP31" s="1316">
        <f t="shared" ref="AP31:AP48" si="84">SUM(AK31:AO31)</f>
        <v>0</v>
      </c>
      <c r="AQ31" s="1563">
        <f t="shared" si="39"/>
        <v>1595</v>
      </c>
      <c r="AR31" s="1470">
        <f t="shared" si="40"/>
        <v>1596</v>
      </c>
      <c r="AS31" s="1430">
        <f t="shared" si="41"/>
        <v>443.15666628714564</v>
      </c>
      <c r="AT31" s="1316">
        <f t="shared" si="42"/>
        <v>1149.1199999999999</v>
      </c>
      <c r="AU31" s="2300">
        <f t="shared" si="43"/>
        <v>1149.1199999999999</v>
      </c>
      <c r="AV31" s="1316">
        <f t="shared" si="10"/>
        <v>26526.12</v>
      </c>
      <c r="AW31" s="1316">
        <f t="shared" si="11"/>
        <v>23224.12</v>
      </c>
      <c r="AX31" s="1350">
        <f t="shared" si="44"/>
        <v>4.9479592768208222E-2</v>
      </c>
      <c r="AY31" s="1335">
        <f t="shared" si="13"/>
        <v>4.0753180926591324E-2</v>
      </c>
      <c r="AZ31" s="1335">
        <f t="shared" si="14"/>
        <v>0.16016449975987548</v>
      </c>
      <c r="BA31" s="1316">
        <f t="shared" si="15"/>
        <v>1081.0237676404727</v>
      </c>
      <c r="BB31" s="1316">
        <f t="shared" si="45"/>
        <v>3719.6795621633191</v>
      </c>
      <c r="BC31" s="1316">
        <f t="shared" si="17"/>
        <v>27607.143767640471</v>
      </c>
      <c r="BD31" s="1316">
        <f t="shared" si="18"/>
        <v>26943.799562163316</v>
      </c>
      <c r="BE31" s="2302">
        <v>68.64</v>
      </c>
      <c r="BF31" s="1316">
        <f t="shared" si="46"/>
        <v>4391.880000000001</v>
      </c>
      <c r="BG31" s="1348">
        <f t="shared" si="47"/>
        <v>0.1590338933951333</v>
      </c>
      <c r="BH31" s="1348">
        <f t="shared" si="38"/>
        <v>0.8409661066048667</v>
      </c>
      <c r="BI31" s="1348">
        <f t="shared" si="36"/>
        <v>0.54036367560567633</v>
      </c>
      <c r="BJ31" s="1344"/>
      <c r="BK31" s="1316">
        <f t="shared" si="48"/>
        <v>27616</v>
      </c>
      <c r="BL31" s="1344" t="b">
        <f t="shared" si="49"/>
        <v>1</v>
      </c>
      <c r="BM31" s="1345"/>
      <c r="BN31" s="1345"/>
      <c r="BO31" s="1345"/>
      <c r="BP31" s="1345"/>
      <c r="BQ31" s="2072">
        <v>1</v>
      </c>
      <c r="BR31" s="1316"/>
      <c r="BS31" s="1316"/>
      <c r="BT31" s="1939"/>
      <c r="BU31" s="1939"/>
      <c r="BV31" s="1316"/>
      <c r="BW31" s="2227">
        <f t="shared" si="74"/>
        <v>27616</v>
      </c>
      <c r="BX31" s="2216"/>
      <c r="BY31" s="1457"/>
      <c r="BZ31" s="1469">
        <f t="shared" si="20"/>
        <v>38406</v>
      </c>
      <c r="CA31" s="1470">
        <f t="shared" si="60"/>
        <v>1</v>
      </c>
      <c r="CB31" s="1470">
        <f t="shared" si="22"/>
        <v>51</v>
      </c>
      <c r="CC31" s="1471">
        <f t="shared" si="56"/>
        <v>0.72</v>
      </c>
      <c r="CD31" s="1471">
        <f t="shared" si="61"/>
        <v>1</v>
      </c>
      <c r="CE31" s="1471">
        <f>1</f>
        <v>1</v>
      </c>
      <c r="CF31" s="1666">
        <f t="shared" si="83"/>
        <v>27616.32</v>
      </c>
      <c r="CG31" s="1667">
        <v>27616</v>
      </c>
      <c r="CH31" s="1662">
        <f t="shared" si="62"/>
        <v>-0.31999999999970896</v>
      </c>
      <c r="CI31" s="1548">
        <f t="shared" si="63"/>
        <v>-1.1587351247367823E-5</v>
      </c>
      <c r="CJ31" s="1679">
        <f t="shared" si="64"/>
        <v>0</v>
      </c>
      <c r="CK31" s="1680">
        <f t="shared" si="65"/>
        <v>0</v>
      </c>
      <c r="CL31" s="1669"/>
      <c r="CM31" s="1013">
        <f t="shared" si="29"/>
        <v>24100.782762154162</v>
      </c>
      <c r="CN31" s="1014">
        <f t="shared" si="50"/>
        <v>0.12728915258711754</v>
      </c>
    </row>
    <row r="32" spans="1:106" s="1449" customFormat="1" x14ac:dyDescent="0.3">
      <c r="A32" s="1553">
        <v>2007</v>
      </c>
      <c r="B32" s="1432">
        <v>26604</v>
      </c>
      <c r="C32" s="1501">
        <f t="shared" si="0"/>
        <v>25164</v>
      </c>
      <c r="D32" s="1540">
        <v>24376</v>
      </c>
      <c r="E32" s="1433">
        <f>ROUND((D32+BoostBonDamCounts*BoostBonDamCountPct*D32)*VLOOKUP(A32,BON_Count_Adjustment,5)+VLOOKUP(A32,BON_Count_Adjustment,4),0)</f>
        <v>25164</v>
      </c>
      <c r="F32" s="1539">
        <v>58</v>
      </c>
      <c r="G32" s="1433">
        <f>MAX(25122-ReduceRISdamCounts*BoostBonDamCountPct/2*25122,I32)</f>
        <v>23212.238718043656</v>
      </c>
      <c r="H32" s="1811">
        <v>20683</v>
      </c>
      <c r="I32" s="1813">
        <f t="shared" si="73"/>
        <v>22273</v>
      </c>
      <c r="J32" s="1434">
        <v>22273</v>
      </c>
      <c r="K32" s="1434">
        <v>19106</v>
      </c>
      <c r="L32" s="1812">
        <v>22273</v>
      </c>
      <c r="M32" s="1527">
        <v>2542</v>
      </c>
      <c r="N32" s="1436" t="str">
        <f t="shared" si="31"/>
        <v/>
      </c>
      <c r="O32" s="1557">
        <f t="shared" si="4"/>
        <v>0.9797500725157714</v>
      </c>
      <c r="P32" s="1816">
        <f t="shared" si="5"/>
        <v>0.95953691802619823</v>
      </c>
      <c r="Q32" s="1437">
        <f t="shared" si="6"/>
        <v>0.95953691802619823</v>
      </c>
      <c r="R32" s="1438">
        <f t="shared" si="7"/>
        <v>0.95953691802619823</v>
      </c>
      <c r="S32" s="1439">
        <v>0.85299999999999987</v>
      </c>
      <c r="T32" s="1439">
        <v>0.82300000000000006</v>
      </c>
      <c r="U32" s="1817">
        <f>MIN(ROUND(P32,2),ROUND(1-V32,2))</f>
        <v>0.89</v>
      </c>
      <c r="V32" s="1561">
        <f t="shared" si="82"/>
        <v>0.10951119497250464</v>
      </c>
      <c r="W32" s="1530">
        <f t="shared" si="71"/>
        <v>2542</v>
      </c>
      <c r="X32" s="1532">
        <f t="shared" si="68"/>
        <v>1.9065382369907159E-2</v>
      </c>
      <c r="Y32" s="1434">
        <f t="shared" si="51"/>
        <v>22344.34</v>
      </c>
      <c r="Z32" s="1434">
        <f t="shared" si="52"/>
        <v>24090.133863965733</v>
      </c>
      <c r="AA32" s="1440">
        <f t="shared" si="80"/>
        <v>20792.727999999996</v>
      </c>
      <c r="AB32" s="1469">
        <f t="shared" si="69"/>
        <v>2648.6806804291978</v>
      </c>
      <c r="AC32" s="1624">
        <f t="shared" si="32"/>
        <v>2706.76</v>
      </c>
      <c r="AD32" s="2218">
        <f t="shared" si="59"/>
        <v>22344</v>
      </c>
      <c r="AE32" s="2217">
        <f t="shared" si="34"/>
        <v>2762</v>
      </c>
      <c r="AF32" s="2209">
        <f t="shared" si="67"/>
        <v>49.465882518241763</v>
      </c>
      <c r="AG32" s="1441">
        <v>0.02</v>
      </c>
      <c r="AH32" s="1530">
        <f t="shared" si="70"/>
        <v>0</v>
      </c>
      <c r="AI32" s="1537">
        <v>0</v>
      </c>
      <c r="AJ32" s="2301">
        <v>1414</v>
      </c>
      <c r="AK32" s="1434"/>
      <c r="AL32" s="1434"/>
      <c r="AM32" s="1434">
        <v>0</v>
      </c>
      <c r="AN32" s="1434">
        <v>0</v>
      </c>
      <c r="AO32" s="1434">
        <v>0</v>
      </c>
      <c r="AP32" s="1316">
        <f t="shared" si="84"/>
        <v>0</v>
      </c>
      <c r="AQ32" s="1564">
        <f t="shared" si="39"/>
        <v>1414</v>
      </c>
      <c r="AR32" s="1505">
        <f t="shared" si="40"/>
        <v>1414</v>
      </c>
      <c r="AS32" s="1442">
        <f t="shared" si="41"/>
        <v>57.21479791095571</v>
      </c>
      <c r="AT32" s="1434">
        <f t="shared" si="42"/>
        <v>1258.46</v>
      </c>
      <c r="AU32" s="2301">
        <f t="shared" si="43"/>
        <v>1258.46</v>
      </c>
      <c r="AV32" s="1434">
        <f t="shared" si="10"/>
        <v>23531.46</v>
      </c>
      <c r="AW32" s="1434">
        <f t="shared" si="11"/>
        <v>23531.46</v>
      </c>
      <c r="AX32" s="1443">
        <f t="shared" si="44"/>
        <v>5.3479894575177232E-2</v>
      </c>
      <c r="AY32" s="1438">
        <f t="shared" si="13"/>
        <v>-5.0701108592799818E-2</v>
      </c>
      <c r="AZ32" s="1438">
        <f t="shared" si="14"/>
        <v>-5.0701108592799818E-2</v>
      </c>
      <c r="BA32" s="1434">
        <f t="shared" si="15"/>
        <v>-1193.0711088071253</v>
      </c>
      <c r="BB32" s="1434">
        <f t="shared" si="45"/>
        <v>-1193.0711088071253</v>
      </c>
      <c r="BC32" s="1434">
        <f t="shared" si="17"/>
        <v>22338.388891192873</v>
      </c>
      <c r="BD32" s="1434">
        <f t="shared" si="18"/>
        <v>22338.388891192873</v>
      </c>
      <c r="BE32" s="2303">
        <v>204</v>
      </c>
      <c r="BF32" s="1434">
        <f t="shared" si="46"/>
        <v>-1187.4599999999991</v>
      </c>
      <c r="BG32" s="1444">
        <f t="shared" si="47"/>
        <v>-5.3144468313641204E-2</v>
      </c>
      <c r="BH32" s="1348">
        <f t="shared" si="38"/>
        <v>1</v>
      </c>
      <c r="BI32" s="1444">
        <f t="shared" si="36"/>
        <v>0.83543075155891033</v>
      </c>
      <c r="BJ32" s="1445"/>
      <c r="BK32" s="1434">
        <f t="shared" si="48"/>
        <v>22344</v>
      </c>
      <c r="BL32" s="1445" t="b">
        <f t="shared" si="49"/>
        <v>1</v>
      </c>
      <c r="BM32" s="1446"/>
      <c r="BN32" s="1446"/>
      <c r="BO32" s="1446"/>
      <c r="BP32" s="1446"/>
      <c r="BQ32" s="2073">
        <v>0.88137437900000004</v>
      </c>
      <c r="BR32" s="1316">
        <f t="shared" ref="BR32:BR45" si="85">VLOOKUP($A32,OK_AUC_Deadpitch_Summary,2)*1</f>
        <v>1619</v>
      </c>
      <c r="BS32" s="1316">
        <f t="shared" ref="BS32:BS46" si="86">VLOOKUP($A32,OK_AUC_Deadpitch_Summary,5)*1</f>
        <v>0</v>
      </c>
      <c r="BT32" s="1316">
        <f t="shared" ref="BT32:BT46" si="87">VLOOKUP($A32,OK_AUC_Deadpitch_Summary,9)*1</f>
        <v>13490</v>
      </c>
      <c r="BU32" s="1116">
        <f>(BT32-BS32-BR32)/BT32</f>
        <v>0.8799851742031134</v>
      </c>
      <c r="BV32" s="1318">
        <f>SUM(BR32,BS32)/BT32</f>
        <v>0.12001482579688658</v>
      </c>
      <c r="BW32" s="1808">
        <f>AD32*(1-BV32)</f>
        <v>19662.388732394367</v>
      </c>
      <c r="BX32" s="2225">
        <f>AD32*BV32</f>
        <v>2681.6112676056337</v>
      </c>
      <c r="BY32" s="1457"/>
      <c r="BZ32" s="1469">
        <f t="shared" si="20"/>
        <v>25164</v>
      </c>
      <c r="CA32" s="1470">
        <f t="shared" si="60"/>
        <v>0</v>
      </c>
      <c r="CB32" s="1470">
        <f t="shared" si="22"/>
        <v>58</v>
      </c>
      <c r="CC32" s="1471">
        <f t="shared" si="56"/>
        <v>0.89</v>
      </c>
      <c r="CD32" s="1937">
        <f t="shared" si="61"/>
        <v>0.8799851742031134</v>
      </c>
      <c r="CE32" s="1815">
        <f>1</f>
        <v>1</v>
      </c>
      <c r="CF32" s="1666">
        <f t="shared" si="83"/>
        <v>19662.687927353596</v>
      </c>
      <c r="CG32" s="1667">
        <v>22344</v>
      </c>
      <c r="CH32" s="1662">
        <f t="shared" si="62"/>
        <v>2681.312072646404</v>
      </c>
      <c r="CI32" s="1548">
        <f t="shared" si="63"/>
        <v>0.13636548993468575</v>
      </c>
      <c r="CJ32" s="1805">
        <f t="shared" si="64"/>
        <v>2681.6112676056327</v>
      </c>
      <c r="CK32" s="1806">
        <f t="shared" si="65"/>
        <v>0.13638278156852829</v>
      </c>
      <c r="CL32" s="1669"/>
      <c r="CM32" s="1447">
        <f t="shared" si="29"/>
        <v>21408.522596360101</v>
      </c>
      <c r="CN32" s="1448">
        <f t="shared" si="50"/>
        <v>-8.8805784878463218E-2</v>
      </c>
    </row>
    <row r="33" spans="1:92" x14ac:dyDescent="0.3">
      <c r="A33" s="1342">
        <v>2008</v>
      </c>
      <c r="B33" s="1336">
        <v>214465</v>
      </c>
      <c r="C33" s="1469">
        <f t="shared" si="0"/>
        <v>225383</v>
      </c>
      <c r="D33" s="1537">
        <v>213607</v>
      </c>
      <c r="E33" s="1537">
        <f t="shared" ref="E33:E48" si="88">ROUND(D33*VLOOKUP(A33,BON_Count_Adjustment,5)+VLOOKUP(A33,BON_Count_Adjustment,4),0)</f>
        <v>224525</v>
      </c>
      <c r="F33" s="1537">
        <v>890</v>
      </c>
      <c r="G33" s="1508">
        <v>193739</v>
      </c>
      <c r="H33" s="1346">
        <v>161343</v>
      </c>
      <c r="I33" s="1508">
        <f t="shared" si="73"/>
        <v>165334</v>
      </c>
      <c r="J33" s="1316">
        <v>165334</v>
      </c>
      <c r="K33" s="1316">
        <v>145067</v>
      </c>
      <c r="L33" s="1315">
        <v>165334</v>
      </c>
      <c r="M33" s="1526">
        <v>28240</v>
      </c>
      <c r="N33" s="1380" t="str">
        <f t="shared" si="31"/>
        <v/>
      </c>
      <c r="O33" s="1431">
        <f t="shared" si="4"/>
        <v>0.89926708472389194</v>
      </c>
      <c r="P33" s="1544">
        <f t="shared" si="5"/>
        <v>0.85338522445145271</v>
      </c>
      <c r="Q33" s="1334">
        <f t="shared" si="6"/>
        <v>0.85338522445145271</v>
      </c>
      <c r="R33" s="1335">
        <f t="shared" si="7"/>
        <v>0.85338522445145271</v>
      </c>
      <c r="S33" s="1317">
        <v>0.83299999999999996</v>
      </c>
      <c r="T33" s="1317">
        <v>0.87662988966900701</v>
      </c>
      <c r="U33" s="1560">
        <f t="shared" ref="U33:U35" si="89">MIN(ROUND(P33,2),ROUND(1-V33,2))</f>
        <v>0.85</v>
      </c>
      <c r="V33" s="1561">
        <f t="shared" ref="V33:V35" si="90">MAX(1-P33,M33/G33)</f>
        <v>0.14661477554854729</v>
      </c>
      <c r="W33" s="1530">
        <f t="shared" si="71"/>
        <v>28405.000000000004</v>
      </c>
      <c r="X33" s="1532">
        <f t="shared" si="68"/>
        <v>9.2991871729206102E-2</v>
      </c>
      <c r="Y33" s="1316">
        <f t="shared" si="51"/>
        <v>190819.05</v>
      </c>
      <c r="Z33" s="1316">
        <f t="shared" si="52"/>
        <v>191579.00919277998</v>
      </c>
      <c r="AA33" s="1315">
        <f t="shared" si="80"/>
        <v>177934.63099999999</v>
      </c>
      <c r="AB33" s="1469">
        <f t="shared" si="69"/>
        <v>32492.777793908681</v>
      </c>
      <c r="AC33" s="1623">
        <f t="shared" si="32"/>
        <v>33674</v>
      </c>
      <c r="AD33" s="2215">
        <f t="shared" si="59"/>
        <v>190819</v>
      </c>
      <c r="AE33" s="2216">
        <f t="shared" si="34"/>
        <v>33674</v>
      </c>
      <c r="AF33" s="2209">
        <f t="shared" si="67"/>
        <v>2925.6208456432323</v>
      </c>
      <c r="AG33" s="1347">
        <v>0</v>
      </c>
      <c r="AH33" s="1530">
        <f t="shared" si="70"/>
        <v>165.00000000000364</v>
      </c>
      <c r="AI33" s="1537">
        <v>858</v>
      </c>
      <c r="AJ33" s="2300">
        <v>9017</v>
      </c>
      <c r="AK33" s="1316"/>
      <c r="AL33" s="1316"/>
      <c r="AM33" s="1316">
        <v>25</v>
      </c>
      <c r="AN33" s="1316">
        <v>2</v>
      </c>
      <c r="AO33" s="1316">
        <v>8</v>
      </c>
      <c r="AP33" s="1316">
        <f t="shared" si="84"/>
        <v>35</v>
      </c>
      <c r="AQ33" s="1563">
        <f t="shared" si="39"/>
        <v>8194</v>
      </c>
      <c r="AR33" s="1470">
        <f t="shared" si="40"/>
        <v>9052</v>
      </c>
      <c r="AS33" s="1430">
        <f t="shared" si="41"/>
        <v>1327.1569482654502</v>
      </c>
      <c r="AT33" s="1316">
        <f t="shared" si="42"/>
        <v>7687.4</v>
      </c>
      <c r="AU33" s="2300">
        <f t="shared" si="43"/>
        <v>7694.2</v>
      </c>
      <c r="AV33" s="1316">
        <f t="shared" si="10"/>
        <v>173021.4</v>
      </c>
      <c r="AW33" s="1316">
        <f t="shared" si="11"/>
        <v>173028.2</v>
      </c>
      <c r="AX33" s="1350">
        <f t="shared" si="44"/>
        <v>4.4467895984585171E-2</v>
      </c>
      <c r="AY33" s="1335">
        <f t="shared" si="13"/>
        <v>9.7220406479037458E-2</v>
      </c>
      <c r="AZ33" s="1335">
        <f t="shared" si="14"/>
        <v>9.7184775702954598E-2</v>
      </c>
      <c r="BA33" s="1316">
        <f t="shared" si="15"/>
        <v>16821.210837572133</v>
      </c>
      <c r="BB33" s="1316">
        <f t="shared" si="45"/>
        <v>16815.706807285969</v>
      </c>
      <c r="BC33" s="1316">
        <f t="shared" si="17"/>
        <v>189842.61083757214</v>
      </c>
      <c r="BD33" s="1316">
        <f t="shared" si="18"/>
        <v>189843.90680728597</v>
      </c>
      <c r="BE33" s="2302">
        <v>421</v>
      </c>
      <c r="BF33" s="1316">
        <f t="shared" si="46"/>
        <v>17790.799999999988</v>
      </c>
      <c r="BG33" s="1348">
        <f t="shared" si="47"/>
        <v>9.3233902284363651E-2</v>
      </c>
      <c r="BH33" s="1348">
        <f t="shared" si="38"/>
        <v>0.90676609771563632</v>
      </c>
      <c r="BI33" s="1348">
        <f t="shared" si="36"/>
        <v>0.71515072071608143</v>
      </c>
      <c r="BJ33" s="1344"/>
      <c r="BK33" s="1316">
        <f t="shared" si="48"/>
        <v>190819</v>
      </c>
      <c r="BL33" s="1344" t="b">
        <f t="shared" si="49"/>
        <v>1</v>
      </c>
      <c r="BM33" s="1345"/>
      <c r="BN33" s="1345"/>
      <c r="BO33" s="1345"/>
      <c r="BP33" s="1345"/>
      <c r="BQ33" s="2073">
        <v>0.93648039599999999</v>
      </c>
      <c r="BR33" s="1316">
        <f t="shared" si="85"/>
        <v>7999</v>
      </c>
      <c r="BS33" s="1316">
        <f t="shared" si="86"/>
        <v>0</v>
      </c>
      <c r="BT33" s="1316">
        <f t="shared" si="87"/>
        <v>126972</v>
      </c>
      <c r="BU33" s="1116">
        <f t="shared" ref="BU33:BU46" si="91">(BT33-BS33-BR33)/BT33</f>
        <v>0.93700185867750374</v>
      </c>
      <c r="BV33" s="1318">
        <f>SUM(BR33,BS33)/BT33</f>
        <v>6.2998141322496301E-2</v>
      </c>
      <c r="BW33" s="1808">
        <f t="shared" ref="BW33:BW40" si="92">AD33*(1-BV33)</f>
        <v>178797.7576709826</v>
      </c>
      <c r="BX33" s="2225">
        <f t="shared" ref="BX33:BX46" si="93">AD33*BV33</f>
        <v>12021.242329017421</v>
      </c>
      <c r="BY33" s="1457"/>
      <c r="BZ33" s="1469">
        <f t="shared" si="20"/>
        <v>224525</v>
      </c>
      <c r="CA33" s="1470">
        <f t="shared" ref="CA33:CA47" si="94">AI33</f>
        <v>858</v>
      </c>
      <c r="CB33" s="1470">
        <f t="shared" si="22"/>
        <v>890</v>
      </c>
      <c r="CC33" s="1471">
        <f t="shared" si="56"/>
        <v>0.85</v>
      </c>
      <c r="CD33" s="1937">
        <f t="shared" si="61"/>
        <v>0.93700185867750374</v>
      </c>
      <c r="CE33" s="1941">
        <v>0.93702366626554401</v>
      </c>
      <c r="CF33" s="1666">
        <f t="shared" si="83"/>
        <v>167537.77431256825</v>
      </c>
      <c r="CG33" s="1667">
        <f t="shared" ref="CG33:CG46" si="95">VLOOKUP(A33,OSO_SAR_Report_Table1,13)</f>
        <v>178894</v>
      </c>
      <c r="CH33" s="1662">
        <f t="shared" si="62"/>
        <v>11356.225687431754</v>
      </c>
      <c r="CI33" s="1548">
        <f t="shared" si="63"/>
        <v>6.7783075990044586E-2</v>
      </c>
      <c r="CJ33" s="1679">
        <f t="shared" si="64"/>
        <v>96.2423290174047</v>
      </c>
      <c r="CK33" s="1807">
        <f t="shared" si="65"/>
        <v>5.3827480988048227E-4</v>
      </c>
      <c r="CL33" s="1669"/>
      <c r="CM33" s="1013">
        <f t="shared" si="29"/>
        <v>179557.76686376255</v>
      </c>
      <c r="CN33" s="1014">
        <f t="shared" si="50"/>
        <v>-4.2506640054093617E-3</v>
      </c>
    </row>
    <row r="34" spans="1:92" x14ac:dyDescent="0.3">
      <c r="A34" s="1342">
        <v>2009</v>
      </c>
      <c r="B34" s="1336">
        <v>179732</v>
      </c>
      <c r="C34" s="1469">
        <f t="shared" si="0"/>
        <v>187614</v>
      </c>
      <c r="D34" s="1852">
        <v>177823</v>
      </c>
      <c r="E34" s="1852">
        <f>ROUND(D34*VLOOKUP(A34,BON_Count_Adjustment,5)+VLOOKUP(A34,BON_Count_Adjustment,4),0)+1</f>
        <v>186485</v>
      </c>
      <c r="F34" s="1537">
        <v>1414</v>
      </c>
      <c r="G34" s="1508">
        <v>162830</v>
      </c>
      <c r="H34" s="1346">
        <v>133106</v>
      </c>
      <c r="I34" s="1508">
        <f t="shared" si="73"/>
        <v>134937</v>
      </c>
      <c r="J34" s="1316">
        <v>134937</v>
      </c>
      <c r="K34" s="1316">
        <v>116964</v>
      </c>
      <c r="L34" s="1315">
        <v>134937</v>
      </c>
      <c r="M34" s="1526">
        <v>15502</v>
      </c>
      <c r="N34" s="1380" t="str">
        <f t="shared" si="31"/>
        <v/>
      </c>
      <c r="O34" s="1431">
        <f t="shared" si="4"/>
        <v>0.92298361269038698</v>
      </c>
      <c r="P34" s="1544">
        <f t="shared" si="5"/>
        <v>0.82869864275624883</v>
      </c>
      <c r="Q34" s="1334">
        <f t="shared" si="6"/>
        <v>0.82869864275624883</v>
      </c>
      <c r="R34" s="1335">
        <f t="shared" si="7"/>
        <v>0.82869864275624883</v>
      </c>
      <c r="S34" s="1317">
        <v>0.82599999999999996</v>
      </c>
      <c r="T34" s="1317">
        <v>0.84521802685402403</v>
      </c>
      <c r="U34" s="1560">
        <f t="shared" si="89"/>
        <v>0.83</v>
      </c>
      <c r="V34" s="1561">
        <f t="shared" si="90"/>
        <v>0.17130135724375117</v>
      </c>
      <c r="W34" s="1530">
        <f t="shared" si="71"/>
        <v>27893.000000000004</v>
      </c>
      <c r="X34" s="1532">
        <f t="shared" si="68"/>
        <v>6.7083143416360569E-2</v>
      </c>
      <c r="Y34" s="1316">
        <f t="shared" si="51"/>
        <v>154546</v>
      </c>
      <c r="Z34" s="1316">
        <f t="shared" si="52"/>
        <v>154303.68728121353</v>
      </c>
      <c r="AA34" s="1315">
        <f t="shared" si="80"/>
        <v>146881.79799999998</v>
      </c>
      <c r="AB34" s="1469">
        <f t="shared" si="69"/>
        <v>19192.151575963013</v>
      </c>
      <c r="AC34" s="1623">
        <f t="shared" si="32"/>
        <v>30704.38</v>
      </c>
      <c r="AD34" s="2215">
        <f t="shared" si="59"/>
        <v>154546</v>
      </c>
      <c r="AE34" s="2216">
        <f t="shared" si="34"/>
        <v>31654</v>
      </c>
      <c r="AF34" s="2209">
        <f t="shared" si="67"/>
        <v>2014.3103980473959</v>
      </c>
      <c r="AG34" s="1347">
        <v>0.03</v>
      </c>
      <c r="AH34" s="1530">
        <f t="shared" si="70"/>
        <v>12391.000000000004</v>
      </c>
      <c r="AI34" s="1537">
        <v>1129</v>
      </c>
      <c r="AJ34" s="2300">
        <v>9731</v>
      </c>
      <c r="AK34" s="1316"/>
      <c r="AL34" s="1316"/>
      <c r="AM34" s="1316">
        <v>18</v>
      </c>
      <c r="AN34" s="1316">
        <v>14</v>
      </c>
      <c r="AO34" s="1316">
        <v>20</v>
      </c>
      <c r="AP34" s="1316">
        <f t="shared" si="84"/>
        <v>52</v>
      </c>
      <c r="AQ34" s="1563">
        <f t="shared" si="39"/>
        <v>8654</v>
      </c>
      <c r="AR34" s="1470">
        <f t="shared" si="40"/>
        <v>9783</v>
      </c>
      <c r="AS34" s="1430">
        <f t="shared" si="41"/>
        <v>1675.8411779156177</v>
      </c>
      <c r="AT34" s="1316">
        <f t="shared" si="42"/>
        <v>8103.29</v>
      </c>
      <c r="AU34" s="2300">
        <f t="shared" si="43"/>
        <v>8119.8899999999994</v>
      </c>
      <c r="AV34" s="1316">
        <f t="shared" si="10"/>
        <v>143040.29</v>
      </c>
      <c r="AW34" s="1316">
        <f t="shared" si="11"/>
        <v>143056.89000000001</v>
      </c>
      <c r="AX34" s="1350">
        <f t="shared" si="44"/>
        <v>5.6759866651651648E-2</v>
      </c>
      <c r="AY34" s="1335">
        <f t="shared" si="13"/>
        <v>8.1917050726971419E-2</v>
      </c>
      <c r="AZ34" s="1335">
        <f t="shared" si="14"/>
        <v>8.1809803495290587E-2</v>
      </c>
      <c r="BA34" s="1316">
        <f t="shared" si="15"/>
        <v>11717.438691930703</v>
      </c>
      <c r="BB34" s="1316">
        <f t="shared" si="45"/>
        <v>11703.456059547401</v>
      </c>
      <c r="BC34" s="1316">
        <f t="shared" si="17"/>
        <v>154757.72869193071</v>
      </c>
      <c r="BD34" s="1316">
        <f t="shared" si="18"/>
        <v>154760.34605954742</v>
      </c>
      <c r="BE34" s="2302">
        <v>1354</v>
      </c>
      <c r="BF34" s="1316">
        <f t="shared" si="46"/>
        <v>11489.109999999986</v>
      </c>
      <c r="BG34" s="1348">
        <f t="shared" si="47"/>
        <v>7.4341037619867129E-2</v>
      </c>
      <c r="BH34" s="1348">
        <f t="shared" si="38"/>
        <v>0.9256589623801329</v>
      </c>
      <c r="BI34" s="1348">
        <f t="shared" si="36"/>
        <v>0.70341794930914447</v>
      </c>
      <c r="BJ34" s="1344"/>
      <c r="BK34" s="1316">
        <f t="shared" si="48"/>
        <v>154546</v>
      </c>
      <c r="BL34" s="1344" t="b">
        <f t="shared" si="49"/>
        <v>1</v>
      </c>
      <c r="BM34" s="1345"/>
      <c r="BN34" s="1345"/>
      <c r="BO34" s="1345"/>
      <c r="BP34" s="1345"/>
      <c r="BQ34" s="2073">
        <v>0.75281268000000001</v>
      </c>
      <c r="BR34" s="1316">
        <f t="shared" si="85"/>
        <v>9130</v>
      </c>
      <c r="BS34" s="1316">
        <f t="shared" si="86"/>
        <v>0</v>
      </c>
      <c r="BT34" s="1316">
        <f t="shared" si="87"/>
        <v>68053</v>
      </c>
      <c r="BU34" s="2070">
        <f t="shared" si="91"/>
        <v>0.86583986010903269</v>
      </c>
      <c r="BV34" s="1318">
        <f t="shared" ref="BV34:BV46" si="96">SUM(BR34,BS34)/BT34</f>
        <v>0.13416013989096734</v>
      </c>
      <c r="BW34" s="1808">
        <f t="shared" si="92"/>
        <v>133812.08702041057</v>
      </c>
      <c r="BX34" s="1936">
        <f t="shared" si="93"/>
        <v>20733.912979589437</v>
      </c>
      <c r="BY34" s="1457"/>
      <c r="BZ34" s="1469">
        <f t="shared" si="20"/>
        <v>186485</v>
      </c>
      <c r="CA34" s="1470">
        <f t="shared" si="94"/>
        <v>1129</v>
      </c>
      <c r="CB34" s="1470">
        <f t="shared" si="22"/>
        <v>1414</v>
      </c>
      <c r="CC34" s="1471">
        <f t="shared" si="56"/>
        <v>0.83</v>
      </c>
      <c r="CD34" s="1937">
        <f t="shared" si="61"/>
        <v>0.86583986010903269</v>
      </c>
      <c r="CE34" s="1941">
        <v>0.87537993920972601</v>
      </c>
      <c r="CF34" s="1666">
        <f>(BZ34+CA34-CB34)*CC34*CD34*CE34</f>
        <v>117136.41660145357</v>
      </c>
      <c r="CG34" s="1667">
        <f t="shared" si="95"/>
        <v>135329</v>
      </c>
      <c r="CH34" s="1662">
        <f t="shared" si="62"/>
        <v>18192.583398546427</v>
      </c>
      <c r="CI34" s="1550">
        <f t="shared" si="63"/>
        <v>0.15531108024624915</v>
      </c>
      <c r="CJ34" s="1679">
        <f t="shared" si="64"/>
        <v>1516.912979589426</v>
      </c>
      <c r="CK34" s="1807">
        <f t="shared" si="65"/>
        <v>1.133614319428445E-2</v>
      </c>
      <c r="CL34" s="1671"/>
      <c r="CM34" s="1013">
        <f t="shared" si="29"/>
        <v>133569.7743016241</v>
      </c>
      <c r="CN34" s="1014">
        <f t="shared" si="50"/>
        <v>1.8108432816649328E-3</v>
      </c>
    </row>
    <row r="35" spans="1:92" x14ac:dyDescent="0.3">
      <c r="A35" s="1342">
        <v>2010</v>
      </c>
      <c r="B35" s="1336">
        <v>392193</v>
      </c>
      <c r="C35" s="1469">
        <f t="shared" si="0"/>
        <v>409950</v>
      </c>
      <c r="D35" s="1537">
        <v>386525</v>
      </c>
      <c r="E35" s="1537">
        <f t="shared" si="88"/>
        <v>408346</v>
      </c>
      <c r="F35" s="1537">
        <v>1861</v>
      </c>
      <c r="G35" s="1508">
        <v>338310</v>
      </c>
      <c r="H35" s="1346">
        <v>295638</v>
      </c>
      <c r="I35" s="1508">
        <f t="shared" si="73"/>
        <v>295638</v>
      </c>
      <c r="J35" s="1316">
        <v>291764</v>
      </c>
      <c r="K35" s="1316">
        <v>255083</v>
      </c>
      <c r="L35" s="1315">
        <v>291764</v>
      </c>
      <c r="M35" s="1526">
        <v>34519</v>
      </c>
      <c r="N35" s="1380" t="str">
        <f t="shared" si="31"/>
        <v/>
      </c>
      <c r="O35" s="1431">
        <f t="shared" si="4"/>
        <v>0.88745196280314254</v>
      </c>
      <c r="P35" s="1544">
        <f t="shared" si="5"/>
        <v>0.87386716325263813</v>
      </c>
      <c r="Q35" s="1334">
        <f t="shared" si="6"/>
        <v>0.86241612722059646</v>
      </c>
      <c r="R35" s="1335">
        <f t="shared" si="7"/>
        <v>0.86241612722059646</v>
      </c>
      <c r="S35" s="1317">
        <v>0.81799999999999995</v>
      </c>
      <c r="T35" s="1317">
        <v>0.87268949753590441</v>
      </c>
      <c r="U35" s="1560">
        <f t="shared" si="89"/>
        <v>0.87</v>
      </c>
      <c r="V35" s="1561">
        <f t="shared" si="90"/>
        <v>0.12613283674736187</v>
      </c>
      <c r="W35" s="1530">
        <f t="shared" si="71"/>
        <v>42671.999999999993</v>
      </c>
      <c r="X35" s="1532">
        <f t="shared" si="68"/>
        <v>0.10297639746685409</v>
      </c>
      <c r="Y35" s="1316">
        <f t="shared" si="51"/>
        <v>355037.43</v>
      </c>
      <c r="Z35" s="1316">
        <f t="shared" si="52"/>
        <v>351942.53494132601</v>
      </c>
      <c r="AA35" s="1315">
        <f t="shared" si="80"/>
        <v>316177.44999999995</v>
      </c>
      <c r="AB35" s="1469">
        <f t="shared" si="69"/>
        <v>42839.349198049735</v>
      </c>
      <c r="AC35" s="1623">
        <f t="shared" si="32"/>
        <v>50929.919999999998</v>
      </c>
      <c r="AD35" s="2215">
        <f t="shared" si="59"/>
        <v>355037</v>
      </c>
      <c r="AE35" s="2216">
        <f t="shared" si="34"/>
        <v>53052</v>
      </c>
      <c r="AF35" s="2209">
        <f t="shared" si="67"/>
        <v>4930.6553433011277</v>
      </c>
      <c r="AG35" s="1347">
        <v>0.04</v>
      </c>
      <c r="AH35" s="1530">
        <f t="shared" si="70"/>
        <v>8152.9999999999927</v>
      </c>
      <c r="AI35" s="1537">
        <v>1604</v>
      </c>
      <c r="AJ35" s="2300">
        <v>26125</v>
      </c>
      <c r="AK35" s="1316"/>
      <c r="AL35" s="1316"/>
      <c r="AM35" s="1316">
        <v>60</v>
      </c>
      <c r="AN35" s="1316">
        <v>0</v>
      </c>
      <c r="AO35" s="1316">
        <v>689</v>
      </c>
      <c r="AP35" s="1316">
        <f t="shared" si="84"/>
        <v>749</v>
      </c>
      <c r="AQ35" s="1563">
        <f t="shared" si="39"/>
        <v>25270</v>
      </c>
      <c r="AR35" s="1470">
        <f t="shared" si="40"/>
        <v>26874</v>
      </c>
      <c r="AS35" s="1430">
        <f t="shared" si="41"/>
        <v>3389.6938547486029</v>
      </c>
      <c r="AT35" s="1316">
        <f t="shared" si="42"/>
        <v>22780.95</v>
      </c>
      <c r="AU35" s="2300">
        <f t="shared" si="43"/>
        <v>23380.38</v>
      </c>
      <c r="AV35" s="1316">
        <f t="shared" si="10"/>
        <v>318418.95</v>
      </c>
      <c r="AW35" s="1316">
        <f t="shared" si="11"/>
        <v>315144.38</v>
      </c>
      <c r="AX35" s="1350">
        <f t="shared" si="44"/>
        <v>7.4189423907860902E-2</v>
      </c>
      <c r="AY35" s="1335">
        <f t="shared" si="13"/>
        <v>0.10763226992930441</v>
      </c>
      <c r="AZ35" s="1335">
        <f t="shared" si="14"/>
        <v>0.1168496335454985</v>
      </c>
      <c r="BA35" s="1316">
        <f t="shared" si="15"/>
        <v>34272.154377005689</v>
      </c>
      <c r="BB35" s="1316">
        <f t="shared" si="45"/>
        <v>36824.505316923329</v>
      </c>
      <c r="BC35" s="1316">
        <f t="shared" si="17"/>
        <v>352691.10437700571</v>
      </c>
      <c r="BD35" s="1316">
        <f t="shared" si="18"/>
        <v>351968.88531692332</v>
      </c>
      <c r="BE35" s="2302">
        <v>9953</v>
      </c>
      <c r="BF35" s="1316">
        <f t="shared" si="46"/>
        <v>39892.619999999995</v>
      </c>
      <c r="BG35" s="1348">
        <f t="shared" si="47"/>
        <v>0.11236186650968771</v>
      </c>
      <c r="BH35" s="1348">
        <f t="shared" si="38"/>
        <v>0.88763813349031229</v>
      </c>
      <c r="BI35" s="1348">
        <f t="shared" si="36"/>
        <v>0.72042786365694333</v>
      </c>
      <c r="BJ35" s="1344"/>
      <c r="BK35" s="1316">
        <f t="shared" si="48"/>
        <v>355037</v>
      </c>
      <c r="BL35" s="1344" t="b">
        <f t="shared" si="49"/>
        <v>1</v>
      </c>
      <c r="BM35" s="1345"/>
      <c r="BN35" s="1345"/>
      <c r="BO35" s="1345"/>
      <c r="BP35" s="1345"/>
      <c r="BQ35" s="2073">
        <v>0.91353484299999999</v>
      </c>
      <c r="BR35" s="1316">
        <f t="shared" si="85"/>
        <v>8500</v>
      </c>
      <c r="BS35" s="1316">
        <f t="shared" si="86"/>
        <v>0</v>
      </c>
      <c r="BT35" s="1316">
        <f t="shared" si="87"/>
        <v>199961</v>
      </c>
      <c r="BU35" s="1116">
        <f t="shared" si="91"/>
        <v>0.95749171088362228</v>
      </c>
      <c r="BV35" s="1318">
        <f t="shared" si="96"/>
        <v>4.2508289116377697E-2</v>
      </c>
      <c r="BW35" s="1808">
        <f t="shared" si="92"/>
        <v>339944.98455698858</v>
      </c>
      <c r="BX35" s="1936">
        <f t="shared" si="93"/>
        <v>15092.015443011389</v>
      </c>
      <c r="BY35" s="1457"/>
      <c r="BZ35" s="1469">
        <f t="shared" si="20"/>
        <v>408346</v>
      </c>
      <c r="CA35" s="1470">
        <f t="shared" si="94"/>
        <v>1604</v>
      </c>
      <c r="CB35" s="1470">
        <f t="shared" si="22"/>
        <v>1861</v>
      </c>
      <c r="CC35" s="1471">
        <f t="shared" si="56"/>
        <v>0.87</v>
      </c>
      <c r="CD35" s="1937">
        <f t="shared" si="61"/>
        <v>0.95749171088362228</v>
      </c>
      <c r="CE35" s="1941">
        <v>0.96657491152182495</v>
      </c>
      <c r="CF35" s="1666">
        <f t="shared" ref="CF35:CF46" si="97">(BZ35+CA35-CB35)*CC35*CD35*CE35</f>
        <v>328582.69133006968</v>
      </c>
      <c r="CG35" s="1667">
        <f t="shared" si="95"/>
        <v>342215</v>
      </c>
      <c r="CH35" s="1662">
        <f t="shared" si="62"/>
        <v>13632.308669930324</v>
      </c>
      <c r="CI35" s="1550">
        <f t="shared" si="63"/>
        <v>4.1488212951047758E-2</v>
      </c>
      <c r="CJ35" s="1679">
        <f t="shared" si="64"/>
        <v>2270.0154430114198</v>
      </c>
      <c r="CK35" s="1807">
        <f t="shared" si="65"/>
        <v>6.6775965115934022E-3</v>
      </c>
      <c r="CL35" s="1671"/>
      <c r="CM35" s="1013">
        <f t="shared" si="29"/>
        <v>336850.51949831465</v>
      </c>
      <c r="CN35" s="1014">
        <f t="shared" si="50"/>
        <v>9.102840751442744E-3</v>
      </c>
    </row>
    <row r="36" spans="1:92" s="1449" customFormat="1" x14ac:dyDescent="0.3">
      <c r="A36" s="1553">
        <v>2011</v>
      </c>
      <c r="B36" s="1432">
        <v>187365</v>
      </c>
      <c r="C36" s="1501">
        <f t="shared" si="0"/>
        <v>196529</v>
      </c>
      <c r="D36" s="1539">
        <v>185796</v>
      </c>
      <c r="E36" s="1539">
        <f t="shared" si="88"/>
        <v>194960</v>
      </c>
      <c r="F36" s="1539">
        <v>1561</v>
      </c>
      <c r="G36" s="1509">
        <v>146111</v>
      </c>
      <c r="H36" s="1435">
        <v>132096</v>
      </c>
      <c r="I36" s="1509">
        <f t="shared" si="73"/>
        <v>132096</v>
      </c>
      <c r="J36" s="1434">
        <v>111508</v>
      </c>
      <c r="K36" s="1434">
        <v>97386</v>
      </c>
      <c r="L36" s="2266">
        <v>111508</v>
      </c>
      <c r="M36" s="1527">
        <v>17680</v>
      </c>
      <c r="N36" s="1436" t="str">
        <f t="shared" si="31"/>
        <v/>
      </c>
      <c r="O36" s="1705">
        <f t="shared" si="4"/>
        <v>0.81517870094511213</v>
      </c>
      <c r="P36" s="1816">
        <f t="shared" si="5"/>
        <v>0.90407977496560832</v>
      </c>
      <c r="Q36" s="1437">
        <f t="shared" si="6"/>
        <v>0.76317320393399535</v>
      </c>
      <c r="R36" s="1438">
        <f t="shared" si="7"/>
        <v>0.76317320393399535</v>
      </c>
      <c r="S36" s="1439">
        <v>0.7679999999999999</v>
      </c>
      <c r="T36" s="1439">
        <v>0.85363401434282982</v>
      </c>
      <c r="U36" s="1817">
        <f t="shared" ref="U36" si="98">MIN(ROUND(P36,2),ROUND(1-V36,2))</f>
        <v>0.88</v>
      </c>
      <c r="V36" s="1561">
        <f t="shared" ref="V36" si="99">MAX(1-P36,M36/G36)</f>
        <v>0.12100389429953939</v>
      </c>
      <c r="W36" s="1533">
        <f t="shared" si="71"/>
        <v>17680</v>
      </c>
      <c r="X36" s="1534">
        <f t="shared" si="68"/>
        <v>0.17662597455888387</v>
      </c>
      <c r="Y36" s="1434">
        <f t="shared" si="51"/>
        <v>171571.84</v>
      </c>
      <c r="Z36" s="1434">
        <f t="shared" si="52"/>
        <v>148794.3532246032</v>
      </c>
      <c r="AA36" s="1440">
        <f t="shared" si="80"/>
        <v>142691.32799999998</v>
      </c>
      <c r="AB36" s="1501">
        <f t="shared" si="69"/>
        <v>22986.043539792303</v>
      </c>
      <c r="AC36" s="1624">
        <f t="shared" si="32"/>
        <v>22226.2</v>
      </c>
      <c r="AD36" s="2219">
        <f t="shared" si="59"/>
        <v>171572</v>
      </c>
      <c r="AE36" s="2217">
        <f t="shared" si="34"/>
        <v>23396</v>
      </c>
      <c r="AF36" s="2210">
        <f t="shared" si="67"/>
        <v>3797.2184000013235</v>
      </c>
      <c r="AG36" s="1441">
        <v>0.05</v>
      </c>
      <c r="AH36" s="1531">
        <f t="shared" si="70"/>
        <v>0</v>
      </c>
      <c r="AI36" s="1539">
        <v>1569</v>
      </c>
      <c r="AJ36" s="2301">
        <v>12853</v>
      </c>
      <c r="AK36" s="1434"/>
      <c r="AL36" s="1434"/>
      <c r="AM36" s="1434">
        <v>270</v>
      </c>
      <c r="AN36" s="1434">
        <v>0</v>
      </c>
      <c r="AO36" s="1434">
        <v>2607</v>
      </c>
      <c r="AP36" s="1316">
        <f t="shared" si="84"/>
        <v>2877</v>
      </c>
      <c r="AQ36" s="1564">
        <f t="shared" si="39"/>
        <v>14161</v>
      </c>
      <c r="AR36" s="1505">
        <f t="shared" si="40"/>
        <v>15730</v>
      </c>
      <c r="AS36" s="1442">
        <f t="shared" si="41"/>
        <v>1508.8251397909812</v>
      </c>
      <c r="AT36" s="1434">
        <f t="shared" si="42"/>
        <v>11548.24</v>
      </c>
      <c r="AU36" s="2301">
        <f t="shared" si="43"/>
        <v>13842.4</v>
      </c>
      <c r="AV36" s="1434">
        <f t="shared" si="10"/>
        <v>143644.24</v>
      </c>
      <c r="AW36" s="1434">
        <f t="shared" si="11"/>
        <v>125350.39999999999</v>
      </c>
      <c r="AX36" s="1443">
        <f t="shared" si="44"/>
        <v>0.11042964362299602</v>
      </c>
      <c r="AY36" s="1438">
        <f t="shared" si="13"/>
        <v>0.17078841347409252</v>
      </c>
      <c r="AZ36" s="1438">
        <f t="shared" si="14"/>
        <v>0.27741774536501657</v>
      </c>
      <c r="BA36" s="1434">
        <f t="shared" si="15"/>
        <v>24532.771854291779</v>
      </c>
      <c r="BB36" s="1434">
        <f t="shared" si="45"/>
        <v>34774.42534860297</v>
      </c>
      <c r="BC36" s="1434">
        <f t="shared" si="17"/>
        <v>168177.01185429178</v>
      </c>
      <c r="BD36" s="1434">
        <f t="shared" si="18"/>
        <v>160124.82534860296</v>
      </c>
      <c r="BE36" s="2303">
        <v>109</v>
      </c>
      <c r="BF36" s="1434">
        <f t="shared" si="46"/>
        <v>46221.600000000006</v>
      </c>
      <c r="BG36" s="1444">
        <f t="shared" si="47"/>
        <v>0.26940060149674777</v>
      </c>
      <c r="BH36" s="1348">
        <f t="shared" si="38"/>
        <v>0.73059939850325228</v>
      </c>
      <c r="BI36" s="1444">
        <f t="shared" si="36"/>
        <v>0.59865874399879437</v>
      </c>
      <c r="BJ36" s="1445"/>
      <c r="BK36" s="1434">
        <f t="shared" si="48"/>
        <v>171572</v>
      </c>
      <c r="BL36" s="1445" t="b">
        <f t="shared" si="49"/>
        <v>1</v>
      </c>
      <c r="BM36" s="1446"/>
      <c r="BN36" s="1446"/>
      <c r="BO36" s="1446"/>
      <c r="BP36" s="1446"/>
      <c r="BQ36" s="2073">
        <v>0.82856981500000004</v>
      </c>
      <c r="BR36" s="1802">
        <f t="shared" si="85"/>
        <v>1103.3330000000001</v>
      </c>
      <c r="BS36" s="1802">
        <f t="shared" si="86"/>
        <v>22879</v>
      </c>
      <c r="BT36" s="1802">
        <f t="shared" si="87"/>
        <v>35900</v>
      </c>
      <c r="BU36" s="2067">
        <f t="shared" si="91"/>
        <v>0.33196844011142057</v>
      </c>
      <c r="BV36" s="1779">
        <f>SUM(BR36,BS36)/BT36</f>
        <v>0.66803155988857932</v>
      </c>
      <c r="BW36" s="1808">
        <f>AD36*(1-BV36)</f>
        <v>56956.489206796672</v>
      </c>
      <c r="BX36" s="1936">
        <f t="shared" si="93"/>
        <v>114615.51079320333</v>
      </c>
      <c r="BY36" s="1706"/>
      <c r="BZ36" s="1501">
        <f t="shared" si="20"/>
        <v>194960</v>
      </c>
      <c r="CA36" s="1505">
        <f t="shared" si="94"/>
        <v>1569</v>
      </c>
      <c r="CB36" s="1505">
        <f t="shared" si="22"/>
        <v>1561</v>
      </c>
      <c r="CC36" s="1651">
        <f t="shared" si="56"/>
        <v>0.88</v>
      </c>
      <c r="CD36" s="1938">
        <f t="shared" si="61"/>
        <v>0.33196844011142068</v>
      </c>
      <c r="CE36" s="1942">
        <v>0.95924764890282099</v>
      </c>
      <c r="CF36" s="1800">
        <f t="shared" si="97"/>
        <v>54635.327410987295</v>
      </c>
      <c r="CG36" s="1801">
        <f t="shared" si="95"/>
        <v>59581</v>
      </c>
      <c r="CH36" s="1707">
        <f t="shared" si="62"/>
        <v>4945.6725890127054</v>
      </c>
      <c r="CI36" s="1550">
        <f t="shared" si="63"/>
        <v>9.052151462019277E-2</v>
      </c>
      <c r="CJ36" s="1677">
        <f t="shared" si="64"/>
        <v>2624.5107932033279</v>
      </c>
      <c r="CK36" s="1806">
        <f t="shared" si="65"/>
        <v>4.607922345203367E-2</v>
      </c>
      <c r="CL36" s="1671"/>
      <c r="CM36" s="1447">
        <f t="shared" si="29"/>
        <v>34178.842431399869</v>
      </c>
      <c r="CN36" s="1448">
        <f t="shared" si="50"/>
        <v>0.39991311073784941</v>
      </c>
    </row>
    <row r="37" spans="1:92" x14ac:dyDescent="0.3">
      <c r="A37" s="1342">
        <v>2012</v>
      </c>
      <c r="B37" s="1336">
        <v>521159</v>
      </c>
      <c r="C37" s="1469">
        <f t="shared" si="0"/>
        <v>550232</v>
      </c>
      <c r="D37" s="1537">
        <v>515673</v>
      </c>
      <c r="E37" s="1537">
        <f t="shared" si="88"/>
        <v>545637</v>
      </c>
      <c r="F37" s="1537">
        <v>512</v>
      </c>
      <c r="G37" s="1508">
        <v>410620</v>
      </c>
      <c r="H37" s="1346">
        <v>363314</v>
      </c>
      <c r="I37" s="1508">
        <f t="shared" si="73"/>
        <v>363314</v>
      </c>
      <c r="J37" s="1316">
        <v>326107</v>
      </c>
      <c r="K37" s="1316">
        <v>300056</v>
      </c>
      <c r="L37" s="1315">
        <v>326107</v>
      </c>
      <c r="M37" s="1526">
        <v>65448</v>
      </c>
      <c r="N37" s="1380" t="str">
        <f t="shared" si="31"/>
        <v/>
      </c>
      <c r="O37" s="1431">
        <f t="shared" si="4"/>
        <v>0.82120058237204618</v>
      </c>
      <c r="P37" s="1818">
        <f t="shared" si="5"/>
        <v>0.88479372655983635</v>
      </c>
      <c r="Q37" s="1334">
        <f t="shared" si="6"/>
        <v>0.79418196873021285</v>
      </c>
      <c r="R37" s="1335">
        <f t="shared" si="7"/>
        <v>0.79418196873021285</v>
      </c>
      <c r="S37" s="1317">
        <v>0.82400000000000007</v>
      </c>
      <c r="T37" s="1317">
        <v>0.88812599785679791</v>
      </c>
      <c r="U37" s="1817">
        <f t="shared" ref="U37:U41" si="100">MIN(ROUND(P37,2),ROUND(1-V37,2))</f>
        <v>0.84</v>
      </c>
      <c r="V37" s="1561">
        <f t="shared" ref="V37:V41" si="101">MAX(1-P37,M37/G37)</f>
        <v>0.1593882421703765</v>
      </c>
      <c r="W37" s="1530">
        <f t="shared" si="71"/>
        <v>65448</v>
      </c>
      <c r="X37" s="1532">
        <f t="shared" si="68"/>
        <v>0.16339251187144566</v>
      </c>
      <c r="Y37" s="1316">
        <f t="shared" si="51"/>
        <v>461764.8</v>
      </c>
      <c r="Z37" s="1316">
        <f t="shared" si="52"/>
        <v>436577.71185037261</v>
      </c>
      <c r="AA37" s="1315">
        <f t="shared" si="80"/>
        <v>424914.55200000003</v>
      </c>
      <c r="AB37" s="1469">
        <f t="shared" si="69"/>
        <v>84075.67174473613</v>
      </c>
      <c r="AC37" s="1623">
        <f t="shared" si="32"/>
        <v>86195.9</v>
      </c>
      <c r="AD37" s="2215">
        <f t="shared" si="59"/>
        <v>461765</v>
      </c>
      <c r="AE37" s="2216">
        <f t="shared" si="34"/>
        <v>87955</v>
      </c>
      <c r="AF37" s="2209">
        <f t="shared" si="67"/>
        <v>12902.380779853764</v>
      </c>
      <c r="AG37" s="1347">
        <v>0.02</v>
      </c>
      <c r="AH37" s="1531">
        <f t="shared" si="70"/>
        <v>0</v>
      </c>
      <c r="AI37" s="1537">
        <v>4595</v>
      </c>
      <c r="AJ37" s="2300">
        <v>45352</v>
      </c>
      <c r="AK37" s="1316"/>
      <c r="AL37" s="1316"/>
      <c r="AM37" s="1405">
        <v>2663</v>
      </c>
      <c r="AN37" s="1405">
        <v>134</v>
      </c>
      <c r="AO37" s="1405">
        <v>1547</v>
      </c>
      <c r="AP37" s="1316">
        <f t="shared" si="84"/>
        <v>4344</v>
      </c>
      <c r="AQ37" s="1563">
        <f t="shared" si="39"/>
        <v>45101</v>
      </c>
      <c r="AR37" s="1470">
        <f t="shared" si="40"/>
        <v>49696</v>
      </c>
      <c r="AS37" s="1430">
        <f t="shared" si="41"/>
        <v>5725.2909648823734</v>
      </c>
      <c r="AT37" s="1316">
        <f t="shared" si="42"/>
        <v>40445.159999999996</v>
      </c>
      <c r="AU37" s="2300">
        <f t="shared" si="43"/>
        <v>41744.639999999999</v>
      </c>
      <c r="AV37" s="1316">
        <f t="shared" si="10"/>
        <v>403759.16</v>
      </c>
      <c r="AW37" s="1316">
        <f t="shared" si="11"/>
        <v>367851.64</v>
      </c>
      <c r="AX37" s="1350">
        <f t="shared" si="44"/>
        <v>0.11348227236393454</v>
      </c>
      <c r="AY37" s="1335">
        <f t="shared" si="13"/>
        <v>0.12749563048937901</v>
      </c>
      <c r="AZ37" s="1335">
        <f t="shared" si="14"/>
        <v>0.20583901192987447</v>
      </c>
      <c r="BA37" s="1316">
        <f t="shared" si="15"/>
        <v>51477.528670062056</v>
      </c>
      <c r="BB37" s="1316">
        <f t="shared" si="45"/>
        <v>75718.218114383897</v>
      </c>
      <c r="BC37" s="1316">
        <f t="shared" si="17"/>
        <v>455236.68867006205</v>
      </c>
      <c r="BD37" s="1316">
        <f t="shared" si="18"/>
        <v>443569.85811438388</v>
      </c>
      <c r="BE37" s="2302">
        <v>23253</v>
      </c>
      <c r="BF37" s="1316">
        <f t="shared" si="46"/>
        <v>93913.359999999986</v>
      </c>
      <c r="BG37" s="1348">
        <f t="shared" si="47"/>
        <v>0.20337912141457232</v>
      </c>
      <c r="BH37" s="1348">
        <f t="shared" si="38"/>
        <v>0.79662087858542763</v>
      </c>
      <c r="BI37" s="1348">
        <f t="shared" si="36"/>
        <v>0.66282438677223743</v>
      </c>
      <c r="BJ37" s="1344"/>
      <c r="BK37" s="1316">
        <f t="shared" si="48"/>
        <v>461765</v>
      </c>
      <c r="BL37" s="1344" t="b">
        <f t="shared" si="49"/>
        <v>1</v>
      </c>
      <c r="BM37" s="1345"/>
      <c r="BN37" s="1345"/>
      <c r="BO37" s="1345"/>
      <c r="BP37" s="1345"/>
      <c r="BQ37" s="2073">
        <v>0.87949323700000004</v>
      </c>
      <c r="BR37" s="1316">
        <f t="shared" si="85"/>
        <v>2704</v>
      </c>
      <c r="BS37" s="1316">
        <f t="shared" si="86"/>
        <v>10994</v>
      </c>
      <c r="BT37" s="1316">
        <f t="shared" si="87"/>
        <v>105059</v>
      </c>
      <c r="BU37" s="1116">
        <f t="shared" si="91"/>
        <v>0.86961612046564307</v>
      </c>
      <c r="BV37" s="1318">
        <f t="shared" si="96"/>
        <v>0.13038387953435687</v>
      </c>
      <c r="BW37" s="1808">
        <f>AD37*(1-BV37)</f>
        <v>401558.28786681773</v>
      </c>
      <c r="BX37" s="1936">
        <f t="shared" si="93"/>
        <v>60206.7121331823</v>
      </c>
      <c r="BY37" s="1457"/>
      <c r="BZ37" s="1469">
        <f t="shared" si="20"/>
        <v>545637</v>
      </c>
      <c r="CA37" s="1470">
        <f t="shared" si="94"/>
        <v>4595</v>
      </c>
      <c r="CB37" s="1470">
        <f t="shared" si="22"/>
        <v>512</v>
      </c>
      <c r="CC37" s="1471">
        <f t="shared" si="56"/>
        <v>0.84</v>
      </c>
      <c r="CD37" s="1937">
        <f t="shared" si="61"/>
        <v>0.86961612046564318</v>
      </c>
      <c r="CE37" s="1941">
        <v>0.97511219910240698</v>
      </c>
      <c r="CF37" s="1666">
        <f t="shared" si="97"/>
        <v>391564.21555495251</v>
      </c>
      <c r="CG37" s="1822">
        <f t="shared" si="95"/>
        <v>403813</v>
      </c>
      <c r="CH37" s="1662">
        <f t="shared" si="62"/>
        <v>12248.784445047495</v>
      </c>
      <c r="CI37" s="1550">
        <f t="shared" si="63"/>
        <v>3.12816747763522E-2</v>
      </c>
      <c r="CJ37" s="1679">
        <f t="shared" si="64"/>
        <v>2254.7121331822709</v>
      </c>
      <c r="CK37" s="1807">
        <f t="shared" si="65"/>
        <v>5.6149062323178267E-3</v>
      </c>
      <c r="CL37" s="1671"/>
      <c r="CM37" s="1013">
        <f t="shared" si="29"/>
        <v>376370.99971719028</v>
      </c>
      <c r="CN37" s="1014">
        <f t="shared" si="50"/>
        <v>6.2723865776569798E-2</v>
      </c>
    </row>
    <row r="38" spans="1:92" x14ac:dyDescent="0.3">
      <c r="A38" s="1342">
        <v>2013</v>
      </c>
      <c r="B38" s="1336">
        <v>186191</v>
      </c>
      <c r="C38" s="1469">
        <f t="shared" si="0"/>
        <v>195327</v>
      </c>
      <c r="D38" s="1537">
        <v>185505</v>
      </c>
      <c r="E38" s="1537">
        <f t="shared" si="88"/>
        <v>194651</v>
      </c>
      <c r="F38" s="1537">
        <v>1011</v>
      </c>
      <c r="G38" s="1508">
        <v>159219</v>
      </c>
      <c r="H38" s="1346">
        <v>131660</v>
      </c>
      <c r="I38" s="1508">
        <f t="shared" si="73"/>
        <v>131660</v>
      </c>
      <c r="J38" s="1316">
        <v>129993</v>
      </c>
      <c r="K38" s="1316">
        <v>113049</v>
      </c>
      <c r="L38" s="1315">
        <v>129993</v>
      </c>
      <c r="M38" s="1526">
        <v>28245</v>
      </c>
      <c r="N38" s="1380" t="str">
        <f t="shared" si="31"/>
        <v/>
      </c>
      <c r="O38" s="1431">
        <f t="shared" si="4"/>
        <v>0.8599506343539528</v>
      </c>
      <c r="P38" s="1818">
        <f t="shared" si="5"/>
        <v>0.82691136108127794</v>
      </c>
      <c r="Q38" s="1334">
        <f t="shared" si="6"/>
        <v>0.81644150509675351</v>
      </c>
      <c r="R38" s="1335">
        <f t="shared" si="7"/>
        <v>0.81644150509675351</v>
      </c>
      <c r="S38" s="1317">
        <v>0.7</v>
      </c>
      <c r="T38" s="1317">
        <v>0.83868307496053995</v>
      </c>
      <c r="U38" s="1817">
        <f t="shared" si="100"/>
        <v>0.82</v>
      </c>
      <c r="V38" s="1561">
        <f t="shared" si="101"/>
        <v>0.17739716993574886</v>
      </c>
      <c r="W38" s="1530">
        <f t="shared" si="71"/>
        <v>28244.999999999996</v>
      </c>
      <c r="X38" s="1532">
        <f t="shared" si="68"/>
        <v>0.13549891857735125</v>
      </c>
      <c r="Y38" s="1316">
        <f t="shared" si="51"/>
        <v>159339.12</v>
      </c>
      <c r="Z38" s="1316">
        <f t="shared" si="52"/>
        <v>158647.64750438076</v>
      </c>
      <c r="AA38" s="1315">
        <f t="shared" si="80"/>
        <v>129853.49999999999</v>
      </c>
      <c r="AB38" s="1469">
        <f t="shared" si="69"/>
        <v>34265.904054979612</v>
      </c>
      <c r="AC38" s="1623">
        <f t="shared" si="32"/>
        <v>33927.69</v>
      </c>
      <c r="AD38" s="2215">
        <f t="shared" si="59"/>
        <v>159339</v>
      </c>
      <c r="AE38" s="2216">
        <f t="shared" si="34"/>
        <v>34977</v>
      </c>
      <c r="AF38" s="2209">
        <f t="shared" si="67"/>
        <v>4434.200502011684</v>
      </c>
      <c r="AG38" s="1347">
        <v>0.03</v>
      </c>
      <c r="AH38" s="1531">
        <f t="shared" si="70"/>
        <v>0</v>
      </c>
      <c r="AI38" s="1537">
        <v>676</v>
      </c>
      <c r="AJ38" s="2300">
        <v>8046</v>
      </c>
      <c r="AK38" s="1316"/>
      <c r="AL38" s="1316"/>
      <c r="AM38" s="1405">
        <v>440</v>
      </c>
      <c r="AN38" s="1405">
        <v>33</v>
      </c>
      <c r="AO38" s="1405">
        <v>648</v>
      </c>
      <c r="AP38" s="1316">
        <f t="shared" si="84"/>
        <v>1121</v>
      </c>
      <c r="AQ38" s="1563">
        <f t="shared" si="39"/>
        <v>8491</v>
      </c>
      <c r="AR38" s="1470">
        <f t="shared" si="40"/>
        <v>9167</v>
      </c>
      <c r="AS38" s="1430">
        <f t="shared" si="41"/>
        <v>1586.7035529679251</v>
      </c>
      <c r="AT38" s="1316">
        <f t="shared" si="42"/>
        <v>6985.58</v>
      </c>
      <c r="AU38" s="2300">
        <f t="shared" si="43"/>
        <v>7516.94</v>
      </c>
      <c r="AV38" s="1316">
        <f t="shared" si="10"/>
        <v>138645.57999999999</v>
      </c>
      <c r="AW38" s="1316">
        <f t="shared" si="11"/>
        <v>137509.94</v>
      </c>
      <c r="AX38" s="1350">
        <f t="shared" si="44"/>
        <v>5.4664702784395072E-2</v>
      </c>
      <c r="AY38" s="1335">
        <f t="shared" si="13"/>
        <v>0.13484145671095388</v>
      </c>
      <c r="AZ38" s="1335">
        <f t="shared" si="14"/>
        <v>0.14195637946638945</v>
      </c>
      <c r="BA38" s="1316">
        <f t="shared" si="15"/>
        <v>18695.17197373509</v>
      </c>
      <c r="BB38" s="1316">
        <f t="shared" si="45"/>
        <v>19520.413223040447</v>
      </c>
      <c r="BC38" s="1316">
        <f t="shared" si="17"/>
        <v>157340.75197373508</v>
      </c>
      <c r="BD38" s="1316">
        <f t="shared" si="18"/>
        <v>157030.35322304044</v>
      </c>
      <c r="BE38" s="2302">
        <v>5197</v>
      </c>
      <c r="BF38" s="1316">
        <f t="shared" si="46"/>
        <v>21829.059999999998</v>
      </c>
      <c r="BG38" s="1348">
        <f t="shared" si="47"/>
        <v>0.13699759631979613</v>
      </c>
      <c r="BH38" s="1348">
        <f t="shared" si="38"/>
        <v>0.86300240368020387</v>
      </c>
      <c r="BI38" s="1348">
        <f t="shared" si="36"/>
        <v>0.64993364060267922</v>
      </c>
      <c r="BJ38" s="1344"/>
      <c r="BK38" s="1316">
        <f t="shared" si="48"/>
        <v>159339</v>
      </c>
      <c r="BL38" s="1344" t="b">
        <f t="shared" si="49"/>
        <v>1</v>
      </c>
      <c r="BM38" s="1345"/>
      <c r="BN38" s="1345"/>
      <c r="BO38" s="1345"/>
      <c r="BP38" s="1345"/>
      <c r="BQ38" s="2073">
        <v>0.772846594</v>
      </c>
      <c r="BR38" s="1316">
        <f t="shared" si="85"/>
        <v>6502</v>
      </c>
      <c r="BS38" s="1316">
        <f t="shared" si="86"/>
        <v>8904</v>
      </c>
      <c r="BT38" s="1316">
        <f t="shared" si="87"/>
        <v>44832</v>
      </c>
      <c r="BU38" s="1116">
        <f t="shared" si="91"/>
        <v>0.65636152748037113</v>
      </c>
      <c r="BV38" s="1318">
        <f t="shared" si="96"/>
        <v>0.34363847251962881</v>
      </c>
      <c r="BW38" s="1808">
        <f t="shared" si="92"/>
        <v>104583.98942719486</v>
      </c>
      <c r="BX38" s="1936">
        <f t="shared" si="93"/>
        <v>54755.010572805135</v>
      </c>
      <c r="BY38" s="1457"/>
      <c r="BZ38" s="1469">
        <f t="shared" si="20"/>
        <v>194651</v>
      </c>
      <c r="CA38" s="1470">
        <f t="shared" si="94"/>
        <v>676</v>
      </c>
      <c r="CB38" s="1470">
        <f t="shared" si="22"/>
        <v>1011</v>
      </c>
      <c r="CC38" s="1471">
        <f t="shared" si="56"/>
        <v>0.82</v>
      </c>
      <c r="CD38" s="1937">
        <f t="shared" si="61"/>
        <v>0.65636152748037113</v>
      </c>
      <c r="CE38" s="1941">
        <v>0.77061469265367299</v>
      </c>
      <c r="CF38" s="1666">
        <f t="shared" si="97"/>
        <v>80594.019565153169</v>
      </c>
      <c r="CG38" s="1822">
        <f t="shared" si="95"/>
        <v>98428</v>
      </c>
      <c r="CH38" s="1662">
        <f t="shared" si="62"/>
        <v>17833.980434846831</v>
      </c>
      <c r="CI38" s="1550">
        <f t="shared" si="63"/>
        <v>0.22128168480825836</v>
      </c>
      <c r="CJ38" s="1679">
        <f t="shared" si="64"/>
        <v>-6155.9894271948579</v>
      </c>
      <c r="CK38" s="1807">
        <f t="shared" si="65"/>
        <v>-5.8861681036563356E-2</v>
      </c>
      <c r="CL38" s="1671"/>
      <c r="CM38" s="1013">
        <f t="shared" si="29"/>
        <v>103892.63693157563</v>
      </c>
      <c r="CN38" s="1014">
        <f t="shared" si="50"/>
        <v>6.6105003204195538E-3</v>
      </c>
    </row>
    <row r="39" spans="1:92" x14ac:dyDescent="0.3">
      <c r="A39" s="1342">
        <v>2014</v>
      </c>
      <c r="B39" s="1336">
        <v>651146</v>
      </c>
      <c r="C39" s="1469">
        <f t="shared" si="0"/>
        <v>651702</v>
      </c>
      <c r="D39" s="1537">
        <v>614179</v>
      </c>
      <c r="E39" s="1537">
        <f t="shared" si="88"/>
        <v>650354</v>
      </c>
      <c r="F39" s="1537">
        <v>2523</v>
      </c>
      <c r="G39" s="1508">
        <v>581121</v>
      </c>
      <c r="H39" s="1346">
        <v>492892</v>
      </c>
      <c r="I39" s="1508">
        <f t="shared" si="73"/>
        <v>492892</v>
      </c>
      <c r="J39" s="1316">
        <v>490804</v>
      </c>
      <c r="K39" s="1316">
        <v>443068</v>
      </c>
      <c r="L39" s="1315">
        <v>490804</v>
      </c>
      <c r="M39" s="1526">
        <v>97672</v>
      </c>
      <c r="N39" s="1380" t="str">
        <f t="shared" si="31"/>
        <v/>
      </c>
      <c r="O39" s="1431">
        <f t="shared" si="4"/>
        <v>0.95169320262422663</v>
      </c>
      <c r="P39" s="1818">
        <f t="shared" si="5"/>
        <v>0.84817447657200484</v>
      </c>
      <c r="Q39" s="1334">
        <f t="shared" si="6"/>
        <v>0.84458142108097967</v>
      </c>
      <c r="R39" s="1335">
        <f t="shared" si="7"/>
        <v>0.84458142108097967</v>
      </c>
      <c r="S39" s="1317">
        <v>0.81100000000000017</v>
      </c>
      <c r="T39" s="1317">
        <v>0.84608240013574598</v>
      </c>
      <c r="U39" s="1817">
        <f t="shared" si="100"/>
        <v>0.83</v>
      </c>
      <c r="V39" s="1561">
        <f t="shared" si="101"/>
        <v>0.16807515130239659</v>
      </c>
      <c r="W39" s="1530">
        <f t="shared" si="71"/>
        <v>97672</v>
      </c>
      <c r="X39" s="1532">
        <f t="shared" si="68"/>
        <v>5.5366769482466473E-2</v>
      </c>
      <c r="Y39" s="1316">
        <f t="shared" si="51"/>
        <v>538818.56999999995</v>
      </c>
      <c r="Z39" s="1316">
        <f t="shared" si="52"/>
        <v>548284.52235592925</v>
      </c>
      <c r="AA39" s="1315">
        <f t="shared" si="80"/>
        <v>498099.16900000011</v>
      </c>
      <c r="AB39" s="1469">
        <f t="shared" si="69"/>
        <v>109196.27546716484</v>
      </c>
      <c r="AC39" s="1623">
        <f t="shared" si="32"/>
        <v>108152.8</v>
      </c>
      <c r="AD39" s="2215">
        <f t="shared" si="59"/>
        <v>538819</v>
      </c>
      <c r="AE39" s="2216">
        <f t="shared" si="34"/>
        <v>110360</v>
      </c>
      <c r="AF39" s="2209">
        <f t="shared" si="67"/>
        <v>5669.7314582579238</v>
      </c>
      <c r="AG39" s="1347">
        <v>0.02</v>
      </c>
      <c r="AH39" s="1531">
        <f t="shared" si="70"/>
        <v>0</v>
      </c>
      <c r="AI39" s="1537">
        <v>1348</v>
      </c>
      <c r="AJ39" s="2300">
        <v>30702</v>
      </c>
      <c r="AK39" s="1316"/>
      <c r="AL39" s="1316"/>
      <c r="AM39" s="1405">
        <v>3569</v>
      </c>
      <c r="AN39" s="1405">
        <v>1330</v>
      </c>
      <c r="AO39" s="1405">
        <v>2960</v>
      </c>
      <c r="AP39" s="1316">
        <f t="shared" si="84"/>
        <v>7859</v>
      </c>
      <c r="AQ39" s="1563">
        <f t="shared" si="39"/>
        <v>37213</v>
      </c>
      <c r="AR39" s="1470">
        <f t="shared" si="40"/>
        <v>38561</v>
      </c>
      <c r="AS39" s="1430">
        <f t="shared" si="41"/>
        <v>5854.5440089069216</v>
      </c>
      <c r="AT39" s="1316">
        <f t="shared" si="42"/>
        <v>29548.829999999998</v>
      </c>
      <c r="AU39" s="2300">
        <f t="shared" si="43"/>
        <v>32005.629999999997</v>
      </c>
      <c r="AV39" s="1316">
        <f t="shared" si="10"/>
        <v>522440.83</v>
      </c>
      <c r="AW39" s="1316">
        <f t="shared" si="11"/>
        <v>522809.63</v>
      </c>
      <c r="AX39" s="1350">
        <f t="shared" si="44"/>
        <v>6.1218516575526731E-2</v>
      </c>
      <c r="AY39" s="1335">
        <f t="shared" si="13"/>
        <v>3.4220158356018139E-2</v>
      </c>
      <c r="AZ39" s="1335">
        <f t="shared" si="14"/>
        <v>3.3536934528075837E-2</v>
      </c>
      <c r="BA39" s="1316">
        <f t="shared" si="15"/>
        <v>17878.007934249552</v>
      </c>
      <c r="BB39" s="1316">
        <f t="shared" si="45"/>
        <v>17533.432331957552</v>
      </c>
      <c r="BC39" s="1316">
        <f t="shared" si="17"/>
        <v>540318.83793424955</v>
      </c>
      <c r="BD39" s="1316">
        <f t="shared" si="18"/>
        <v>540343.06233195751</v>
      </c>
      <c r="BE39" s="2304">
        <v>22782</v>
      </c>
      <c r="BF39" s="1316">
        <f t="shared" si="46"/>
        <v>16009.369999999995</v>
      </c>
      <c r="BG39" s="1348">
        <f t="shared" si="47"/>
        <v>2.9711962644227458E-2</v>
      </c>
      <c r="BH39" s="1348">
        <f t="shared" si="38"/>
        <v>0.97028803735577251</v>
      </c>
      <c r="BI39" s="1348">
        <f t="shared" si="36"/>
        <v>0.77351005162989939</v>
      </c>
      <c r="BJ39" s="1344"/>
      <c r="BK39" s="1316">
        <f t="shared" si="48"/>
        <v>538819</v>
      </c>
      <c r="BL39" s="1344" t="b">
        <f t="shared" si="49"/>
        <v>1</v>
      </c>
      <c r="BM39" s="1345"/>
      <c r="BN39" s="1345"/>
      <c r="BO39" s="1345"/>
      <c r="BP39" s="1345"/>
      <c r="BQ39" s="2073">
        <v>0.96928358400000003</v>
      </c>
      <c r="BR39" s="1316">
        <f t="shared" si="85"/>
        <v>3910</v>
      </c>
      <c r="BS39" s="1316">
        <f t="shared" si="86"/>
        <v>49737</v>
      </c>
      <c r="BT39" s="1316">
        <f t="shared" si="87"/>
        <v>196432</v>
      </c>
      <c r="BU39" s="1116">
        <f t="shared" si="91"/>
        <v>0.72689276696261307</v>
      </c>
      <c r="BV39" s="1318">
        <f>SUM(BR39,BS39)/BT39</f>
        <v>0.27310723303738699</v>
      </c>
      <c r="BW39" s="1808">
        <f t="shared" si="92"/>
        <v>391663.6338020282</v>
      </c>
      <c r="BX39" s="1936">
        <f t="shared" si="93"/>
        <v>147155.36619797183</v>
      </c>
      <c r="BY39" s="1457"/>
      <c r="BZ39" s="1469">
        <f t="shared" si="20"/>
        <v>650354</v>
      </c>
      <c r="CA39" s="1470">
        <f t="shared" si="94"/>
        <v>1348</v>
      </c>
      <c r="CB39" s="1470">
        <f t="shared" si="22"/>
        <v>2523</v>
      </c>
      <c r="CC39" s="1471">
        <f t="shared" si="56"/>
        <v>0.83</v>
      </c>
      <c r="CD39" s="1937">
        <f t="shared" si="61"/>
        <v>0.72689276696261307</v>
      </c>
      <c r="CE39" s="1941">
        <v>0.973941368078176</v>
      </c>
      <c r="CF39" s="1666">
        <f t="shared" si="97"/>
        <v>381457.11091271462</v>
      </c>
      <c r="CG39" s="1822">
        <f t="shared" si="95"/>
        <v>392143</v>
      </c>
      <c r="CH39" s="1662">
        <f t="shared" si="62"/>
        <v>10685.889087285381</v>
      </c>
      <c r="CI39" s="1548">
        <f t="shared" si="63"/>
        <v>2.8013343522990546E-2</v>
      </c>
      <c r="CJ39" s="1679">
        <f t="shared" si="64"/>
        <v>479.36619797180174</v>
      </c>
      <c r="CK39" s="1676">
        <f t="shared" si="65"/>
        <v>1.2239231743790234E-3</v>
      </c>
      <c r="CL39" s="1669"/>
      <c r="CM39" s="1013">
        <f t="shared" si="29"/>
        <v>401129.15615795739</v>
      </c>
      <c r="CN39" s="1014">
        <f t="shared" si="50"/>
        <v>-2.4167478262007012E-2</v>
      </c>
    </row>
    <row r="40" spans="1:92" x14ac:dyDescent="0.3">
      <c r="A40" s="1342">
        <v>2015</v>
      </c>
      <c r="B40" s="1336">
        <v>512455</v>
      </c>
      <c r="C40" s="1469">
        <f t="shared" si="0"/>
        <v>542103</v>
      </c>
      <c r="D40" s="1537">
        <v>510706</v>
      </c>
      <c r="E40" s="1537">
        <f t="shared" si="88"/>
        <v>540357</v>
      </c>
      <c r="F40" s="1537">
        <v>1749</v>
      </c>
      <c r="G40" s="1508">
        <v>264678</v>
      </c>
      <c r="H40" s="1346">
        <v>216389</v>
      </c>
      <c r="I40" s="1508">
        <f t="shared" si="73"/>
        <v>216389</v>
      </c>
      <c r="J40" s="1316">
        <v>187055</v>
      </c>
      <c r="K40" s="1316">
        <v>157149</v>
      </c>
      <c r="L40" s="1315">
        <v>187055</v>
      </c>
      <c r="M40" s="1526">
        <v>49779</v>
      </c>
      <c r="N40" s="1380" t="str">
        <f t="shared" si="31"/>
        <v/>
      </c>
      <c r="O40" s="1431">
        <f t="shared" si="4"/>
        <v>0.52132402967203706</v>
      </c>
      <c r="P40" s="1818">
        <f t="shared" si="5"/>
        <v>0.81755567141961172</v>
      </c>
      <c r="Q40" s="1334">
        <f t="shared" si="6"/>
        <v>0.70672666409750717</v>
      </c>
      <c r="R40" s="1335">
        <f t="shared" si="7"/>
        <v>0.70672666409750717</v>
      </c>
      <c r="S40" s="1317">
        <v>0.78400000000000003</v>
      </c>
      <c r="T40" s="1317">
        <v>0.72614743814231109</v>
      </c>
      <c r="U40" s="1817">
        <f t="shared" si="100"/>
        <v>0.81</v>
      </c>
      <c r="V40" s="1561">
        <f t="shared" si="101"/>
        <v>0.18807381044136648</v>
      </c>
      <c r="W40" s="1530">
        <f t="shared" si="71"/>
        <v>49779</v>
      </c>
      <c r="X40" s="1532">
        <f t="shared" si="68"/>
        <v>0.45124797124863747</v>
      </c>
      <c r="Y40" s="1316">
        <f t="shared" si="51"/>
        <v>437686.74000000005</v>
      </c>
      <c r="Z40" s="1316">
        <f t="shared" si="52"/>
        <v>381882.57985174441</v>
      </c>
      <c r="AA40" s="1315">
        <f t="shared" si="80"/>
        <v>400393.50400000002</v>
      </c>
      <c r="AB40" s="1469">
        <f t="shared" si="69"/>
        <v>98675.468376372519</v>
      </c>
      <c r="AC40" s="1623">
        <f t="shared" si="32"/>
        <v>99586.99</v>
      </c>
      <c r="AD40" s="2215">
        <f t="shared" si="59"/>
        <v>437687</v>
      </c>
      <c r="AE40" s="2216">
        <f t="shared" si="34"/>
        <v>102667</v>
      </c>
      <c r="AF40" s="2209">
        <f t="shared" si="67"/>
        <v>42939.557752812325</v>
      </c>
      <c r="AG40" s="1347">
        <v>0.03</v>
      </c>
      <c r="AH40" s="1531">
        <f t="shared" si="70"/>
        <v>0</v>
      </c>
      <c r="AI40" s="1537">
        <v>1746</v>
      </c>
      <c r="AJ40" s="2300">
        <v>30095</v>
      </c>
      <c r="AK40" s="1316"/>
      <c r="AL40" s="1316"/>
      <c r="AM40" s="1405">
        <v>269.2692721921199</v>
      </c>
      <c r="AN40" s="1405">
        <v>1735.9469278519944</v>
      </c>
      <c r="AO40" s="1405">
        <v>550.3499749163534</v>
      </c>
      <c r="AP40" s="1316">
        <f t="shared" si="84"/>
        <v>2555.5661749604678</v>
      </c>
      <c r="AQ40" s="1563">
        <f t="shared" si="39"/>
        <v>30904.56617496047</v>
      </c>
      <c r="AR40" s="1470">
        <f t="shared" si="40"/>
        <v>32650.56617496047</v>
      </c>
      <c r="AS40" s="1430">
        <f t="shared" si="41"/>
        <v>5956.9106235601994</v>
      </c>
      <c r="AT40" s="1316">
        <f t="shared" si="42"/>
        <v>26001.175122035736</v>
      </c>
      <c r="AU40" s="2300">
        <f t="shared" si="43"/>
        <v>26446.958601717983</v>
      </c>
      <c r="AV40" s="1316">
        <f t="shared" si="10"/>
        <v>242390.17512203573</v>
      </c>
      <c r="AW40" s="1316">
        <f t="shared" si="11"/>
        <v>213501.95860171798</v>
      </c>
      <c r="AX40" s="1350">
        <f t="shared" si="44"/>
        <v>0.12387220602062042</v>
      </c>
      <c r="AY40" s="1335">
        <f t="shared" si="13"/>
        <v>0.44943596588867912</v>
      </c>
      <c r="AZ40" s="1335">
        <f t="shared" si="14"/>
        <v>0.51543763670981868</v>
      </c>
      <c r="BA40" s="1316">
        <f t="shared" si="15"/>
        <v>108938.8624778982</v>
      </c>
      <c r="BB40" s="1316">
        <f t="shared" si="45"/>
        <v>110046.94497458707</v>
      </c>
      <c r="BC40" s="1316">
        <f t="shared" si="17"/>
        <v>351329.03759993392</v>
      </c>
      <c r="BD40" s="1316">
        <f t="shared" si="18"/>
        <v>323548.90357630502</v>
      </c>
      <c r="BE40" s="2302">
        <v>25038</v>
      </c>
      <c r="BF40" s="1316">
        <f t="shared" si="46"/>
        <v>224185.04139828202</v>
      </c>
      <c r="BG40" s="1348">
        <f t="shared" si="47"/>
        <v>0.51220402113446828</v>
      </c>
      <c r="BH40" s="1348">
        <f t="shared" si="38"/>
        <v>0.48779597886553172</v>
      </c>
      <c r="BI40" s="1348">
        <f t="shared" si="36"/>
        <v>0.35949442262616454</v>
      </c>
      <c r="BJ40" s="1344"/>
      <c r="BK40" s="1316">
        <f t="shared" si="48"/>
        <v>437687</v>
      </c>
      <c r="BL40" s="1344" t="b">
        <f t="shared" si="49"/>
        <v>1</v>
      </c>
      <c r="BM40" s="1345"/>
      <c r="BN40" s="1345"/>
      <c r="BO40" s="1345"/>
      <c r="BP40" s="1345"/>
      <c r="BQ40" s="2073">
        <v>0.97961179899999995</v>
      </c>
      <c r="BR40" s="1316">
        <f t="shared" si="85"/>
        <v>170</v>
      </c>
      <c r="BS40" s="1316">
        <f t="shared" si="86"/>
        <v>14407</v>
      </c>
      <c r="BT40" s="1316">
        <f t="shared" si="87"/>
        <v>24848</v>
      </c>
      <c r="BU40" s="1116">
        <f t="shared" si="91"/>
        <v>0.41335318737926596</v>
      </c>
      <c r="BV40" s="1318">
        <f t="shared" si="96"/>
        <v>0.58664681262073404</v>
      </c>
      <c r="BW40" s="1808">
        <f t="shared" si="92"/>
        <v>180919.31652446877</v>
      </c>
      <c r="BX40" s="1936">
        <f t="shared" si="93"/>
        <v>256767.68347553123</v>
      </c>
      <c r="BY40" s="1457"/>
      <c r="BZ40" s="1469">
        <f t="shared" si="20"/>
        <v>540357</v>
      </c>
      <c r="CA40" s="1470">
        <f t="shared" si="94"/>
        <v>1746</v>
      </c>
      <c r="CB40" s="1470">
        <f t="shared" si="22"/>
        <v>1749</v>
      </c>
      <c r="CC40" s="1471">
        <f t="shared" si="56"/>
        <v>0.81</v>
      </c>
      <c r="CD40" s="1937">
        <f t="shared" si="61"/>
        <v>0.41335318737926596</v>
      </c>
      <c r="CE40" s="1941">
        <v>0.97972972972973005</v>
      </c>
      <c r="CF40" s="1666">
        <f t="shared" si="97"/>
        <v>177251.92778805958</v>
      </c>
      <c r="CG40" s="1822">
        <f t="shared" si="95"/>
        <v>180118</v>
      </c>
      <c r="CH40" s="1662">
        <f t="shared" si="62"/>
        <v>2866.0722119404236</v>
      </c>
      <c r="CI40" s="1548">
        <f t="shared" si="63"/>
        <v>1.616948400903933E-2</v>
      </c>
      <c r="CJ40" s="1679">
        <f t="shared" si="64"/>
        <v>-801.31652446876979</v>
      </c>
      <c r="CK40" s="1676">
        <f t="shared" si="65"/>
        <v>-4.429137473335492E-3</v>
      </c>
      <c r="CL40" s="1669"/>
      <c r="CM40" s="1013">
        <f t="shared" si="29"/>
        <v>125114.89637621318</v>
      </c>
      <c r="CN40" s="1014">
        <f t="shared" si="50"/>
        <v>0.30844920940605158</v>
      </c>
    </row>
    <row r="41" spans="1:92" x14ac:dyDescent="0.3">
      <c r="A41" s="1342">
        <v>2016</v>
      </c>
      <c r="B41" s="1336">
        <v>356606</v>
      </c>
      <c r="C41" s="1469">
        <f t="shared" si="0"/>
        <v>363350</v>
      </c>
      <c r="D41" s="1537">
        <v>342498</v>
      </c>
      <c r="E41" s="1537">
        <f t="shared" si="88"/>
        <v>361543</v>
      </c>
      <c r="F41" s="1537">
        <v>946</v>
      </c>
      <c r="G41" s="1508">
        <v>310341</v>
      </c>
      <c r="H41" s="1346">
        <v>235925</v>
      </c>
      <c r="I41" s="1508">
        <f t="shared" si="73"/>
        <v>235925</v>
      </c>
      <c r="J41" s="1316">
        <v>216036</v>
      </c>
      <c r="K41" s="1316">
        <v>183730</v>
      </c>
      <c r="L41" s="1315">
        <v>216036</v>
      </c>
      <c r="M41" s="1526">
        <v>73619</v>
      </c>
      <c r="N41" s="1380" t="str">
        <f t="shared" si="31"/>
        <v/>
      </c>
      <c r="O41" s="1431">
        <f t="shared" si="4"/>
        <v>0.90278917145200988</v>
      </c>
      <c r="P41" s="1544">
        <f t="shared" si="5"/>
        <v>0.7602121537276737</v>
      </c>
      <c r="Q41" s="1334">
        <f t="shared" si="6"/>
        <v>0.69612458553655499</v>
      </c>
      <c r="R41" s="1335">
        <f t="shared" si="7"/>
        <v>0.69612458553655499</v>
      </c>
      <c r="S41" s="1317">
        <v>0.70099999999999996</v>
      </c>
      <c r="T41" s="1317">
        <v>0.73560301084842705</v>
      </c>
      <c r="U41" s="1560">
        <f t="shared" si="100"/>
        <v>0.76</v>
      </c>
      <c r="V41" s="1561">
        <f t="shared" si="101"/>
        <v>0.2397878462723263</v>
      </c>
      <c r="W41" s="1530">
        <f t="shared" si="71"/>
        <v>74416.000000000015</v>
      </c>
      <c r="X41" s="1532">
        <f t="shared" si="68"/>
        <v>9.2860323668277359E-2</v>
      </c>
      <c r="Y41" s="1316">
        <f t="shared" si="51"/>
        <v>275427.03999999998</v>
      </c>
      <c r="Z41" s="1316">
        <f t="shared" si="52"/>
        <v>252278.33429678966</v>
      </c>
      <c r="AA41" s="1315">
        <f t="shared" si="80"/>
        <v>240091.098</v>
      </c>
      <c r="AB41" s="1469">
        <f t="shared" si="69"/>
        <v>85704.230849186017</v>
      </c>
      <c r="AC41" s="1623">
        <f t="shared" si="32"/>
        <v>86977</v>
      </c>
      <c r="AD41" s="2215">
        <f t="shared" si="59"/>
        <v>275427</v>
      </c>
      <c r="AE41" s="2216">
        <f t="shared" si="34"/>
        <v>86977</v>
      </c>
      <c r="AF41" s="2209">
        <f t="shared" si="67"/>
        <v>7614.1466675922238</v>
      </c>
      <c r="AG41" s="1347">
        <v>0</v>
      </c>
      <c r="AH41" s="1530">
        <f t="shared" si="70"/>
        <v>797.00000000001455</v>
      </c>
      <c r="AI41" s="1537">
        <v>1807</v>
      </c>
      <c r="AJ41" s="2300">
        <v>16683</v>
      </c>
      <c r="AK41" s="1316"/>
      <c r="AL41" s="1316"/>
      <c r="AM41" s="1405">
        <v>366</v>
      </c>
      <c r="AN41" s="1405">
        <v>437</v>
      </c>
      <c r="AO41" s="1405">
        <v>1160</v>
      </c>
      <c r="AP41" s="1316">
        <f t="shared" si="84"/>
        <v>1963</v>
      </c>
      <c r="AQ41" s="1563">
        <f t="shared" si="39"/>
        <v>16839</v>
      </c>
      <c r="AR41" s="1470">
        <f t="shared" si="40"/>
        <v>18646</v>
      </c>
      <c r="AS41" s="1430">
        <f t="shared" si="41"/>
        <v>4471.0841815937965</v>
      </c>
      <c r="AT41" s="1316">
        <f t="shared" si="42"/>
        <v>13289.36</v>
      </c>
      <c r="AU41" s="2300">
        <f t="shared" si="43"/>
        <v>14170.960000000001</v>
      </c>
      <c r="AV41" s="1316">
        <f t="shared" si="10"/>
        <v>249214.36</v>
      </c>
      <c r="AW41" s="1316">
        <f t="shared" si="11"/>
        <v>230206.96</v>
      </c>
      <c r="AX41" s="1350">
        <f t="shared" si="44"/>
        <v>6.1557478540179678E-2</v>
      </c>
      <c r="AY41" s="1335">
        <f t="shared" si="13"/>
        <v>9.8014256730327015E-2</v>
      </c>
      <c r="AZ41" s="1335">
        <f t="shared" si="14"/>
        <v>0.16718925622445432</v>
      </c>
      <c r="BA41" s="1316">
        <f t="shared" si="15"/>
        <v>24426.56026192414</v>
      </c>
      <c r="BB41" s="1316">
        <f t="shared" si="45"/>
        <v>38488.130420092704</v>
      </c>
      <c r="BC41" s="1316">
        <f t="shared" si="17"/>
        <v>273640.92026192416</v>
      </c>
      <c r="BD41" s="1316">
        <f t="shared" si="18"/>
        <v>268695.09042009269</v>
      </c>
      <c r="BE41" s="2302">
        <v>4610</v>
      </c>
      <c r="BF41" s="1316">
        <f t="shared" si="46"/>
        <v>45220.040000000008</v>
      </c>
      <c r="BG41" s="1348">
        <f t="shared" si="47"/>
        <v>0.16418157987415907</v>
      </c>
      <c r="BH41" s="1348">
        <f t="shared" si="38"/>
        <v>0.83581842012584096</v>
      </c>
      <c r="BI41" s="1348">
        <f t="shared" si="36"/>
        <v>0.57781639600815182</v>
      </c>
      <c r="BJ41" s="1344"/>
      <c r="BK41" s="1316">
        <f t="shared" si="48"/>
        <v>275427</v>
      </c>
      <c r="BL41" s="1344" t="b">
        <f t="shared" si="49"/>
        <v>1</v>
      </c>
      <c r="BM41" s="1345"/>
      <c r="BN41" s="1345"/>
      <c r="BO41" s="1345"/>
      <c r="BP41" s="1345"/>
      <c r="BQ41" s="2073">
        <v>0.99157803799999999</v>
      </c>
      <c r="BR41" s="1316">
        <f t="shared" si="85"/>
        <v>380</v>
      </c>
      <c r="BS41" s="1316">
        <f t="shared" si="86"/>
        <v>36853</v>
      </c>
      <c r="BT41" s="1316">
        <f t="shared" si="87"/>
        <v>91665.565999999992</v>
      </c>
      <c r="BU41" s="1116">
        <f t="shared" si="91"/>
        <v>0.59381694103105187</v>
      </c>
      <c r="BV41" s="1318">
        <f t="shared" si="96"/>
        <v>0.40618305896894807</v>
      </c>
      <c r="BW41" s="1808">
        <f t="shared" ref="BW41:BW46" si="102">AD41*CD41*CE41</f>
        <v>162368.05036650912</v>
      </c>
      <c r="BX41" s="1936">
        <f t="shared" si="93"/>
        <v>111873.78138264046</v>
      </c>
      <c r="BY41" s="1457"/>
      <c r="BZ41" s="1469">
        <f t="shared" si="20"/>
        <v>361543</v>
      </c>
      <c r="CA41" s="1470">
        <f t="shared" si="94"/>
        <v>1807</v>
      </c>
      <c r="CB41" s="1470">
        <f t="shared" si="22"/>
        <v>946</v>
      </c>
      <c r="CC41" s="1471">
        <f t="shared" si="56"/>
        <v>0.76</v>
      </c>
      <c r="CD41" s="1937">
        <f t="shared" si="61"/>
        <v>0.59381694103105187</v>
      </c>
      <c r="CE41" s="1941">
        <v>0.99275362318840599</v>
      </c>
      <c r="CF41" s="1666">
        <f t="shared" si="97"/>
        <v>162368.07394706592</v>
      </c>
      <c r="CG41" s="1822">
        <f t="shared" si="95"/>
        <v>163322</v>
      </c>
      <c r="CH41" s="1662">
        <f t="shared" si="62"/>
        <v>953.92605293408269</v>
      </c>
      <c r="CI41" s="1548">
        <f t="shared" si="63"/>
        <v>5.8750838742170144E-3</v>
      </c>
      <c r="CJ41" s="1679">
        <f t="shared" si="64"/>
        <v>953.94963349087629</v>
      </c>
      <c r="CK41" s="1676">
        <f t="shared" si="65"/>
        <v>5.8752299564942172E-3</v>
      </c>
      <c r="CL41" s="1669"/>
      <c r="CM41" s="1013">
        <f t="shared" si="29"/>
        <v>140404.55291414919</v>
      </c>
      <c r="CN41" s="1014">
        <f t="shared" si="50"/>
        <v>0.13526982311349009</v>
      </c>
    </row>
    <row r="42" spans="1:92" s="1449" customFormat="1" x14ac:dyDescent="0.3">
      <c r="A42" s="1704">
        <v>2017</v>
      </c>
      <c r="B42" s="1432">
        <v>88263</v>
      </c>
      <c r="C42" s="1501">
        <f t="shared" si="0"/>
        <v>91242</v>
      </c>
      <c r="D42" s="1539">
        <v>87693</v>
      </c>
      <c r="E42" s="1852">
        <f>ROUND(D42*VLOOKUP(A42,BON_Count_Adjustment,5)+VLOOKUP(A42,BON_Count_Adjustment,4),0)+1</f>
        <v>90672</v>
      </c>
      <c r="F42" s="1539">
        <v>444</v>
      </c>
      <c r="G42" s="1509">
        <v>73218</v>
      </c>
      <c r="H42" s="1435">
        <v>46701</v>
      </c>
      <c r="I42" s="1509">
        <f t="shared" si="73"/>
        <v>46701</v>
      </c>
      <c r="J42" s="1434">
        <v>42299</v>
      </c>
      <c r="K42" s="1434">
        <v>36720</v>
      </c>
      <c r="L42" s="1440">
        <v>42299</v>
      </c>
      <c r="M42" s="1527">
        <v>23845</v>
      </c>
      <c r="N42" s="1436" t="str">
        <f t="shared" si="31"/>
        <v/>
      </c>
      <c r="O42" s="1705">
        <f t="shared" si="4"/>
        <v>0.85090706241937542</v>
      </c>
      <c r="P42" s="1545">
        <f t="shared" si="5"/>
        <v>0.63783495861673356</v>
      </c>
      <c r="Q42" s="1437">
        <f t="shared" si="6"/>
        <v>0.57771313065093288</v>
      </c>
      <c r="R42" s="1438">
        <f t="shared" si="7"/>
        <v>0.57771313065093288</v>
      </c>
      <c r="S42" s="1439">
        <v>0.59199999999999997</v>
      </c>
      <c r="T42" s="1439"/>
      <c r="U42" s="1560">
        <f t="shared" ref="U42:U48" si="103">MIN(ROUND(P42,2),ROUND(1-V42,2))</f>
        <v>0.64</v>
      </c>
      <c r="V42" s="1561">
        <f t="shared" ref="V42:V48" si="104">MAX(1-P42,M42/G42)</f>
        <v>0.36216504138326644</v>
      </c>
      <c r="W42" s="1533">
        <f t="shared" si="71"/>
        <v>26517.000000000004</v>
      </c>
      <c r="X42" s="1534">
        <f t="shared" si="68"/>
        <v>0.13819040056467266</v>
      </c>
      <c r="Y42" s="1434">
        <f t="shared" si="51"/>
        <v>58110.720000000001</v>
      </c>
      <c r="Z42" s="1434">
        <f t="shared" si="52"/>
        <v>52455.196836843403</v>
      </c>
      <c r="AA42" s="1440">
        <f t="shared" si="80"/>
        <v>51914.255999999994</v>
      </c>
      <c r="AB42" s="1501">
        <f t="shared" si="69"/>
        <v>29843.576111680693</v>
      </c>
      <c r="AC42" s="1624">
        <f t="shared" si="32"/>
        <v>32687</v>
      </c>
      <c r="AD42" s="2219">
        <f t="shared" si="59"/>
        <v>58111</v>
      </c>
      <c r="AE42" s="2217">
        <f t="shared" si="34"/>
        <v>32687</v>
      </c>
      <c r="AF42" s="2210">
        <f t="shared" si="67"/>
        <v>4277.9300000687954</v>
      </c>
      <c r="AG42" s="1441">
        <v>0</v>
      </c>
      <c r="AH42" s="1533">
        <f t="shared" si="70"/>
        <v>2672.0000000000036</v>
      </c>
      <c r="AI42" s="1539">
        <v>570</v>
      </c>
      <c r="AJ42" s="2301">
        <v>4480</v>
      </c>
      <c r="AK42" s="1434"/>
      <c r="AL42" s="1434"/>
      <c r="AM42" s="1451">
        <v>222</v>
      </c>
      <c r="AN42" s="1451">
        <v>23</v>
      </c>
      <c r="AO42" s="1451">
        <v>26</v>
      </c>
      <c r="AP42" s="1316">
        <f t="shared" si="84"/>
        <v>271</v>
      </c>
      <c r="AQ42" s="1564">
        <f t="shared" si="39"/>
        <v>4181</v>
      </c>
      <c r="AR42" s="1505">
        <f t="shared" si="40"/>
        <v>4751</v>
      </c>
      <c r="AS42" s="1442">
        <f t="shared" si="41"/>
        <v>1720.646111611899</v>
      </c>
      <c r="AT42" s="1434">
        <f t="shared" si="42"/>
        <v>3024</v>
      </c>
      <c r="AU42" s="2301">
        <f t="shared" si="43"/>
        <v>3040.64</v>
      </c>
      <c r="AV42" s="1434">
        <f t="shared" si="10"/>
        <v>49725</v>
      </c>
      <c r="AW42" s="1434">
        <f t="shared" si="11"/>
        <v>45339.64</v>
      </c>
      <c r="AX42" s="1443">
        <f t="shared" si="44"/>
        <v>6.7063611444643137E-2</v>
      </c>
      <c r="AY42" s="1438">
        <f t="shared" si="13"/>
        <v>0.14940320606140817</v>
      </c>
      <c r="AZ42" s="1438">
        <f t="shared" si="14"/>
        <v>0.22497366882830425</v>
      </c>
      <c r="BA42" s="1434">
        <f t="shared" si="15"/>
        <v>7429.0744214035212</v>
      </c>
      <c r="BB42" s="1434">
        <f t="shared" si="45"/>
        <v>10200.225154154536</v>
      </c>
      <c r="BC42" s="1434">
        <f t="shared" si="17"/>
        <v>57154.074421403522</v>
      </c>
      <c r="BD42" s="1434">
        <f t="shared" si="18"/>
        <v>55539.865154154533</v>
      </c>
      <c r="BE42" s="2303">
        <v>2338</v>
      </c>
      <c r="BF42" s="1434">
        <f t="shared" si="46"/>
        <v>12771.36</v>
      </c>
      <c r="BG42" s="1444">
        <f t="shared" si="47"/>
        <v>0.21977525769647743</v>
      </c>
      <c r="BH42" s="1348">
        <f t="shared" si="38"/>
        <v>0.78022474230352257</v>
      </c>
      <c r="BI42" s="1444">
        <f t="shared" si="36"/>
        <v>0.45340722748680051</v>
      </c>
      <c r="BJ42" s="1445"/>
      <c r="BK42" s="1434">
        <f t="shared" si="48"/>
        <v>58111</v>
      </c>
      <c r="BL42" s="1445" t="b">
        <f t="shared" si="49"/>
        <v>1</v>
      </c>
      <c r="BM42" s="1446"/>
      <c r="BN42" s="1446"/>
      <c r="BO42" s="1446"/>
      <c r="BP42" s="1446"/>
      <c r="BQ42" s="2073">
        <v>0.99802788600000003</v>
      </c>
      <c r="BR42" s="1434">
        <f t="shared" si="85"/>
        <v>0</v>
      </c>
      <c r="BS42" s="1316">
        <f t="shared" si="86"/>
        <v>27136</v>
      </c>
      <c r="BT42" s="1434">
        <f t="shared" si="87"/>
        <v>37194</v>
      </c>
      <c r="BU42" s="2068">
        <f t="shared" si="91"/>
        <v>0.27041996020863579</v>
      </c>
      <c r="BV42" s="1650">
        <f>SUM(BR42,BS42)/BT42</f>
        <v>0.72958003979136421</v>
      </c>
      <c r="BW42" s="1808">
        <f t="shared" si="102"/>
        <v>15714.374307684035</v>
      </c>
      <c r="BX42" s="1936">
        <f t="shared" si="93"/>
        <v>42396.625692315967</v>
      </c>
      <c r="BY42" s="1706"/>
      <c r="BZ42" s="1501">
        <f t="shared" si="20"/>
        <v>90672</v>
      </c>
      <c r="CA42" s="1505">
        <f t="shared" si="94"/>
        <v>570</v>
      </c>
      <c r="CB42" s="1505">
        <f t="shared" si="22"/>
        <v>444</v>
      </c>
      <c r="CC42" s="1651">
        <f t="shared" si="56"/>
        <v>0.64</v>
      </c>
      <c r="CD42" s="1937">
        <f t="shared" si="61"/>
        <v>0.27041996020863579</v>
      </c>
      <c r="CE42" s="1942">
        <v>1</v>
      </c>
      <c r="CF42" s="1666">
        <f t="shared" si="97"/>
        <v>15714.298590095177</v>
      </c>
      <c r="CG42" s="1822">
        <f t="shared" si="95"/>
        <v>15680</v>
      </c>
      <c r="CH42" s="1707">
        <f t="shared" si="62"/>
        <v>-34.298590095177133</v>
      </c>
      <c r="CI42" s="1550">
        <f t="shared" si="63"/>
        <v>-2.1826357631256768E-3</v>
      </c>
      <c r="CJ42" s="1677">
        <f t="shared" si="64"/>
        <v>-34.374307684034648</v>
      </c>
      <c r="CK42" s="1708">
        <f t="shared" si="65"/>
        <v>-2.1874436112436406E-3</v>
      </c>
      <c r="CL42" s="1671"/>
      <c r="CM42" s="1447">
        <f t="shared" si="29"/>
        <v>10058.571144527436</v>
      </c>
      <c r="CN42" s="1448">
        <f t="shared" si="50"/>
        <v>0.35991271764419008</v>
      </c>
    </row>
    <row r="43" spans="1:92" x14ac:dyDescent="0.3">
      <c r="A43" s="1342">
        <v>2018</v>
      </c>
      <c r="B43" s="1336">
        <v>210915</v>
      </c>
      <c r="C43" s="1469">
        <f t="shared" si="0"/>
        <v>203637</v>
      </c>
      <c r="D43" s="1537">
        <v>193816</v>
      </c>
      <c r="E43" s="1537">
        <f t="shared" si="88"/>
        <v>203486</v>
      </c>
      <c r="F43" s="1537">
        <v>297</v>
      </c>
      <c r="G43" s="1508">
        <v>172009</v>
      </c>
      <c r="H43" s="1346">
        <v>162684</v>
      </c>
      <c r="I43" s="1508">
        <f t="shared" si="73"/>
        <v>162684</v>
      </c>
      <c r="J43" s="1316">
        <v>153637</v>
      </c>
      <c r="K43" s="1316">
        <v>129762</v>
      </c>
      <c r="L43" s="1315">
        <v>153637</v>
      </c>
      <c r="M43" s="1526">
        <v>13976</v>
      </c>
      <c r="N43" s="1380" t="str">
        <f t="shared" si="31"/>
        <v/>
      </c>
      <c r="O43" s="1431">
        <f t="shared" si="4"/>
        <v>0.89088291199883984</v>
      </c>
      <c r="P43" s="1818">
        <f t="shared" si="5"/>
        <v>0.94578772040997849</v>
      </c>
      <c r="Q43" s="1334">
        <f t="shared" si="6"/>
        <v>0.89319163532140755</v>
      </c>
      <c r="R43" s="1335">
        <f t="shared" si="7"/>
        <v>0.89319163532140755</v>
      </c>
      <c r="S43" s="1317">
        <v>0.90199999999999991</v>
      </c>
      <c r="T43" s="1317"/>
      <c r="U43" s="1817">
        <f t="shared" si="103"/>
        <v>0.92</v>
      </c>
      <c r="V43" s="1561">
        <f t="shared" si="104"/>
        <v>8.1251562418245563E-2</v>
      </c>
      <c r="W43" s="1530">
        <f t="shared" si="71"/>
        <v>13976.000000000002</v>
      </c>
      <c r="X43" s="1532">
        <f t="shared" si="68"/>
        <v>0.11527082944281179</v>
      </c>
      <c r="Y43" s="1316">
        <f t="shared" si="51"/>
        <v>187072.80000000002</v>
      </c>
      <c r="Z43" s="1316">
        <f t="shared" si="52"/>
        <v>181621.58712625501</v>
      </c>
      <c r="AA43" s="1315">
        <f t="shared" si="80"/>
        <v>174822.03199999998</v>
      </c>
      <c r="AB43" s="1469">
        <f t="shared" si="69"/>
        <v>16339.312999983656</v>
      </c>
      <c r="AC43" s="1623">
        <f t="shared" si="32"/>
        <v>16267</v>
      </c>
      <c r="AD43" s="2215">
        <f t="shared" si="59"/>
        <v>187073</v>
      </c>
      <c r="AE43" s="2216">
        <f t="shared" si="34"/>
        <v>16267</v>
      </c>
      <c r="AF43" s="2209">
        <f t="shared" si="67"/>
        <v>1806.9323745512659</v>
      </c>
      <c r="AG43" s="1347">
        <v>0</v>
      </c>
      <c r="AH43" s="1531">
        <f t="shared" si="70"/>
        <v>0</v>
      </c>
      <c r="AI43" s="1537">
        <v>151</v>
      </c>
      <c r="AJ43" s="2300">
        <v>7724</v>
      </c>
      <c r="AK43" s="1316"/>
      <c r="AL43" s="1316"/>
      <c r="AM43" s="1405">
        <v>863</v>
      </c>
      <c r="AN43" s="1405">
        <v>299</v>
      </c>
      <c r="AO43" s="1405">
        <v>1377</v>
      </c>
      <c r="AP43" s="1316">
        <f t="shared" si="84"/>
        <v>2539</v>
      </c>
      <c r="AQ43" s="1563">
        <f t="shared" si="39"/>
        <v>10112</v>
      </c>
      <c r="AR43" s="1470">
        <f t="shared" si="40"/>
        <v>10263</v>
      </c>
      <c r="AS43" s="1430">
        <f t="shared" si="41"/>
        <v>556.38062543239073</v>
      </c>
      <c r="AT43" s="1316">
        <f t="shared" si="42"/>
        <v>8175.1200000000008</v>
      </c>
      <c r="AU43" s="2300">
        <f t="shared" si="43"/>
        <v>9441.9600000000009</v>
      </c>
      <c r="AV43" s="1316">
        <f t="shared" si="10"/>
        <v>170859.12</v>
      </c>
      <c r="AW43" s="1316">
        <f t="shared" si="11"/>
        <v>163078.96</v>
      </c>
      <c r="AX43" s="1350">
        <f t="shared" si="44"/>
        <v>5.7898088140861344E-2</v>
      </c>
      <c r="AY43" s="1335">
        <f t="shared" si="13"/>
        <v>8.8067804258726887E-2</v>
      </c>
      <c r="AZ43" s="1335">
        <f t="shared" si="14"/>
        <v>0.12962690735266905</v>
      </c>
      <c r="BA43" s="1316">
        <f t="shared" si="15"/>
        <v>15047.187535978328</v>
      </c>
      <c r="BB43" s="1316">
        <f t="shared" si="45"/>
        <v>21139.421239089621</v>
      </c>
      <c r="BC43" s="1316">
        <f t="shared" si="17"/>
        <v>185906.30753597833</v>
      </c>
      <c r="BD43" s="1316">
        <f t="shared" si="18"/>
        <v>184218.38123908962</v>
      </c>
      <c r="BE43" s="2302">
        <v>13637</v>
      </c>
      <c r="BF43" s="1316">
        <f t="shared" si="46"/>
        <v>23994.040000000008</v>
      </c>
      <c r="BG43" s="1348">
        <f t="shared" si="47"/>
        <v>0.12826030480079972</v>
      </c>
      <c r="BH43" s="1348">
        <f t="shared" si="38"/>
        <v>0.87173969519920025</v>
      </c>
      <c r="BI43" s="1348">
        <f t="shared" si="36"/>
        <v>0.71822739092747756</v>
      </c>
      <c r="BJ43" s="1344"/>
      <c r="BK43" s="1316">
        <f t="shared" si="48"/>
        <v>187073</v>
      </c>
      <c r="BL43" s="1344" t="b">
        <f t="shared" si="49"/>
        <v>1</v>
      </c>
      <c r="BM43" s="1345"/>
      <c r="BN43" s="1345"/>
      <c r="BO43" s="1345"/>
      <c r="BP43" s="1345"/>
      <c r="BQ43" s="2073">
        <v>0.95987486600000005</v>
      </c>
      <c r="BR43" s="1316">
        <f t="shared" si="85"/>
        <v>219</v>
      </c>
      <c r="BS43" s="1316">
        <f t="shared" si="86"/>
        <v>41746</v>
      </c>
      <c r="BT43" s="1316">
        <f t="shared" si="87"/>
        <v>72751</v>
      </c>
      <c r="BU43" s="1116">
        <f t="shared" si="91"/>
        <v>0.42316944096988357</v>
      </c>
      <c r="BV43" s="1318">
        <f t="shared" si="96"/>
        <v>0.57683055903011637</v>
      </c>
      <c r="BW43" s="1808">
        <f t="shared" si="102"/>
        <v>78967.627382958686</v>
      </c>
      <c r="BX43" s="1936">
        <f t="shared" si="93"/>
        <v>107909.42316944095</v>
      </c>
      <c r="BY43" s="1457"/>
      <c r="BZ43" s="1469">
        <f t="shared" si="20"/>
        <v>203486</v>
      </c>
      <c r="CA43" s="1470">
        <f t="shared" si="94"/>
        <v>151</v>
      </c>
      <c r="CB43" s="1470">
        <f t="shared" si="22"/>
        <v>297</v>
      </c>
      <c r="CC43" s="1471">
        <f t="shared" si="56"/>
        <v>0.92</v>
      </c>
      <c r="CD43" s="1937">
        <f t="shared" si="61"/>
        <v>0.42316944096988363</v>
      </c>
      <c r="CE43" s="1941">
        <v>0.99752475247524797</v>
      </c>
      <c r="CF43" s="1666">
        <f t="shared" si="97"/>
        <v>78967.542958560312</v>
      </c>
      <c r="CG43" s="1822">
        <f t="shared" si="95"/>
        <v>79516</v>
      </c>
      <c r="CH43" s="1663">
        <f t="shared" si="62"/>
        <v>548.4570414396876</v>
      </c>
      <c r="CI43" s="1644">
        <f t="shared" si="63"/>
        <v>6.9453476819900635E-3</v>
      </c>
      <c r="CJ43" s="1679">
        <f t="shared" si="64"/>
        <v>548.37261704131379</v>
      </c>
      <c r="CK43" s="1676">
        <f t="shared" si="65"/>
        <v>6.9442711553424899E-3</v>
      </c>
      <c r="CL43" s="1669"/>
      <c r="CM43" s="1013">
        <f t="shared" si="29"/>
        <v>73712.163956814053</v>
      </c>
      <c r="CN43" s="1014">
        <f t="shared" si="50"/>
        <v>6.6552125222883035E-2</v>
      </c>
    </row>
    <row r="44" spans="1:92" x14ac:dyDescent="0.3">
      <c r="A44" s="1342">
        <v>2019</v>
      </c>
      <c r="B44" s="1336">
        <v>63222</v>
      </c>
      <c r="C44" s="1469">
        <f t="shared" si="0"/>
        <v>64511</v>
      </c>
      <c r="D44" s="1537">
        <v>63046</v>
      </c>
      <c r="E44" s="1537">
        <f t="shared" si="88"/>
        <v>64470</v>
      </c>
      <c r="F44" s="1537">
        <v>335</v>
      </c>
      <c r="G44" s="1508">
        <v>58562</v>
      </c>
      <c r="H44" s="1346">
        <v>50464</v>
      </c>
      <c r="I44" s="1508">
        <f t="shared" si="73"/>
        <v>50464</v>
      </c>
      <c r="J44" s="1316">
        <v>49862</v>
      </c>
      <c r="K44" s="1316">
        <v>42140</v>
      </c>
      <c r="L44" s="1315">
        <v>49862</v>
      </c>
      <c r="M44" s="1526">
        <v>8877</v>
      </c>
      <c r="N44" s="1380" t="str">
        <f t="shared" si="31"/>
        <v/>
      </c>
      <c r="O44" s="1431">
        <f t="shared" si="4"/>
        <v>0.9288183980967486</v>
      </c>
      <c r="P44" s="1818">
        <f t="shared" si="5"/>
        <v>0.86171920357911269</v>
      </c>
      <c r="Q44" s="1334">
        <f t="shared" si="6"/>
        <v>0.85143950001707591</v>
      </c>
      <c r="R44" s="1335">
        <f t="shared" si="7"/>
        <v>0.85143950001707591</v>
      </c>
      <c r="S44" s="1317">
        <v>0.85500000000000009</v>
      </c>
      <c r="T44" s="1317"/>
      <c r="U44" s="1817">
        <f t="shared" si="103"/>
        <v>0.85</v>
      </c>
      <c r="V44" s="1561">
        <f t="shared" si="104"/>
        <v>0.15158293774119735</v>
      </c>
      <c r="W44" s="1530">
        <f t="shared" si="71"/>
        <v>8877</v>
      </c>
      <c r="X44" s="1532">
        <f t="shared" si="68"/>
        <v>6.9101907864122847E-2</v>
      </c>
      <c r="Y44" s="1316">
        <f t="shared" si="51"/>
        <v>54549.599999999999</v>
      </c>
      <c r="Z44" s="1316">
        <f t="shared" si="52"/>
        <v>54641.981353095864</v>
      </c>
      <c r="AA44" s="1315">
        <f t="shared" si="80"/>
        <v>53904.330000000009</v>
      </c>
      <c r="AB44" s="1469">
        <f t="shared" si="69"/>
        <v>9692.7026712483112</v>
      </c>
      <c r="AC44" s="1623">
        <f t="shared" si="32"/>
        <v>9626</v>
      </c>
      <c r="AD44" s="2215">
        <f t="shared" si="59"/>
        <v>54550</v>
      </c>
      <c r="AE44" s="2216">
        <f t="shared" si="34"/>
        <v>9626</v>
      </c>
      <c r="AF44" s="2209">
        <f t="shared" si="67"/>
        <v>659.99849447839131</v>
      </c>
      <c r="AG44" s="1347">
        <v>0</v>
      </c>
      <c r="AH44" s="1531">
        <f t="shared" si="70"/>
        <v>0</v>
      </c>
      <c r="AI44" s="1537">
        <v>41</v>
      </c>
      <c r="AJ44" s="2300">
        <v>1118</v>
      </c>
      <c r="AK44" s="1316"/>
      <c r="AL44" s="1316"/>
      <c r="AM44" s="1405">
        <v>0</v>
      </c>
      <c r="AN44" s="1405">
        <v>0</v>
      </c>
      <c r="AO44" s="1405">
        <v>8</v>
      </c>
      <c r="AP44" s="1316">
        <f t="shared" si="84"/>
        <v>8</v>
      </c>
      <c r="AQ44" s="1563">
        <f t="shared" si="39"/>
        <v>1085</v>
      </c>
      <c r="AR44" s="1470">
        <f t="shared" si="40"/>
        <v>1126</v>
      </c>
      <c r="AS44" s="1430">
        <f t="shared" si="41"/>
        <v>155.70417676991912</v>
      </c>
      <c r="AT44" s="1316">
        <f t="shared" si="42"/>
        <v>950.3</v>
      </c>
      <c r="AU44" s="2300">
        <f t="shared" si="43"/>
        <v>957.1</v>
      </c>
      <c r="AV44" s="1316">
        <f t="shared" si="10"/>
        <v>51414.3</v>
      </c>
      <c r="AW44" s="1316">
        <f t="shared" si="11"/>
        <v>50819.1</v>
      </c>
      <c r="AX44" s="1350">
        <f t="shared" si="44"/>
        <v>1.8833470092937499E-2</v>
      </c>
      <c r="AY44" s="1335">
        <f t="shared" si="13"/>
        <v>6.241024096935191E-2</v>
      </c>
      <c r="AZ44" s="1335">
        <f t="shared" si="14"/>
        <v>7.3271653938448339E-2</v>
      </c>
      <c r="BA44" s="1349">
        <f t="shared" si="15"/>
        <v>3208.77885227055</v>
      </c>
      <c r="BB44" s="1316">
        <f t="shared" si="45"/>
        <v>3723.5995086633998</v>
      </c>
      <c r="BC44" s="1316">
        <f t="shared" si="17"/>
        <v>54623.078852270555</v>
      </c>
      <c r="BD44" s="1316">
        <f t="shared" si="18"/>
        <v>54542.699508663398</v>
      </c>
      <c r="BE44" s="2302">
        <v>1228</v>
      </c>
      <c r="BF44" s="1316">
        <f t="shared" si="46"/>
        <v>3730.9000000000015</v>
      </c>
      <c r="BG44" s="1348">
        <f t="shared" si="47"/>
        <v>6.8394133822181513E-2</v>
      </c>
      <c r="BH44" s="1348">
        <f t="shared" si="38"/>
        <v>0.93160586617781849</v>
      </c>
      <c r="BI44" s="1348">
        <f t="shared" si="36"/>
        <v>0.68358182914062748</v>
      </c>
      <c r="BJ44" s="1344"/>
      <c r="BK44" s="1316">
        <f t="shared" si="48"/>
        <v>54550</v>
      </c>
      <c r="BL44" s="1344" t="b">
        <f t="shared" si="49"/>
        <v>1</v>
      </c>
      <c r="BM44" s="1345"/>
      <c r="BN44" s="1345"/>
      <c r="BO44" s="1345"/>
      <c r="BP44" s="1345"/>
      <c r="BQ44" s="2074">
        <v>0.96115906399999995</v>
      </c>
      <c r="BR44" s="1316">
        <f t="shared" si="85"/>
        <v>542.99164999999994</v>
      </c>
      <c r="BS44" s="1316">
        <f t="shared" si="86"/>
        <v>10175</v>
      </c>
      <c r="BT44" s="1316">
        <f t="shared" si="87"/>
        <v>23142</v>
      </c>
      <c r="BU44" s="1116">
        <f t="shared" si="91"/>
        <v>0.53685975066977787</v>
      </c>
      <c r="BV44" s="1318">
        <f t="shared" si="96"/>
        <v>0.46314024933022213</v>
      </c>
      <c r="BW44" s="1808">
        <f t="shared" si="102"/>
        <v>27808.12446155211</v>
      </c>
      <c r="BX44" s="1936">
        <f t="shared" si="93"/>
        <v>25264.300600963616</v>
      </c>
      <c r="BY44" s="1457"/>
      <c r="BZ44" s="1469">
        <f t="shared" si="20"/>
        <v>64470</v>
      </c>
      <c r="CA44" s="1470">
        <f t="shared" si="94"/>
        <v>41</v>
      </c>
      <c r="CB44" s="1470">
        <f t="shared" si="22"/>
        <v>335</v>
      </c>
      <c r="CC44" s="1471">
        <f t="shared" si="56"/>
        <v>0.85</v>
      </c>
      <c r="CD44" s="1937">
        <f t="shared" si="61"/>
        <v>0.53685975066977787</v>
      </c>
      <c r="CE44" s="1941">
        <v>0.94954619599991896</v>
      </c>
      <c r="CF44" s="1666">
        <f t="shared" si="97"/>
        <v>27807.920552298496</v>
      </c>
      <c r="CG44" s="1822">
        <f t="shared" si="95"/>
        <v>27804</v>
      </c>
      <c r="CH44" s="1662">
        <f t="shared" si="62"/>
        <v>-3.9205522984957497</v>
      </c>
      <c r="CI44" s="1550">
        <f t="shared" si="63"/>
        <v>-1.4098689224612633E-4</v>
      </c>
      <c r="CJ44" s="1679">
        <f t="shared" si="64"/>
        <v>-4.1244615521100059</v>
      </c>
      <c r="CK44" s="1676">
        <f t="shared" si="65"/>
        <v>-1.4831858070156952E-4</v>
      </c>
      <c r="CL44" s="1671"/>
      <c r="CM44" s="1013">
        <f t="shared" si="29"/>
        <v>29377.680752132248</v>
      </c>
      <c r="CN44" s="1014">
        <f t="shared" si="50"/>
        <v>-5.6442364272003595E-2</v>
      </c>
    </row>
    <row r="45" spans="1:92" ht="15" thickBot="1" x14ac:dyDescent="0.35">
      <c r="A45" s="1342">
        <v>2020</v>
      </c>
      <c r="B45" s="1336">
        <v>345018</v>
      </c>
      <c r="C45" s="1472">
        <f t="shared" si="0"/>
        <v>364015</v>
      </c>
      <c r="D45" s="1537">
        <v>341739</v>
      </c>
      <c r="E45" s="1537">
        <f t="shared" si="88"/>
        <v>360736</v>
      </c>
      <c r="F45" s="1537">
        <v>750</v>
      </c>
      <c r="G45" s="1508">
        <v>280440</v>
      </c>
      <c r="H45" s="1346">
        <v>249521</v>
      </c>
      <c r="I45" s="1508">
        <f t="shared" si="73"/>
        <v>249521</v>
      </c>
      <c r="J45" s="1316">
        <v>226107</v>
      </c>
      <c r="K45" s="1316">
        <v>198627</v>
      </c>
      <c r="L45" s="1315">
        <v>226107</v>
      </c>
      <c r="M45" s="1526">
        <v>43391</v>
      </c>
      <c r="N45" s="1380" t="str">
        <f t="shared" si="31"/>
        <v/>
      </c>
      <c r="O45" s="1431">
        <f t="shared" si="4"/>
        <v>0.82692001486120692</v>
      </c>
      <c r="P45" s="1818">
        <f t="shared" si="5"/>
        <v>0.88974825274568536</v>
      </c>
      <c r="Q45" s="1334">
        <f t="shared" si="6"/>
        <v>0.80625802310654682</v>
      </c>
      <c r="R45" s="1335">
        <f t="shared" si="7"/>
        <v>0.80625802310654682</v>
      </c>
      <c r="S45" s="1317">
        <v>0.80700000000000005</v>
      </c>
      <c r="T45" s="1317"/>
      <c r="U45" s="1817">
        <f t="shared" si="103"/>
        <v>0.85</v>
      </c>
      <c r="V45" s="1561">
        <f t="shared" si="104"/>
        <v>0.15472471829981457</v>
      </c>
      <c r="W45" s="1530">
        <f t="shared" si="71"/>
        <v>43391</v>
      </c>
      <c r="X45" s="1532">
        <f t="shared" si="68"/>
        <v>0.17821343032023418</v>
      </c>
      <c r="Y45" s="1316">
        <f t="shared" si="51"/>
        <v>308775.25</v>
      </c>
      <c r="Z45" s="1316">
        <f t="shared" si="52"/>
        <v>292885.32076379971</v>
      </c>
      <c r="AA45" s="1315">
        <f t="shared" si="80"/>
        <v>275783.37300000002</v>
      </c>
      <c r="AB45" s="1469">
        <f t="shared" si="69"/>
        <v>55312.027630779616</v>
      </c>
      <c r="AC45" s="1623">
        <f t="shared" si="32"/>
        <v>54490</v>
      </c>
      <c r="AD45" s="2215">
        <f t="shared" si="59"/>
        <v>308775</v>
      </c>
      <c r="AE45" s="2216">
        <f t="shared" si="34"/>
        <v>54490</v>
      </c>
      <c r="AF45" s="2209">
        <f t="shared" si="67"/>
        <v>9260.9837247747673</v>
      </c>
      <c r="AG45" s="1347">
        <v>0</v>
      </c>
      <c r="AH45" s="1531">
        <f t="shared" si="70"/>
        <v>0</v>
      </c>
      <c r="AI45" s="1537">
        <v>3279</v>
      </c>
      <c r="AJ45" s="2300">
        <v>15258</v>
      </c>
      <c r="AK45" s="1316"/>
      <c r="AL45" s="1316"/>
      <c r="AM45" s="1316">
        <v>3125</v>
      </c>
      <c r="AN45" s="1316">
        <v>4545</v>
      </c>
      <c r="AO45" s="1316">
        <v>1199</v>
      </c>
      <c r="AP45" s="1316">
        <f t="shared" si="84"/>
        <v>8869</v>
      </c>
      <c r="AQ45" s="1563">
        <f t="shared" si="39"/>
        <v>20848</v>
      </c>
      <c r="AR45" s="1470">
        <f t="shared" si="40"/>
        <v>24127</v>
      </c>
      <c r="AS45" s="1430">
        <f t="shared" si="41"/>
        <v>2660.0439060048493</v>
      </c>
      <c r="AT45" s="1316">
        <f t="shared" si="42"/>
        <v>19488.8</v>
      </c>
      <c r="AU45" s="2300">
        <f t="shared" si="43"/>
        <v>20507.95</v>
      </c>
      <c r="AV45" s="1316">
        <f t="shared" si="10"/>
        <v>269009.8</v>
      </c>
      <c r="AW45" s="1316">
        <f t="shared" si="11"/>
        <v>246614.95</v>
      </c>
      <c r="AX45" s="1350">
        <f t="shared" si="44"/>
        <v>8.3157772876299677E-2</v>
      </c>
      <c r="AY45" s="1335">
        <f t="shared" si="13"/>
        <v>0.13176639523901457</v>
      </c>
      <c r="AZ45" s="1335">
        <f t="shared" si="14"/>
        <v>0.20480286055697886</v>
      </c>
      <c r="BA45" s="1316">
        <f t="shared" si="15"/>
        <v>35446.451629968258</v>
      </c>
      <c r="BB45" s="1316">
        <f t="shared" si="45"/>
        <v>50507.447216116314</v>
      </c>
      <c r="BC45" s="1316">
        <f t="shared" si="17"/>
        <v>304456.25162996823</v>
      </c>
      <c r="BD45" s="1316">
        <f t="shared" si="18"/>
        <v>297122.39721611631</v>
      </c>
      <c r="BE45" s="2302">
        <v>18178</v>
      </c>
      <c r="BF45" s="1316">
        <f t="shared" si="46"/>
        <v>62160.049999999988</v>
      </c>
      <c r="BG45" s="1348">
        <f t="shared" si="47"/>
        <v>0.20131179661565862</v>
      </c>
      <c r="BH45" s="1348">
        <f t="shared" si="38"/>
        <v>0.79868820338434143</v>
      </c>
      <c r="BI45" s="1348">
        <f t="shared" si="36"/>
        <v>0.64123483126011371</v>
      </c>
      <c r="BJ45" s="1344"/>
      <c r="BK45" s="1316">
        <f t="shared" si="48"/>
        <v>308775</v>
      </c>
      <c r="BL45" s="1344" t="b">
        <f t="shared" si="49"/>
        <v>1</v>
      </c>
      <c r="BM45" s="1345"/>
      <c r="BN45" s="1345"/>
      <c r="BO45" s="1345"/>
      <c r="BP45" s="1345"/>
      <c r="BQ45" s="2073">
        <v>0.97313830599999995</v>
      </c>
      <c r="BR45" s="1434">
        <f t="shared" si="85"/>
        <v>1248</v>
      </c>
      <c r="BS45" s="1316">
        <f t="shared" si="86"/>
        <v>39864</v>
      </c>
      <c r="BT45" s="1434">
        <f t="shared" si="87"/>
        <v>87815</v>
      </c>
      <c r="BU45" s="2068">
        <f t="shared" si="91"/>
        <v>0.53183396913966863</v>
      </c>
      <c r="BV45" s="1650">
        <f>SUM(BR45,BS45)/BT45</f>
        <v>0.46816603086033137</v>
      </c>
      <c r="BW45" s="1808">
        <f t="shared" si="102"/>
        <v>159970.04156710723</v>
      </c>
      <c r="BX45" s="1936">
        <f t="shared" si="93"/>
        <v>144557.96617889882</v>
      </c>
      <c r="BY45" s="1457"/>
      <c r="BZ45" s="1469">
        <f t="shared" si="20"/>
        <v>360736</v>
      </c>
      <c r="CA45" s="1470">
        <f t="shared" si="94"/>
        <v>3279</v>
      </c>
      <c r="CB45" s="1470">
        <f t="shared" si="22"/>
        <v>750</v>
      </c>
      <c r="CC45" s="1651">
        <f t="shared" si="56"/>
        <v>0.85</v>
      </c>
      <c r="CD45" s="1937">
        <f t="shared" si="61"/>
        <v>0.53183396913966863</v>
      </c>
      <c r="CE45" s="1942">
        <v>0.97413793103448298</v>
      </c>
      <c r="CF45" s="1666">
        <f t="shared" si="97"/>
        <v>159970.17108701781</v>
      </c>
      <c r="CG45" s="1822">
        <f t="shared" si="95"/>
        <v>165132</v>
      </c>
      <c r="CH45" s="1662">
        <f t="shared" si="62"/>
        <v>5161.8289129821933</v>
      </c>
      <c r="CI45" s="1550">
        <f t="shared" si="63"/>
        <v>3.2267446348946835E-2</v>
      </c>
      <c r="CJ45" s="1679">
        <f t="shared" si="64"/>
        <v>5161.958432892774</v>
      </c>
      <c r="CK45" s="1676">
        <f t="shared" si="65"/>
        <v>3.2268282125358698E-2</v>
      </c>
      <c r="CL45" s="1671"/>
      <c r="CM45" s="1013">
        <f t="shared" si="29"/>
        <v>148327.3545849009</v>
      </c>
      <c r="CN45" s="1014">
        <f t="shared" si="50"/>
        <v>7.278042105979099E-2</v>
      </c>
    </row>
    <row r="46" spans="1:92" ht="15" thickBot="1" x14ac:dyDescent="0.35">
      <c r="A46" s="1343">
        <v>2021</v>
      </c>
      <c r="B46" s="1379">
        <v>152309</v>
      </c>
      <c r="C46" s="1472">
        <f t="shared" si="0"/>
        <v>159340</v>
      </c>
      <c r="D46" s="1537">
        <v>151765</v>
      </c>
      <c r="E46" s="1537">
        <f t="shared" si="88"/>
        <v>158783</v>
      </c>
      <c r="F46" s="1537">
        <v>952</v>
      </c>
      <c r="G46" s="1510">
        <v>109367</v>
      </c>
      <c r="H46" s="1371">
        <v>82643</v>
      </c>
      <c r="I46" s="1510">
        <f t="shared" si="73"/>
        <v>82643</v>
      </c>
      <c r="J46" s="1319">
        <f>L46</f>
        <v>76255</v>
      </c>
      <c r="K46" s="1319">
        <v>64035</v>
      </c>
      <c r="L46" s="1386">
        <v>76255</v>
      </c>
      <c r="M46" s="1526">
        <v>30826</v>
      </c>
      <c r="N46" s="1381" t="str">
        <f t="shared" si="31"/>
        <v/>
      </c>
      <c r="O46" s="1431">
        <f t="shared" si="4"/>
        <v>0.75341861794834697</v>
      </c>
      <c r="P46" s="1819">
        <f t="shared" si="5"/>
        <v>0.75564841314107545</v>
      </c>
      <c r="Q46" s="1384">
        <f t="shared" si="6"/>
        <v>0.69723956952279942</v>
      </c>
      <c r="R46" s="1372">
        <f t="shared" si="7"/>
        <v>0.69723956952279942</v>
      </c>
      <c r="S46" s="1373">
        <v>0.69262486130169598</v>
      </c>
      <c r="T46" s="1373"/>
      <c r="U46" s="1820">
        <f t="shared" si="103"/>
        <v>0.72</v>
      </c>
      <c r="V46" s="1561">
        <f t="shared" si="104"/>
        <v>0.28185833020929529</v>
      </c>
      <c r="W46" s="1530">
        <f t="shared" si="71"/>
        <v>30826</v>
      </c>
      <c r="X46" s="1532">
        <f t="shared" si="68"/>
        <v>0.24521516787061587</v>
      </c>
      <c r="Y46" s="1319">
        <f t="shared" si="51"/>
        <v>114039.36</v>
      </c>
      <c r="Z46" s="1319">
        <f t="shared" si="52"/>
        <v>110434.38093757715</v>
      </c>
      <c r="AA46" s="1386">
        <f t="shared" si="80"/>
        <v>105116.21207545188</v>
      </c>
      <c r="AB46" s="1469">
        <f t="shared" si="69"/>
        <v>44052.47950294138</v>
      </c>
      <c r="AC46" s="1623">
        <f t="shared" si="32"/>
        <v>44349</v>
      </c>
      <c r="AD46" s="2220">
        <f t="shared" si="59"/>
        <v>114039</v>
      </c>
      <c r="AE46" s="2221">
        <f t="shared" si="34"/>
        <v>44349</v>
      </c>
      <c r="AF46" s="2209">
        <f t="shared" si="67"/>
        <v>9994.4410635583845</v>
      </c>
      <c r="AG46" s="1374">
        <v>0</v>
      </c>
      <c r="AH46" s="1531">
        <f t="shared" si="70"/>
        <v>0</v>
      </c>
      <c r="AI46" s="1537">
        <v>557</v>
      </c>
      <c r="AJ46" s="2300">
        <v>9528</v>
      </c>
      <c r="AK46" s="1316">
        <f>2069+373</f>
        <v>2442</v>
      </c>
      <c r="AL46" s="1316"/>
      <c r="AM46" s="1316">
        <v>441</v>
      </c>
      <c r="AN46" s="1316">
        <v>358</v>
      </c>
      <c r="AO46" s="1316">
        <v>458</v>
      </c>
      <c r="AP46" s="1316">
        <f t="shared" si="84"/>
        <v>3699</v>
      </c>
      <c r="AQ46" s="1563">
        <f>SUM(-AI46,AJ46,AP46)</f>
        <v>12670</v>
      </c>
      <c r="AR46" s="1470">
        <f>AJ46+AP46</f>
        <v>13227</v>
      </c>
      <c r="AS46" s="1430">
        <f t="shared" si="41"/>
        <v>3232.038439382995</v>
      </c>
      <c r="AT46" s="1319">
        <f t="shared" si="42"/>
        <v>9193.68</v>
      </c>
      <c r="AU46" s="2309">
        <f t="shared" si="43"/>
        <v>9523.44</v>
      </c>
      <c r="AV46" s="1319">
        <f t="shared" si="10"/>
        <v>91836.68</v>
      </c>
      <c r="AW46" s="1319">
        <f t="shared" si="11"/>
        <v>85778.44</v>
      </c>
      <c r="AX46" s="1375">
        <f t="shared" si="44"/>
        <v>0.11102370245949915</v>
      </c>
      <c r="AY46" s="1372">
        <f t="shared" si="13"/>
        <v>0.20020440195458927</v>
      </c>
      <c r="AZ46" s="1372">
        <f t="shared" si="14"/>
        <v>0.25319636093144587</v>
      </c>
      <c r="BA46" s="1319">
        <f t="shared" si="15"/>
        <v>18386.107596894988</v>
      </c>
      <c r="BB46" s="1319">
        <f t="shared" si="45"/>
        <v>21718.788854376373</v>
      </c>
      <c r="BC46" s="1319">
        <f t="shared" si="17"/>
        <v>110222.78759689498</v>
      </c>
      <c r="BD46" s="1319">
        <f t="shared" si="18"/>
        <v>107497.22885437637</v>
      </c>
      <c r="BE46" s="2305">
        <v>13287</v>
      </c>
      <c r="BF46" s="1319">
        <f t="shared" si="46"/>
        <v>28260.559999999998</v>
      </c>
      <c r="BG46" s="1376">
        <f t="shared" si="47"/>
        <v>0.24781487035137101</v>
      </c>
      <c r="BH46" s="1348">
        <f t="shared" si="38"/>
        <v>0.75218512964862905</v>
      </c>
      <c r="BI46" s="1376">
        <f t="shared" si="36"/>
        <v>0.48468645603399996</v>
      </c>
      <c r="BJ46" s="1377"/>
      <c r="BK46" s="1319">
        <f t="shared" si="48"/>
        <v>114039</v>
      </c>
      <c r="BL46" s="1377" t="b">
        <f t="shared" si="49"/>
        <v>1</v>
      </c>
      <c r="BM46" s="1378"/>
      <c r="BN46" s="1378"/>
      <c r="BO46" s="1378"/>
      <c r="BP46" s="1378"/>
      <c r="BQ46" s="2073">
        <v>0.94310713800000001</v>
      </c>
      <c r="BR46" s="1319">
        <f>VLOOKUP($A46,SkahaPercentWithWild,8)*1</f>
        <v>609.34800000000052</v>
      </c>
      <c r="BS46" s="1316">
        <f t="shared" si="86"/>
        <v>8687</v>
      </c>
      <c r="BT46" s="1319">
        <f t="shared" si="87"/>
        <v>19184</v>
      </c>
      <c r="BU46" s="2069">
        <f t="shared" si="91"/>
        <v>0.51541138448707258</v>
      </c>
      <c r="BV46" s="2158">
        <f t="shared" si="96"/>
        <v>0.48458861551292742</v>
      </c>
      <c r="BW46" s="2229">
        <f t="shared" si="102"/>
        <v>55371.464605909532</v>
      </c>
      <c r="BX46" s="2228">
        <f t="shared" si="93"/>
        <v>55262.001124478731</v>
      </c>
      <c r="BY46" s="1457"/>
      <c r="BZ46" s="1469">
        <f t="shared" si="20"/>
        <v>158783</v>
      </c>
      <c r="CA46" s="1470">
        <f t="shared" si="94"/>
        <v>557</v>
      </c>
      <c r="CB46" s="1470">
        <f t="shared" si="22"/>
        <v>952</v>
      </c>
      <c r="CC46" s="1471">
        <f t="shared" si="56"/>
        <v>0.72</v>
      </c>
      <c r="CD46" s="1937">
        <f t="shared" si="61"/>
        <v>0.51541138448707258</v>
      </c>
      <c r="CE46" s="1941">
        <v>0.94206008583691003</v>
      </c>
      <c r="CF46" s="1666">
        <f t="shared" si="97"/>
        <v>55371.639403367051</v>
      </c>
      <c r="CG46" s="1822">
        <f t="shared" si="95"/>
        <v>56431</v>
      </c>
      <c r="CH46" s="1662">
        <f t="shared" si="62"/>
        <v>1059.3605966329487</v>
      </c>
      <c r="CI46" s="1550">
        <f t="shared" si="63"/>
        <v>1.9131826473762142E-2</v>
      </c>
      <c r="CJ46" s="1679">
        <f t="shared" si="64"/>
        <v>1059.5353940904679</v>
      </c>
      <c r="CK46" s="1676">
        <f t="shared" si="65"/>
        <v>1.9135043684168483E-2</v>
      </c>
      <c r="CL46" s="1671"/>
      <c r="CM46" s="1013">
        <f t="shared" si="29"/>
        <v>55172.379813098421</v>
      </c>
      <c r="CN46" s="1014">
        <f t="shared" si="50"/>
        <v>3.5954402547962098E-3</v>
      </c>
    </row>
    <row r="47" spans="1:92" ht="15" thickBot="1" x14ac:dyDescent="0.35">
      <c r="A47" s="1342">
        <v>2022</v>
      </c>
      <c r="B47" s="1516">
        <f>D47</f>
        <v>663253</v>
      </c>
      <c r="C47" s="1472">
        <f t="shared" si="0"/>
        <v>704203</v>
      </c>
      <c r="D47" s="1537">
        <v>663253</v>
      </c>
      <c r="E47" s="1537">
        <f t="shared" si="88"/>
        <v>702522</v>
      </c>
      <c r="F47" s="1537">
        <v>2329</v>
      </c>
      <c r="G47" s="1517">
        <v>659933</v>
      </c>
      <c r="H47" s="1364">
        <v>562721</v>
      </c>
      <c r="I47" s="1517">
        <f t="shared" si="73"/>
        <v>562721</v>
      </c>
      <c r="J47" s="1319">
        <f t="shared" ref="J47:J48" si="105">L47</f>
        <v>478418</v>
      </c>
      <c r="K47" s="1319">
        <v>421642</v>
      </c>
      <c r="L47" s="1525">
        <v>478418</v>
      </c>
      <c r="M47" s="1526">
        <v>110693</v>
      </c>
      <c r="N47" s="1382" t="str">
        <f t="shared" si="31"/>
        <v/>
      </c>
      <c r="O47" s="1431">
        <f t="shared" si="4"/>
        <v>1.0006246958019533</v>
      </c>
      <c r="P47" s="1819">
        <f t="shared" si="5"/>
        <v>0.85269413713210285</v>
      </c>
      <c r="Q47" s="1384">
        <f t="shared" si="6"/>
        <v>0.72494935091895696</v>
      </c>
      <c r="R47" s="1367">
        <f t="shared" si="7"/>
        <v>0.72494935091895696</v>
      </c>
      <c r="S47" s="1518"/>
      <c r="T47" s="1518"/>
      <c r="U47" s="1821">
        <f t="shared" si="103"/>
        <v>0.83</v>
      </c>
      <c r="V47" s="1561">
        <f t="shared" si="104"/>
        <v>0.16773369417804534</v>
      </c>
      <c r="W47" s="1530">
        <f t="shared" si="71"/>
        <v>110693</v>
      </c>
      <c r="X47" s="1532">
        <f t="shared" si="68"/>
        <v>1.671122043153097E-2</v>
      </c>
      <c r="Y47" s="1364">
        <f t="shared" ref="Y47:Y48" si="106">(C47-F47)*U47</f>
        <v>582555.41999999993</v>
      </c>
      <c r="Z47" s="1364">
        <f t="shared" ref="Z47:Z48" si="107">(C47-F47)*R47</f>
        <v>508823.10072689201</v>
      </c>
      <c r="AA47" s="1621"/>
      <c r="AB47" s="1469">
        <f t="shared" si="69"/>
        <v>118775.79358156654</v>
      </c>
      <c r="AC47" s="1625">
        <f t="shared" si="32"/>
        <v>119319</v>
      </c>
      <c r="AD47" s="2222">
        <f t="shared" si="59"/>
        <v>582555</v>
      </c>
      <c r="AE47" s="2223">
        <f t="shared" si="34"/>
        <v>119319</v>
      </c>
      <c r="AF47" s="2209">
        <f t="shared" si="67"/>
        <v>1843.948371522489</v>
      </c>
      <c r="AG47" s="1365">
        <v>0</v>
      </c>
      <c r="AH47" s="1531">
        <f t="shared" si="70"/>
        <v>0</v>
      </c>
      <c r="AI47" s="1537">
        <v>1681</v>
      </c>
      <c r="AJ47" s="2300">
        <v>28520</v>
      </c>
      <c r="AK47" s="1316"/>
      <c r="AL47" s="1316"/>
      <c r="AM47" s="1316">
        <v>9343</v>
      </c>
      <c r="AN47" s="1316">
        <v>3342</v>
      </c>
      <c r="AO47" s="1316">
        <v>1148</v>
      </c>
      <c r="AP47" s="1316">
        <f t="shared" si="84"/>
        <v>13833</v>
      </c>
      <c r="AQ47" s="1565">
        <f t="shared" si="39"/>
        <v>40672</v>
      </c>
      <c r="AR47" s="1515">
        <f t="shared" si="40"/>
        <v>42353</v>
      </c>
      <c r="AS47" s="1363">
        <f t="shared" si="41"/>
        <v>6238.8452100440481</v>
      </c>
      <c r="AT47" s="1265"/>
      <c r="AU47" s="2310"/>
      <c r="AV47" s="1366">
        <f t="shared" si="10"/>
        <v>562721</v>
      </c>
      <c r="AW47" s="1366">
        <f t="shared" si="11"/>
        <v>478418</v>
      </c>
      <c r="AX47" s="1362"/>
      <c r="AY47" s="1367">
        <f t="shared" si="13"/>
        <v>-2.1321906550591904E-2</v>
      </c>
      <c r="AZ47" s="1367">
        <f t="shared" si="14"/>
        <v>0.12162291157335622</v>
      </c>
      <c r="BA47" s="1364">
        <f t="shared" si="15"/>
        <v>-11998.284576055627</v>
      </c>
      <c r="BB47" s="1319">
        <f t="shared" si="45"/>
        <v>58186.59010910194</v>
      </c>
      <c r="BC47" s="1366">
        <f t="shared" si="17"/>
        <v>550722.71542394441</v>
      </c>
      <c r="BD47" s="1369">
        <f t="shared" si="18"/>
        <v>536604.59010910196</v>
      </c>
      <c r="BE47" s="2306">
        <v>42226</v>
      </c>
      <c r="BF47" s="1265">
        <f t="shared" si="46"/>
        <v>104137</v>
      </c>
      <c r="BG47" s="1376">
        <f t="shared" si="47"/>
        <v>0.17875908712482083</v>
      </c>
      <c r="BH47" s="1348">
        <f t="shared" si="38"/>
        <v>0.8212409128751792</v>
      </c>
      <c r="BI47" s="1376">
        <f t="shared" si="36"/>
        <v>0.63571819501758753</v>
      </c>
      <c r="BJ47" s="1362"/>
      <c r="BK47" s="1362"/>
      <c r="BL47" s="1362"/>
      <c r="BM47" s="1370"/>
      <c r="BN47" s="1370"/>
      <c r="BO47" s="1370"/>
      <c r="BP47" s="1370"/>
      <c r="BQ47" s="813"/>
      <c r="BR47" s="1401">
        <f>VLOOKUP($A47,SkahaPercentage,3)*$AD47</f>
        <v>0</v>
      </c>
      <c r="BS47" s="1402"/>
      <c r="BT47" s="1364"/>
      <c r="BU47" s="2069">
        <f>CD47</f>
        <v>0.71899999999999997</v>
      </c>
      <c r="BV47" s="2159">
        <v>0.28100000000000003</v>
      </c>
      <c r="BW47" s="2230">
        <f>(BZ47+CA47-CB47)*CC47*(1-BV47)*CE47</f>
        <v>414583.32661141601</v>
      </c>
      <c r="BX47" s="2231">
        <f>AD47*BV47+((1-CE47)*((BZ47+CA47-CB47)*CC47))</f>
        <v>169642.35050568002</v>
      </c>
      <c r="BY47" s="1458"/>
      <c r="BZ47" s="1472">
        <f t="shared" si="20"/>
        <v>702522</v>
      </c>
      <c r="CA47" s="1851">
        <f t="shared" si="94"/>
        <v>1681</v>
      </c>
      <c r="CB47" s="1473">
        <f t="shared" si="22"/>
        <v>2329</v>
      </c>
      <c r="CC47" s="1474">
        <f t="shared" si="56"/>
        <v>0.83</v>
      </c>
      <c r="CD47" s="2161">
        <v>0.71899999999999997</v>
      </c>
      <c r="CE47" s="2161">
        <v>0.98979600000000001</v>
      </c>
      <c r="CF47" s="1744">
        <f t="shared" ref="CF47:CF48" si="108">(BZ47+CA47-CB47)*CC47*CD47*CE47</f>
        <v>414583.32661141601</v>
      </c>
      <c r="CG47" s="1668"/>
      <c r="CH47" s="1664"/>
      <c r="CI47" s="1551"/>
      <c r="CJ47" s="1681"/>
      <c r="CK47" s="1682"/>
      <c r="CL47" s="1672"/>
      <c r="CM47" s="1013">
        <f t="shared" si="29"/>
        <v>339180.75022121199</v>
      </c>
      <c r="CN47" s="1014">
        <f t="shared" si="50"/>
        <v>0.18187556409107103</v>
      </c>
    </row>
    <row r="48" spans="1:92" ht="15" thickBot="1" x14ac:dyDescent="0.35">
      <c r="A48" s="1343">
        <v>2023</v>
      </c>
      <c r="B48" s="1516">
        <v>327600</v>
      </c>
      <c r="C48" s="1472">
        <f t="shared" si="0"/>
        <v>347145</v>
      </c>
      <c r="D48" s="1537">
        <v>327600</v>
      </c>
      <c r="E48" s="1537">
        <f t="shared" si="88"/>
        <v>345705</v>
      </c>
      <c r="F48" s="1537">
        <v>1999</v>
      </c>
      <c r="G48" s="1510">
        <v>247772</v>
      </c>
      <c r="H48" s="1371">
        <v>149525</v>
      </c>
      <c r="I48" s="1510">
        <f t="shared" si="73"/>
        <v>149525</v>
      </c>
      <c r="J48" s="1319">
        <f t="shared" si="105"/>
        <v>136956</v>
      </c>
      <c r="K48" s="1809">
        <f>L48/1.132</f>
        <v>120985.86572438164</v>
      </c>
      <c r="L48" s="1386">
        <v>136956</v>
      </c>
      <c r="M48" s="1526">
        <v>84473</v>
      </c>
      <c r="N48" s="534" t="str">
        <f t="shared" si="31"/>
        <v/>
      </c>
      <c r="P48" s="1819">
        <f t="shared" si="5"/>
        <v>0.60347819769788358</v>
      </c>
      <c r="Q48" s="1384">
        <f t="shared" si="6"/>
        <v>0.55275010897115084</v>
      </c>
      <c r="R48" s="2132">
        <f t="shared" si="7"/>
        <v>0.55275010897115084</v>
      </c>
      <c r="U48" s="1820">
        <f t="shared" si="103"/>
        <v>0.6</v>
      </c>
      <c r="V48" s="1561">
        <f t="shared" si="104"/>
        <v>0.39652180230211642</v>
      </c>
      <c r="W48" s="1530">
        <f t="shared" si="71"/>
        <v>98246.999999999985</v>
      </c>
      <c r="X48" s="1532">
        <f t="shared" si="68"/>
        <v>0.21368797095789763</v>
      </c>
      <c r="Y48" s="1319">
        <f t="shared" si="106"/>
        <v>207087.6</v>
      </c>
      <c r="Z48" s="1319">
        <f t="shared" si="107"/>
        <v>190779.48911095684</v>
      </c>
      <c r="AA48" s="1386"/>
      <c r="AB48" s="1469">
        <f t="shared" ref="AB48" si="109">M48+AF48+AS48</f>
        <v>111516.29996658606</v>
      </c>
      <c r="AC48" s="1625">
        <f t="shared" ref="AC48" si="110">AE48-AE48*AG48</f>
        <v>138058</v>
      </c>
      <c r="AD48" s="2222">
        <f t="shared" si="59"/>
        <v>207088</v>
      </c>
      <c r="AE48" s="2223">
        <f t="shared" ref="AE48" si="111">C48-AD48-F48</f>
        <v>138058</v>
      </c>
      <c r="AF48" s="2209">
        <f t="shared" ref="AF48" si="112">(E48-F48-AR48)*X48*V48</f>
        <v>27043.299966586059</v>
      </c>
      <c r="AG48" s="1365">
        <v>0</v>
      </c>
      <c r="AH48" s="1533">
        <f t="shared" si="70"/>
        <v>13773.999999999985</v>
      </c>
      <c r="AI48" s="1537">
        <v>1440</v>
      </c>
      <c r="AJ48" s="2300">
        <v>22061</v>
      </c>
      <c r="AK48" s="1316">
        <v>1365</v>
      </c>
      <c r="AL48" s="1316">
        <v>1117</v>
      </c>
      <c r="AM48" s="1316"/>
      <c r="AN48" s="1316"/>
      <c r="AO48" s="1316"/>
      <c r="AP48" s="1316">
        <f t="shared" si="84"/>
        <v>2482</v>
      </c>
      <c r="AQ48" s="1563">
        <f t="shared" ref="AQ48" si="113">SUM(-AI48,AJ48,AP48)</f>
        <v>23103</v>
      </c>
      <c r="AR48" s="1470">
        <f t="shared" ref="AR48" si="114">AJ48+AP48</f>
        <v>24543</v>
      </c>
      <c r="AU48" s="2311"/>
      <c r="AV48" s="1366">
        <f t="shared" ref="AV48" si="115">AT48+I48</f>
        <v>149525</v>
      </c>
      <c r="AW48" s="1366">
        <f t="shared" ref="AW48" si="116">L48+AU48</f>
        <v>136956</v>
      </c>
      <c r="AY48" s="1367">
        <f t="shared" si="13"/>
        <v>0.21230143233874738</v>
      </c>
      <c r="AZ48" s="1367">
        <f t="shared" si="14"/>
        <v>0.27289741253380773</v>
      </c>
      <c r="BA48" s="1364">
        <f t="shared" ref="BA48" si="117">AY48*AV48</f>
        <v>31744.371670451201</v>
      </c>
      <c r="BB48" s="1368">
        <f t="shared" ref="BB48" si="118">AW48*AZ48</f>
        <v>37374.938030980171</v>
      </c>
      <c r="BC48" s="1366">
        <f t="shared" ref="BC48" si="119">I48+AT48+BA48</f>
        <v>181269.37167045119</v>
      </c>
      <c r="BD48" s="1369">
        <f t="shared" ref="BD48" si="120">L48+AU48+BB48</f>
        <v>174330.93803098018</v>
      </c>
      <c r="BE48" s="2305">
        <v>13228</v>
      </c>
      <c r="BF48" s="1265">
        <f t="shared" si="46"/>
        <v>70132</v>
      </c>
      <c r="BG48" s="1376">
        <f t="shared" si="47"/>
        <v>0.33865796183265084</v>
      </c>
      <c r="BH48" s="1348">
        <f t="shared" si="38"/>
        <v>0.66134203816734916</v>
      </c>
      <c r="BI48" s="1376">
        <f t="shared" si="36"/>
        <v>0.36930972443339938</v>
      </c>
      <c r="BR48" s="1399"/>
      <c r="BS48" s="1399"/>
      <c r="BT48" s="1399"/>
      <c r="BU48" s="2069">
        <f>CD48</f>
        <v>0.54200000000000004</v>
      </c>
      <c r="BV48" s="2160">
        <v>0.45800000000000002</v>
      </c>
      <c r="BW48" s="2232">
        <f>(BZ48+CA48-CB48)*CC48*(1-BV48)*CE48</f>
        <v>109627.63797347041</v>
      </c>
      <c r="BX48" s="2233">
        <f>AD48*BV48+((1-CE48)*((BZ48+CA48-CB48)*CC48))</f>
        <v>99506.889288799997</v>
      </c>
      <c r="BY48" s="1399"/>
      <c r="BZ48" s="1472">
        <f t="shared" si="20"/>
        <v>345705</v>
      </c>
      <c r="CA48" s="1851">
        <f t="shared" ref="CA48" si="121">AI48</f>
        <v>1440</v>
      </c>
      <c r="CB48" s="1851">
        <v>2269</v>
      </c>
      <c r="CC48" s="1474">
        <f t="shared" si="56"/>
        <v>0.6</v>
      </c>
      <c r="CD48" s="2161">
        <v>0.54200000000000004</v>
      </c>
      <c r="CE48" s="2161">
        <v>0.97747700000000004</v>
      </c>
      <c r="CF48" s="1744">
        <f t="shared" si="108"/>
        <v>109627.63797347041</v>
      </c>
    </row>
    <row r="49" spans="1:83" x14ac:dyDescent="0.3">
      <c r="A49"/>
      <c r="B49"/>
      <c r="C49" s="1476"/>
      <c r="D49" s="1541"/>
      <c r="E49" s="1541"/>
      <c r="F49" s="1541"/>
      <c r="G49" s="1512"/>
      <c r="H49"/>
      <c r="I49" s="1512"/>
      <c r="J49"/>
      <c r="K49"/>
      <c r="L49"/>
      <c r="M49" s="1523"/>
      <c r="N49"/>
      <c r="O49"/>
      <c r="P49" s="1541"/>
      <c r="BX49" s="1398"/>
      <c r="BY49" s="1398"/>
      <c r="BZ49" s="1398"/>
      <c r="CA49" s="1398"/>
      <c r="CB49" s="1398"/>
      <c r="CC49" s="1398"/>
      <c r="CD49" s="1398"/>
      <c r="CE49" s="1398"/>
    </row>
    <row r="50" spans="1:83" ht="14.7" customHeight="1" x14ac:dyDescent="0.3">
      <c r="A50"/>
      <c r="B50"/>
      <c r="C50" s="1476"/>
      <c r="D50" s="1542">
        <v>0</v>
      </c>
      <c r="E50" s="2602" t="s">
        <v>735</v>
      </c>
      <c r="F50" s="2602"/>
      <c r="G50" s="2602"/>
      <c r="H50" s="2602"/>
      <c r="I50" s="2602"/>
      <c r="J50" s="2603"/>
      <c r="K50" s="2603"/>
      <c r="L50" s="2602"/>
      <c r="M50" s="1524"/>
      <c r="N50"/>
      <c r="O50" s="1566">
        <f>1-AVERAGE($O$2:$O$19,$O$21:$O$23,$O$25:$O$31,$O$33:$O$44)</f>
        <v>0.15203895246846133</v>
      </c>
      <c r="P50" s="1546" t="s">
        <v>736</v>
      </c>
    </row>
    <row r="51" spans="1:83" x14ac:dyDescent="0.3">
      <c r="A51"/>
      <c r="B51"/>
      <c r="C51" s="1476"/>
      <c r="D51" s="1495"/>
      <c r="E51" s="2602"/>
      <c r="F51" s="2602"/>
      <c r="G51" s="2602"/>
      <c r="H51" s="2602"/>
      <c r="I51" s="2602"/>
      <c r="J51" s="2603"/>
      <c r="K51" s="2603"/>
      <c r="L51" s="2602"/>
      <c r="M51" s="1524"/>
      <c r="N51"/>
      <c r="O51" s="1498">
        <f>_xlfn.STDEV.S($O$2:$O$19,$O$21:$O$23,$O$25:$O$31,$O$33:$O$46)</f>
        <v>9.436874823320815E-2</v>
      </c>
      <c r="P51" s="1547" t="str">
        <f>"Std dev of long-term average natural mortality rate"</f>
        <v>Std dev of long-term average natural mortality rate</v>
      </c>
    </row>
    <row r="52" spans="1:83" x14ac:dyDescent="0.3">
      <c r="A52"/>
      <c r="B52"/>
      <c r="C52" s="1476"/>
      <c r="D52" s="1495"/>
      <c r="E52" s="1554"/>
      <c r="F52" s="1554"/>
      <c r="G52" s="1554"/>
      <c r="H52" s="1554"/>
      <c r="I52" s="1554"/>
      <c r="J52" s="1477"/>
      <c r="K52" s="1477"/>
      <c r="L52" s="1554"/>
      <c r="M52" s="1524"/>
      <c r="N52"/>
      <c r="O52"/>
      <c r="P52" s="1541"/>
      <c r="BV52" s="1397">
        <f>SUM(BR33:BS46)/SUM($BT$33:$BT$46)</f>
        <v>0.27729519962896448</v>
      </c>
      <c r="BW52" s="1398" t="s">
        <v>737</v>
      </c>
      <c r="BX52" s="1520"/>
    </row>
    <row r="53" spans="1:83" x14ac:dyDescent="0.3">
      <c r="A53"/>
      <c r="B53"/>
      <c r="C53" s="1476"/>
      <c r="D53" s="1542">
        <v>1</v>
      </c>
      <c r="E53" s="2600" t="s">
        <v>738</v>
      </c>
      <c r="F53" s="2600"/>
      <c r="G53" s="2600"/>
      <c r="H53" s="2600"/>
      <c r="I53" s="2600"/>
      <c r="J53" s="2601"/>
      <c r="K53" s="2601"/>
      <c r="L53" s="2600"/>
      <c r="M53" s="1523"/>
      <c r="N53"/>
      <c r="O53"/>
      <c r="P53" s="1541"/>
      <c r="BV53" s="1400">
        <f>AVERAGE(BV33:BV46)</f>
        <v>0.38356879153031687</v>
      </c>
      <c r="BW53" s="1398" t="s">
        <v>739</v>
      </c>
      <c r="BX53" s="1520"/>
    </row>
    <row r="54" spans="1:83" ht="15" thickBot="1" x14ac:dyDescent="0.35">
      <c r="A54"/>
      <c r="B54"/>
      <c r="C54" s="1476"/>
      <c r="D54" s="1495"/>
      <c r="E54" s="2600"/>
      <c r="F54" s="2600"/>
      <c r="G54" s="2600"/>
      <c r="H54" s="2600"/>
      <c r="I54" s="2600"/>
      <c r="J54" s="2601"/>
      <c r="K54" s="2601"/>
      <c r="L54" s="2600"/>
      <c r="M54" s="1523"/>
      <c r="N54"/>
      <c r="O54"/>
      <c r="P54" s="1541"/>
    </row>
    <row r="55" spans="1:83" x14ac:dyDescent="0.3">
      <c r="A55"/>
      <c r="B55"/>
      <c r="C55" s="1476"/>
      <c r="D55" s="1495"/>
      <c r="E55" s="1555"/>
      <c r="F55" s="1555"/>
      <c r="G55" s="1555"/>
      <c r="H55" s="1555"/>
      <c r="I55" s="1555"/>
      <c r="J55"/>
      <c r="K55"/>
      <c r="L55" s="1555"/>
      <c r="M55" s="1523"/>
      <c r="N55"/>
      <c r="O55"/>
      <c r="P55" s="1541"/>
      <c r="AD55" s="1944" t="s">
        <v>740</v>
      </c>
      <c r="AE55" s="1944"/>
      <c r="AH55" s="1944" t="s">
        <v>740</v>
      </c>
      <c r="AI55" s="1944"/>
    </row>
    <row r="56" spans="1:83" x14ac:dyDescent="0.3">
      <c r="D56" s="1555"/>
      <c r="E56" s="1495"/>
      <c r="F56" s="1495"/>
      <c r="G56" s="1495"/>
      <c r="H56" s="1495"/>
      <c r="I56" s="1495"/>
      <c r="L56" s="1556"/>
      <c r="AD56"/>
      <c r="AE56"/>
      <c r="AH56"/>
      <c r="AI56"/>
    </row>
    <row r="57" spans="1:83" x14ac:dyDescent="0.3">
      <c r="AD57" t="s">
        <v>425</v>
      </c>
      <c r="AE57">
        <v>266024.1875</v>
      </c>
      <c r="AH57" t="s">
        <v>425</v>
      </c>
      <c r="AI57" s="1945">
        <v>266024.1875</v>
      </c>
    </row>
    <row r="58" spans="1:83" x14ac:dyDescent="0.3">
      <c r="L58" s="535">
        <f>LN(L36)</f>
        <v>11.621851616187406</v>
      </c>
      <c r="AD58" t="s">
        <v>741</v>
      </c>
      <c r="AE58">
        <v>41377.456612187867</v>
      </c>
      <c r="AH58" t="s">
        <v>741</v>
      </c>
      <c r="AI58" s="1945">
        <v>41377.456612187867</v>
      </c>
    </row>
    <row r="59" spans="1:83" x14ac:dyDescent="0.3">
      <c r="L59" s="535">
        <f>0.73*L58-2.04</f>
        <v>6.4439516798168066</v>
      </c>
      <c r="AD59" t="s">
        <v>742</v>
      </c>
      <c r="AE59">
        <v>199170.5</v>
      </c>
      <c r="AH59" t="s">
        <v>742</v>
      </c>
      <c r="AI59" s="1945">
        <v>199170.5</v>
      </c>
    </row>
    <row r="60" spans="1:83" x14ac:dyDescent="0.3">
      <c r="AD60" t="s">
        <v>743</v>
      </c>
      <c r="AE60" t="e">
        <v>#N/A</v>
      </c>
      <c r="AH60" t="s">
        <v>743</v>
      </c>
      <c r="AI60" t="e">
        <v>#N/A</v>
      </c>
    </row>
    <row r="61" spans="1:83" x14ac:dyDescent="0.3">
      <c r="L61" s="1457">
        <f>L36</f>
        <v>111508</v>
      </c>
      <c r="AD61" t="s">
        <v>744</v>
      </c>
      <c r="AE61">
        <v>165509.82644875147</v>
      </c>
      <c r="AH61" t="s">
        <v>744</v>
      </c>
      <c r="AI61" s="1945">
        <v>165509.82644875147</v>
      </c>
    </row>
    <row r="62" spans="1:83" x14ac:dyDescent="0.3">
      <c r="L62" s="535">
        <f>LN(L61)</f>
        <v>11.621851616187406</v>
      </c>
      <c r="AD62" t="s">
        <v>745</v>
      </c>
      <c r="AE62">
        <v>27393502651.095833</v>
      </c>
      <c r="AH62" t="s">
        <v>745</v>
      </c>
      <c r="AI62">
        <v>27393502651.095833</v>
      </c>
    </row>
    <row r="63" spans="1:83" x14ac:dyDescent="0.3">
      <c r="AD63" t="s">
        <v>746</v>
      </c>
      <c r="AE63">
        <v>-0.68869567843970048</v>
      </c>
      <c r="AH63" t="s">
        <v>746</v>
      </c>
      <c r="AI63">
        <v>-0.68869567843970048</v>
      </c>
    </row>
    <row r="64" spans="1:83" x14ac:dyDescent="0.3">
      <c r="AD64" t="s">
        <v>747</v>
      </c>
      <c r="AE64">
        <v>0.64970265208324585</v>
      </c>
      <c r="AH64" t="s">
        <v>747</v>
      </c>
      <c r="AI64">
        <v>0.64970265208324585</v>
      </c>
    </row>
    <row r="65" spans="30:35" x14ac:dyDescent="0.3">
      <c r="AD65" t="s">
        <v>748</v>
      </c>
      <c r="AE65">
        <v>527008</v>
      </c>
      <c r="AH65" t="s">
        <v>748</v>
      </c>
      <c r="AI65" s="1945">
        <v>527008</v>
      </c>
    </row>
    <row r="66" spans="30:35" x14ac:dyDescent="0.3">
      <c r="AD66" t="s">
        <v>749</v>
      </c>
      <c r="AE66">
        <v>54550</v>
      </c>
      <c r="AH66" t="s">
        <v>749</v>
      </c>
      <c r="AI66" s="1945">
        <v>54550</v>
      </c>
    </row>
    <row r="67" spans="30:35" x14ac:dyDescent="0.3">
      <c r="AD67" t="s">
        <v>750</v>
      </c>
      <c r="AE67">
        <v>581558</v>
      </c>
      <c r="AH67" t="s">
        <v>750</v>
      </c>
      <c r="AI67" s="1945">
        <v>581558</v>
      </c>
    </row>
    <row r="68" spans="30:35" x14ac:dyDescent="0.3">
      <c r="AD68" t="s">
        <v>751</v>
      </c>
      <c r="AE68">
        <v>4256387</v>
      </c>
      <c r="AH68" t="s">
        <v>751</v>
      </c>
      <c r="AI68" s="1945">
        <v>4256387</v>
      </c>
    </row>
    <row r="69" spans="30:35" x14ac:dyDescent="0.3">
      <c r="AD69" t="s">
        <v>752</v>
      </c>
      <c r="AE69">
        <v>16</v>
      </c>
      <c r="AH69" t="s">
        <v>752</v>
      </c>
      <c r="AI69" s="1945">
        <v>16</v>
      </c>
    </row>
    <row r="70" spans="30:35" x14ac:dyDescent="0.3">
      <c r="AD70" t="s">
        <v>753</v>
      </c>
      <c r="AE70">
        <v>437526</v>
      </c>
      <c r="AH70" t="s">
        <v>754</v>
      </c>
      <c r="AI70" s="1945">
        <v>581558</v>
      </c>
    </row>
    <row r="71" spans="30:35" x14ac:dyDescent="0.3">
      <c r="AD71" t="s">
        <v>755</v>
      </c>
      <c r="AE71">
        <v>154595</v>
      </c>
      <c r="AH71" t="s">
        <v>756</v>
      </c>
      <c r="AI71" s="1945">
        <v>54550</v>
      </c>
    </row>
    <row r="72" spans="30:35" ht="15" thickBot="1" x14ac:dyDescent="0.35">
      <c r="AD72" s="1024" t="s">
        <v>757</v>
      </c>
      <c r="AE72" s="1024">
        <v>88193.9610924671</v>
      </c>
      <c r="AH72" s="1024" t="s">
        <v>757</v>
      </c>
      <c r="AI72" s="1946">
        <v>88193.9610924671</v>
      </c>
    </row>
  </sheetData>
  <sheetProtection formatCells="0" formatRows="0" sort="0" pivotTables="0"/>
  <autoFilter ref="A1:BI48" xr:uid="{7D34537F-DE70-4AB1-91C4-EAA738ECA5E3}"/>
  <mergeCells count="2">
    <mergeCell ref="E53:L54"/>
    <mergeCell ref="E50:L51"/>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8">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T47">
    <cfRule type="colorScale" priority="5">
      <colorScale>
        <cfvo type="min"/>
        <cfvo type="max"/>
        <color rgb="FFFCFCFF"/>
        <color rgb="FFF8696B"/>
      </colorScale>
    </cfRule>
    <cfRule type="colorScale" priority="6">
      <colorScale>
        <cfvo type="min"/>
        <cfvo type="percentile" val="50"/>
        <cfvo type="max"/>
        <color rgb="FFF8696B"/>
        <color rgb="FFFFEB84"/>
        <color rgb="FF63BE7B"/>
      </colorScale>
    </cfRule>
  </conditionalFormatting>
  <conditionalFormatting sqref="AU47">
    <cfRule type="colorScale" priority="8">
      <colorScale>
        <cfvo type="min"/>
        <cfvo type="max"/>
        <color rgb="FFFCFCFF"/>
        <color rgb="FFF8696B"/>
      </colorScale>
    </cfRule>
    <cfRule type="colorScale" priority="9">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BS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1" t="s">
        <v>758</v>
      </c>
      <c r="B1" s="2089" t="s">
        <v>759</v>
      </c>
      <c r="C1" s="2089" t="s">
        <v>760</v>
      </c>
      <c r="D1" s="2082" t="s">
        <v>761</v>
      </c>
      <c r="E1" s="2057"/>
      <c r="F1" s="2089" t="s">
        <v>762</v>
      </c>
      <c r="G1" s="2082" t="s">
        <v>761</v>
      </c>
      <c r="H1" s="2057"/>
      <c r="I1" s="2089" t="s">
        <v>763</v>
      </c>
      <c r="J1" s="2082" t="s">
        <v>761</v>
      </c>
      <c r="K1" s="2057"/>
      <c r="L1" s="2089" t="s">
        <v>764</v>
      </c>
      <c r="M1" s="2082" t="s">
        <v>761</v>
      </c>
      <c r="N1" s="2057"/>
      <c r="O1" s="2089" t="s">
        <v>765</v>
      </c>
      <c r="P1" s="2082" t="s">
        <v>766</v>
      </c>
      <c r="Q1" s="2057">
        <v>0</v>
      </c>
      <c r="R1" s="2089" t="s">
        <v>767</v>
      </c>
      <c r="S1" s="2057"/>
      <c r="T1" s="2089" t="s">
        <v>768</v>
      </c>
      <c r="U1" s="2057"/>
      <c r="V1" s="2089" t="s">
        <v>769</v>
      </c>
      <c r="W1" s="2106" t="s">
        <v>770</v>
      </c>
      <c r="X1" s="2082" t="s">
        <v>771</v>
      </c>
      <c r="Y1" s="2057"/>
      <c r="Z1" s="2093" t="s">
        <v>772</v>
      </c>
      <c r="AA1" s="2094" t="str">
        <f>'Sockeye Returns Data'!C1</f>
        <v>Total Sox (Mouth)  [24-hour]</v>
      </c>
      <c r="AB1" s="2082" t="s">
        <v>773</v>
      </c>
      <c r="AC1" s="2057"/>
      <c r="AD1" s="2082" t="s">
        <v>774</v>
      </c>
      <c r="AE1" s="2082" t="str">
        <f>'Sockeye Returns Data'!AD1</f>
        <v>Estimated Okanagan Sockeye Returns</v>
      </c>
      <c r="AF1" s="2082" t="s">
        <v>775</v>
      </c>
      <c r="AG1" s="2057"/>
      <c r="AH1" s="2082" t="s">
        <v>776</v>
      </c>
      <c r="AI1" s="2057"/>
      <c r="AJ1" s="2083" t="s">
        <v>777</v>
      </c>
      <c r="AK1" s="2076" t="str">
        <f>'Sockeye Returns Data'!BW1</f>
        <v>Estimated Osoyoos Sockeye Returns (N-O)</v>
      </c>
      <c r="AL1" s="2077" t="s">
        <v>778</v>
      </c>
    </row>
    <row r="2" spans="1:38" x14ac:dyDescent="0.3">
      <c r="A2" s="854">
        <v>1</v>
      </c>
      <c r="B2" s="2090">
        <v>1984</v>
      </c>
      <c r="C2" s="2075">
        <v>152545</v>
      </c>
      <c r="D2" s="2100" t="b">
        <f>C2='Sockeye Returns Data'!D9</f>
        <v>1</v>
      </c>
      <c r="E2" s="2075"/>
      <c r="F2" s="2075">
        <v>149</v>
      </c>
      <c r="G2" s="2100" t="b">
        <f>F2='Sockeye Returns Data'!F9</f>
        <v>1</v>
      </c>
      <c r="H2" s="2075"/>
      <c r="I2" s="1103">
        <v>0.84</v>
      </c>
      <c r="J2" s="2100" t="b">
        <f>I2='Sockeye Returns Data'!U9</f>
        <v>1</v>
      </c>
      <c r="K2" s="2075"/>
      <c r="L2" s="2075">
        <v>9345</v>
      </c>
      <c r="M2" s="2100" t="b">
        <f>L2='Sockeye Returns Data'!AI9</f>
        <v>1</v>
      </c>
      <c r="N2" s="2075"/>
      <c r="O2" s="2114">
        <v>159537.197945041</v>
      </c>
      <c r="P2" s="2057">
        <f>'Sockeye Returns Data'!E9/O2</f>
        <v>0.99608558889033427</v>
      </c>
      <c r="Q2" s="2075"/>
      <c r="R2" s="1103">
        <v>1</v>
      </c>
      <c r="S2" s="1103"/>
      <c r="T2" s="1103">
        <v>1</v>
      </c>
      <c r="U2" s="1103"/>
      <c r="V2" s="1103">
        <v>1</v>
      </c>
      <c r="W2" s="2107"/>
      <c r="X2" s="2102" t="b">
        <f>V2='Sockeye Returns Data'!BQ9</f>
        <v>1</v>
      </c>
      <c r="Y2" s="1103"/>
      <c r="Z2" s="2095">
        <v>168733.197945041</v>
      </c>
      <c r="AA2" s="2095">
        <f>'Sockeye Returns Data'!C9</f>
        <v>168257.70376499998</v>
      </c>
      <c r="AB2" s="2057">
        <f>AA2/Z2</f>
        <v>0.99718197612661919</v>
      </c>
      <c r="AC2" s="2057"/>
      <c r="AD2" s="2075">
        <v>141735.88627383401</v>
      </c>
      <c r="AE2" s="2075">
        <f>'Sockeye Returns Data'!AD9</f>
        <v>141211.31116259997</v>
      </c>
      <c r="AF2" s="2057">
        <f>AE2/AD2</f>
        <v>0.99629892524028418</v>
      </c>
      <c r="AG2" s="2075"/>
      <c r="AH2" s="2075">
        <v>141681.96</v>
      </c>
      <c r="AI2" s="2097"/>
      <c r="AJ2" s="2084">
        <v>141735.88627383401</v>
      </c>
      <c r="AK2" s="2078">
        <f t="shared" ref="AK2:AK28" si="0">VLOOKUP(B2,SockeyeReturnsData,75)</f>
        <v>0</v>
      </c>
      <c r="AL2" s="485">
        <f t="shared" ref="AL2:AL28" si="1">AK2/AJ2</f>
        <v>0</v>
      </c>
    </row>
    <row r="3" spans="1:38" x14ac:dyDescent="0.3">
      <c r="A3" s="854">
        <v>2</v>
      </c>
      <c r="B3" s="2090">
        <v>1985</v>
      </c>
      <c r="C3" s="2075">
        <v>166340</v>
      </c>
      <c r="D3" s="2100" t="b">
        <f>C3='Sockeye Returns Data'!D10</f>
        <v>1</v>
      </c>
      <c r="E3" s="2075"/>
      <c r="F3" s="2075">
        <v>59</v>
      </c>
      <c r="G3" s="2100" t="b">
        <f>F3='Sockeye Returns Data'!F10</f>
        <v>1</v>
      </c>
      <c r="H3" s="2075"/>
      <c r="I3" s="1103">
        <v>0.59</v>
      </c>
      <c r="J3" s="2102" t="b">
        <f>I3='Sockeye Returns Data'!U10</f>
        <v>1</v>
      </c>
      <c r="K3" s="1103"/>
      <c r="L3" s="2075">
        <v>32213</v>
      </c>
      <c r="M3" s="2100" t="b">
        <f>L3='Sockeye Returns Data'!AI10</f>
        <v>1</v>
      </c>
      <c r="N3" s="2075"/>
      <c r="O3" s="2114">
        <v>174065.29717571099</v>
      </c>
      <c r="P3" s="2057">
        <f>'Sockeye Returns Data'!E10/O3</f>
        <v>0.99564935005426991</v>
      </c>
      <c r="Q3" s="2075"/>
      <c r="R3" s="1103">
        <v>1</v>
      </c>
      <c r="S3" s="1103"/>
      <c r="T3" s="1103">
        <v>1</v>
      </c>
      <c r="U3" s="1103"/>
      <c r="V3" s="1103">
        <v>1</v>
      </c>
      <c r="W3" s="2107"/>
      <c r="X3" s="2102" t="b">
        <f>V3='Sockeye Returns Data'!BQ10</f>
        <v>1</v>
      </c>
      <c r="Y3" s="1103"/>
      <c r="Z3" s="2095">
        <v>206219.29717571099</v>
      </c>
      <c r="AA3" s="2095">
        <f>'Sockeye Returns Data'!C10</f>
        <v>205521</v>
      </c>
      <c r="AB3" s="2057">
        <f t="shared" ref="AB3:AB39" si="2">AA3/Z3</f>
        <v>0.99661381264859994</v>
      </c>
      <c r="AC3" s="2057"/>
      <c r="AD3" s="2075">
        <v>121669.38533366899</v>
      </c>
      <c r="AE3" s="2075">
        <f>'Sockeye Returns Data'!AD10</f>
        <v>121223</v>
      </c>
      <c r="AF3" s="2057">
        <f t="shared" ref="AF3:AF39" si="3">AE3/AD3</f>
        <v>0.99633116143025779</v>
      </c>
      <c r="AG3" s="2075"/>
      <c r="AH3" s="2075">
        <v>121611.98</v>
      </c>
      <c r="AI3" s="2097"/>
      <c r="AJ3" s="2084">
        <v>121669.38533366899</v>
      </c>
      <c r="AK3" s="2078">
        <f t="shared" si="0"/>
        <v>0</v>
      </c>
      <c r="AL3" s="485">
        <f t="shared" si="1"/>
        <v>0</v>
      </c>
    </row>
    <row r="4" spans="1:38" x14ac:dyDescent="0.3">
      <c r="A4" s="854">
        <v>3</v>
      </c>
      <c r="B4" s="2090">
        <v>1986</v>
      </c>
      <c r="C4" s="2075">
        <v>58123</v>
      </c>
      <c r="D4" s="2100" t="b">
        <f>C4='Sockeye Returns Data'!D11</f>
        <v>1</v>
      </c>
      <c r="E4" s="2075"/>
      <c r="F4" s="2075">
        <v>24</v>
      </c>
      <c r="G4" s="2100" t="b">
        <f>F4='Sockeye Returns Data'!F11</f>
        <v>1</v>
      </c>
      <c r="H4" s="2075"/>
      <c r="I4" s="1103">
        <v>0.79</v>
      </c>
      <c r="J4" s="2102" t="b">
        <f>I4='Sockeye Returns Data'!U11</f>
        <v>1</v>
      </c>
      <c r="K4" s="1103"/>
      <c r="L4" s="2075">
        <v>1840</v>
      </c>
      <c r="M4" s="2100" t="b">
        <f>L4='Sockeye Returns Data'!AI11</f>
        <v>1</v>
      </c>
      <c r="N4" s="2075"/>
      <c r="O4" s="2114">
        <v>60424.466406549604</v>
      </c>
      <c r="P4" s="2057">
        <f>'Sockeye Returns Data'!E11/O4</f>
        <v>0.9992640993095343</v>
      </c>
      <c r="Q4" s="2075"/>
      <c r="R4" s="1103">
        <v>1</v>
      </c>
      <c r="S4" s="1103"/>
      <c r="T4" s="1103">
        <v>1</v>
      </c>
      <c r="U4" s="1103"/>
      <c r="V4" s="1103">
        <v>1</v>
      </c>
      <c r="W4" s="2107"/>
      <c r="X4" s="2102" t="b">
        <f>V4='Sockeye Returns Data'!BQ11</f>
        <v>1</v>
      </c>
      <c r="Y4" s="1103"/>
      <c r="Z4" s="2095">
        <v>62240.466406549604</v>
      </c>
      <c r="AA4" s="2095">
        <f>'Sockeye Returns Data'!C11</f>
        <v>62220</v>
      </c>
      <c r="AB4" s="2057">
        <f t="shared" si="2"/>
        <v>0.99967117202470945</v>
      </c>
      <c r="AC4" s="2057"/>
      <c r="AD4" s="2075">
        <v>49169.968461174198</v>
      </c>
      <c r="AE4" s="2075">
        <f>'Sockeye Returns Data'!AD11</f>
        <v>49135</v>
      </c>
      <c r="AF4" s="2057">
        <f t="shared" si="3"/>
        <v>0.99928882481993431</v>
      </c>
      <c r="AG4" s="2075"/>
      <c r="AH4" s="2075">
        <v>49205.94</v>
      </c>
      <c r="AI4" s="2097"/>
      <c r="AJ4" s="2084">
        <v>49169.968461174198</v>
      </c>
      <c r="AK4" s="2078">
        <f t="shared" si="0"/>
        <v>0</v>
      </c>
      <c r="AL4" s="485">
        <f t="shared" si="1"/>
        <v>0</v>
      </c>
    </row>
    <row r="5" spans="1:38" x14ac:dyDescent="0.3">
      <c r="A5" s="854">
        <v>4</v>
      </c>
      <c r="B5" s="2090">
        <v>1987</v>
      </c>
      <c r="C5" s="2075">
        <v>116993</v>
      </c>
      <c r="D5" s="2100" t="b">
        <f>C5='Sockeye Returns Data'!D12</f>
        <v>1</v>
      </c>
      <c r="E5" s="2075"/>
      <c r="F5" s="2075">
        <v>55</v>
      </c>
      <c r="G5" s="2100" t="b">
        <f>F5='Sockeye Returns Data'!F12</f>
        <v>1</v>
      </c>
      <c r="H5" s="2075"/>
      <c r="I5" s="1103">
        <v>0.66</v>
      </c>
      <c r="J5" s="2102" t="b">
        <f>I5='Sockeye Returns Data'!U12</f>
        <v>1</v>
      </c>
      <c r="K5" s="1103"/>
      <c r="L5" s="2075">
        <v>28553</v>
      </c>
      <c r="M5" s="2100" t="b">
        <f>L5='Sockeye Returns Data'!AI12</f>
        <v>1</v>
      </c>
      <c r="N5" s="2075"/>
      <c r="O5" s="2114">
        <v>122144.064092691</v>
      </c>
      <c r="P5" s="2057">
        <f>'Sockeye Returns Data'!E12/O5</f>
        <v>0.99728956052715123</v>
      </c>
      <c r="Q5" s="2075"/>
      <c r="R5" s="1103">
        <v>1</v>
      </c>
      <c r="S5" s="1103"/>
      <c r="T5" s="1103">
        <v>1</v>
      </c>
      <c r="U5" s="1103"/>
      <c r="V5" s="1103">
        <v>1</v>
      </c>
      <c r="W5" s="2107"/>
      <c r="X5" s="2102" t="b">
        <f>V5='Sockeye Returns Data'!BQ12</f>
        <v>1</v>
      </c>
      <c r="Y5" s="1103"/>
      <c r="Z5" s="2095">
        <v>150642.064092691</v>
      </c>
      <c r="AA5" s="2095">
        <f>'Sockeye Returns Data'!C12</f>
        <v>150366</v>
      </c>
      <c r="AB5" s="2057">
        <f t="shared" si="2"/>
        <v>0.99816741695386535</v>
      </c>
      <c r="AC5" s="2057"/>
      <c r="AD5" s="2075">
        <v>99423.762301176204</v>
      </c>
      <c r="AE5" s="2075">
        <f>'Sockeye Returns Data'!AD12</f>
        <v>99205</v>
      </c>
      <c r="AF5" s="2057">
        <f t="shared" si="3"/>
        <v>0.99779969801873392</v>
      </c>
      <c r="AG5" s="2075"/>
      <c r="AH5" s="2075">
        <v>99421.74</v>
      </c>
      <c r="AI5" s="2097"/>
      <c r="AJ5" s="2084">
        <v>99423.762301176204</v>
      </c>
      <c r="AK5" s="2078">
        <f t="shared" si="0"/>
        <v>0</v>
      </c>
      <c r="AL5" s="485">
        <f t="shared" si="1"/>
        <v>0</v>
      </c>
    </row>
    <row r="6" spans="1:38" x14ac:dyDescent="0.3">
      <c r="A6" s="854">
        <v>5</v>
      </c>
      <c r="B6" s="2090">
        <v>1988</v>
      </c>
      <c r="C6" s="2075">
        <v>79714</v>
      </c>
      <c r="D6" s="2100" t="b">
        <f>C6='Sockeye Returns Data'!D13</f>
        <v>1</v>
      </c>
      <c r="E6" s="2075"/>
      <c r="F6" s="2075">
        <v>45</v>
      </c>
      <c r="G6" s="2100" t="b">
        <f>F6='Sockeye Returns Data'!F13</f>
        <v>1</v>
      </c>
      <c r="H6" s="2075"/>
      <c r="I6" s="1103">
        <v>0.78</v>
      </c>
      <c r="J6" s="2102" t="b">
        <f>I6='Sockeye Returns Data'!U13</f>
        <v>1</v>
      </c>
      <c r="K6" s="1103"/>
      <c r="L6" s="2075">
        <v>17632</v>
      </c>
      <c r="M6" s="2100" t="b">
        <f>L6='Sockeye Returns Data'!AI13</f>
        <v>1</v>
      </c>
      <c r="N6" s="2075"/>
      <c r="O6" s="2114">
        <v>83025.302844712496</v>
      </c>
      <c r="P6" s="2057">
        <f>'Sockeye Returns Data'!E13/O6</f>
        <v>0.99862327699151809</v>
      </c>
      <c r="Q6" s="2075"/>
      <c r="R6" s="1103">
        <v>1</v>
      </c>
      <c r="S6" s="1103"/>
      <c r="T6" s="1103">
        <v>1</v>
      </c>
      <c r="U6" s="1103"/>
      <c r="V6" s="1103">
        <v>1</v>
      </c>
      <c r="W6" s="2107"/>
      <c r="X6" s="2102" t="b">
        <f>V6='Sockeye Returns Data'!BQ13</f>
        <v>1</v>
      </c>
      <c r="Y6" s="1103"/>
      <c r="Z6" s="2095">
        <v>100612.302844712</v>
      </c>
      <c r="AA6" s="2095">
        <f>'Sockeye Returns Data'!C13</f>
        <v>100543</v>
      </c>
      <c r="AB6" s="2057">
        <f t="shared" si="2"/>
        <v>0.9993111891612404</v>
      </c>
      <c r="AC6" s="2057"/>
      <c r="AD6" s="2075">
        <v>78477.596218875799</v>
      </c>
      <c r="AE6" s="2075">
        <f>'Sockeye Returns Data'!AD13</f>
        <v>78388</v>
      </c>
      <c r="AF6" s="2057">
        <f t="shared" si="3"/>
        <v>0.99885832105986128</v>
      </c>
      <c r="AG6" s="2075"/>
      <c r="AH6" s="2075">
        <v>78514.02</v>
      </c>
      <c r="AI6" s="2097"/>
      <c r="AJ6" s="2084">
        <v>78477.596218875799</v>
      </c>
      <c r="AK6" s="2078">
        <f t="shared" si="0"/>
        <v>0</v>
      </c>
      <c r="AL6" s="485">
        <f t="shared" si="1"/>
        <v>0</v>
      </c>
    </row>
    <row r="7" spans="1:38" x14ac:dyDescent="0.3">
      <c r="A7" s="854">
        <v>6</v>
      </c>
      <c r="B7" s="2090">
        <v>1989</v>
      </c>
      <c r="C7" s="2075">
        <v>41884</v>
      </c>
      <c r="D7" s="2100" t="b">
        <f>C7='Sockeye Returns Data'!D14</f>
        <v>1</v>
      </c>
      <c r="E7" s="2075"/>
      <c r="F7" s="2075">
        <v>4</v>
      </c>
      <c r="G7" s="2100" t="b">
        <f>F7='Sockeye Returns Data'!F14</f>
        <v>1</v>
      </c>
      <c r="H7" s="2075"/>
      <c r="I7" s="1103">
        <v>0.42</v>
      </c>
      <c r="J7" s="2102" t="b">
        <f>I7='Sockeye Returns Data'!U14</f>
        <v>1</v>
      </c>
      <c r="K7" s="1103"/>
      <c r="L7" s="2075">
        <v>36</v>
      </c>
      <c r="M7" s="2100" t="b">
        <f>L7='Sockeye Returns Data'!AI14</f>
        <v>1</v>
      </c>
      <c r="N7" s="2075"/>
      <c r="O7" s="2114">
        <v>43462.052806105799</v>
      </c>
      <c r="P7" s="2057">
        <f>'Sockeye Returns Data'!E14/O7</f>
        <v>0.99935454484326935</v>
      </c>
      <c r="Q7" s="2075"/>
      <c r="R7" s="1103">
        <v>1</v>
      </c>
      <c r="S7" s="1103"/>
      <c r="T7" s="1103">
        <v>1</v>
      </c>
      <c r="U7" s="1103"/>
      <c r="V7" s="1103">
        <v>1</v>
      </c>
      <c r="W7" s="2107"/>
      <c r="X7" s="2102" t="b">
        <f>V7='Sockeye Returns Data'!BQ14</f>
        <v>1</v>
      </c>
      <c r="Y7" s="1103"/>
      <c r="Z7" s="2095">
        <v>43494.052806105799</v>
      </c>
      <c r="AA7" s="2095">
        <f>'Sockeye Returns Data'!C14</f>
        <v>43470</v>
      </c>
      <c r="AB7" s="2057">
        <f t="shared" si="2"/>
        <v>0.99944698632217543</v>
      </c>
      <c r="AC7" s="2057"/>
      <c r="AD7" s="2075">
        <v>18267.502178564398</v>
      </c>
      <c r="AE7" s="2075">
        <f>'Sockeye Returns Data'!AD14</f>
        <v>18256</v>
      </c>
      <c r="AF7" s="2057">
        <f t="shared" si="3"/>
        <v>0.99937034749184839</v>
      </c>
      <c r="AG7" s="2075"/>
      <c r="AH7" s="2075">
        <v>18294.36</v>
      </c>
      <c r="AI7" s="2097"/>
      <c r="AJ7" s="2084">
        <v>18267.502178564398</v>
      </c>
      <c r="AK7" s="2078">
        <f t="shared" si="0"/>
        <v>0</v>
      </c>
      <c r="AL7" s="485">
        <f t="shared" si="1"/>
        <v>0</v>
      </c>
    </row>
    <row r="8" spans="1:38" x14ac:dyDescent="0.3">
      <c r="A8" s="854">
        <v>7</v>
      </c>
      <c r="B8" s="2090">
        <v>1990</v>
      </c>
      <c r="C8" s="2075">
        <v>49581</v>
      </c>
      <c r="D8" s="2100" t="b">
        <f>C8='Sockeye Returns Data'!D15</f>
        <v>1</v>
      </c>
      <c r="E8" s="2075"/>
      <c r="F8" s="2075">
        <v>1</v>
      </c>
      <c r="G8" s="2100" t="b">
        <f>F8='Sockeye Returns Data'!F15</f>
        <v>1</v>
      </c>
      <c r="H8" s="2075"/>
      <c r="I8" s="1103">
        <v>0.24</v>
      </c>
      <c r="J8" s="2102" t="b">
        <f>I8='Sockeye Returns Data'!U15</f>
        <v>1</v>
      </c>
      <c r="K8" s="1103"/>
      <c r="L8" s="2075">
        <v>173</v>
      </c>
      <c r="M8" s="2100" t="b">
        <f>L8='Sockeye Returns Data'!AI15</f>
        <v>1</v>
      </c>
      <c r="N8" s="2075"/>
      <c r="O8" s="2114">
        <v>51497.467264459003</v>
      </c>
      <c r="P8" s="2057">
        <f>'Sockeye Returns Data'!E15/O8</f>
        <v>0.99938895510535686</v>
      </c>
      <c r="Q8" s="2075"/>
      <c r="R8" s="1103">
        <v>1</v>
      </c>
      <c r="S8" s="1103"/>
      <c r="T8" s="1103">
        <v>1</v>
      </c>
      <c r="U8" s="1103"/>
      <c r="V8" s="1103">
        <v>1</v>
      </c>
      <c r="W8" s="2107"/>
      <c r="X8" s="2102" t="b">
        <f>V8='Sockeye Returns Data'!BQ15</f>
        <v>1</v>
      </c>
      <c r="Y8" s="1103"/>
      <c r="Z8" s="2095">
        <v>51669.467264459003</v>
      </c>
      <c r="AA8" s="2095">
        <f>'Sockeye Returns Data'!C15</f>
        <v>51639</v>
      </c>
      <c r="AB8" s="2057">
        <f t="shared" si="2"/>
        <v>0.99941034297289999</v>
      </c>
      <c r="AC8" s="2057"/>
      <c r="AD8" s="2075">
        <v>12400.672143470199</v>
      </c>
      <c r="AE8" s="2075">
        <f>'Sockeye Returns Data'!AD15</f>
        <v>12393</v>
      </c>
      <c r="AF8" s="2057">
        <f t="shared" si="3"/>
        <v>0.99938131228844407</v>
      </c>
      <c r="AG8" s="2075"/>
      <c r="AH8" s="2075">
        <v>12415.44</v>
      </c>
      <c r="AI8" s="2097"/>
      <c r="AJ8" s="2084">
        <v>12400.672143470199</v>
      </c>
      <c r="AK8" s="2078">
        <f t="shared" si="0"/>
        <v>0</v>
      </c>
      <c r="AL8" s="485">
        <f t="shared" si="1"/>
        <v>0</v>
      </c>
    </row>
    <row r="9" spans="1:38" x14ac:dyDescent="0.3">
      <c r="A9" s="854">
        <v>8</v>
      </c>
      <c r="B9" s="2090">
        <v>1991</v>
      </c>
      <c r="C9" s="2075">
        <v>76481</v>
      </c>
      <c r="D9" s="2100" t="b">
        <f>C9='Sockeye Returns Data'!D16</f>
        <v>1</v>
      </c>
      <c r="E9" s="2075"/>
      <c r="F9" s="2075">
        <v>10</v>
      </c>
      <c r="G9" s="2100" t="b">
        <f>F9='Sockeye Returns Data'!F16</f>
        <v>1</v>
      </c>
      <c r="H9" s="2075"/>
      <c r="I9" s="1103">
        <v>0.5</v>
      </c>
      <c r="J9" s="2102" t="b">
        <f>I9='Sockeye Returns Data'!U16</f>
        <v>1</v>
      </c>
      <c r="K9" s="1103"/>
      <c r="L9" s="2075">
        <v>3</v>
      </c>
      <c r="M9" s="2100" t="b">
        <f>L9='Sockeye Returns Data'!AI16</f>
        <v>1</v>
      </c>
      <c r="N9" s="2075"/>
      <c r="O9" s="2114">
        <v>79638.116404690794</v>
      </c>
      <c r="P9" s="2057">
        <f>'Sockeye Returns Data'!E16/O9</f>
        <v>0.99873030140269814</v>
      </c>
      <c r="Q9" s="2075"/>
      <c r="R9" s="1103">
        <v>1</v>
      </c>
      <c r="S9" s="1103"/>
      <c r="T9" s="1103">
        <v>1</v>
      </c>
      <c r="U9" s="1103"/>
      <c r="V9" s="1103">
        <v>1</v>
      </c>
      <c r="W9" s="2107"/>
      <c r="X9" s="2102" t="b">
        <f>V9='Sockeye Returns Data'!BQ16</f>
        <v>1</v>
      </c>
      <c r="Y9" s="1103"/>
      <c r="Z9" s="2095">
        <v>79631.116404690794</v>
      </c>
      <c r="AA9" s="2095">
        <f>'Sockeye Returns Data'!C16</f>
        <v>79540</v>
      </c>
      <c r="AB9" s="2057">
        <f t="shared" si="2"/>
        <v>0.99885576884006333</v>
      </c>
      <c r="AC9" s="2057"/>
      <c r="AD9" s="2075">
        <v>39815.558202345397</v>
      </c>
      <c r="AE9" s="2075">
        <f>'Sockeye Returns Data'!AD16</f>
        <v>39765</v>
      </c>
      <c r="AF9" s="2057">
        <f t="shared" si="3"/>
        <v>0.99873018978941708</v>
      </c>
      <c r="AG9" s="2075"/>
      <c r="AH9" s="2075">
        <v>39836.75</v>
      </c>
      <c r="AI9" s="2097"/>
      <c r="AJ9" s="2084">
        <v>39815.558202345397</v>
      </c>
      <c r="AK9" s="2078">
        <f t="shared" si="0"/>
        <v>0</v>
      </c>
      <c r="AL9" s="485">
        <f t="shared" si="1"/>
        <v>0</v>
      </c>
    </row>
    <row r="10" spans="1:38" x14ac:dyDescent="0.3">
      <c r="A10" s="854">
        <v>9</v>
      </c>
      <c r="B10" s="2090">
        <v>1992</v>
      </c>
      <c r="C10" s="2075">
        <v>84992</v>
      </c>
      <c r="D10" s="2100" t="b">
        <f>C10='Sockeye Returns Data'!D17</f>
        <v>1</v>
      </c>
      <c r="E10" s="2075"/>
      <c r="F10" s="2075">
        <v>35</v>
      </c>
      <c r="G10" s="2100" t="b">
        <f>F10='Sockeye Returns Data'!F17</f>
        <v>1</v>
      </c>
      <c r="H10" s="2075"/>
      <c r="I10" s="1103">
        <v>0.69</v>
      </c>
      <c r="J10" s="2102" t="b">
        <f>I10='Sockeye Returns Data'!U17</f>
        <v>1</v>
      </c>
      <c r="K10" s="1103"/>
      <c r="L10" s="2075">
        <v>8</v>
      </c>
      <c r="M10" s="2100" t="b">
        <f>L10='Sockeye Returns Data'!AI17</f>
        <v>1</v>
      </c>
      <c r="N10" s="2075"/>
      <c r="O10" s="2114">
        <v>88557.048848219303</v>
      </c>
      <c r="P10" s="2057">
        <f>'Sockeye Returns Data'!E17/O10</f>
        <v>0.99844113088664566</v>
      </c>
      <c r="Q10" s="2075"/>
      <c r="R10" s="1103">
        <v>1</v>
      </c>
      <c r="S10" s="1103"/>
      <c r="T10" s="1103">
        <v>1</v>
      </c>
      <c r="U10" s="1103"/>
      <c r="V10" s="1103">
        <v>1</v>
      </c>
      <c r="W10" s="2107"/>
      <c r="X10" s="2102" t="b">
        <f>V10='Sockeye Returns Data'!BQ17</f>
        <v>1</v>
      </c>
      <c r="Y10" s="1103"/>
      <c r="Z10" s="2095">
        <v>88530.048848219303</v>
      </c>
      <c r="AA10" s="2095">
        <f>'Sockeye Returns Data'!C17</f>
        <v>88427</v>
      </c>
      <c r="AB10" s="2057">
        <f t="shared" si="2"/>
        <v>0.99883600145306628</v>
      </c>
      <c r="AC10" s="2057"/>
      <c r="AD10" s="2075">
        <v>61085.733705271297</v>
      </c>
      <c r="AE10" s="2075">
        <f>'Sockeye Returns Data'!AD17</f>
        <v>60990</v>
      </c>
      <c r="AF10" s="2057">
        <f t="shared" si="3"/>
        <v>0.99843279765234227</v>
      </c>
      <c r="AG10" s="2075"/>
      <c r="AH10" s="2075">
        <v>61112.264999999999</v>
      </c>
      <c r="AI10" s="2097"/>
      <c r="AJ10" s="2084">
        <v>61085.733705271297</v>
      </c>
      <c r="AK10" s="2078">
        <f t="shared" si="0"/>
        <v>0</v>
      </c>
      <c r="AL10" s="485">
        <f t="shared" si="1"/>
        <v>0</v>
      </c>
    </row>
    <row r="11" spans="1:38" x14ac:dyDescent="0.3">
      <c r="A11" s="854">
        <v>10</v>
      </c>
      <c r="B11" s="2090">
        <v>1993</v>
      </c>
      <c r="C11" s="2075">
        <v>80178</v>
      </c>
      <c r="D11" s="2100" t="b">
        <f>C11='Sockeye Returns Data'!D18</f>
        <v>1</v>
      </c>
      <c r="E11" s="2075"/>
      <c r="F11" s="2075">
        <v>18</v>
      </c>
      <c r="G11" s="2100" t="b">
        <f>F11='Sockeye Returns Data'!F18</f>
        <v>1</v>
      </c>
      <c r="H11" s="2075"/>
      <c r="I11" s="1103">
        <v>0.48</v>
      </c>
      <c r="J11" s="2102" t="b">
        <f>I11='Sockeye Returns Data'!U18</f>
        <v>1</v>
      </c>
      <c r="K11" s="1103"/>
      <c r="L11" s="2075">
        <v>64</v>
      </c>
      <c r="M11" s="2100" t="b">
        <f>L11='Sockeye Returns Data'!AI18</f>
        <v>1</v>
      </c>
      <c r="N11" s="2075"/>
      <c r="O11" s="2114">
        <v>83511.510531361797</v>
      </c>
      <c r="P11" s="2057">
        <f>'Sockeye Returns Data'!E18/O11</f>
        <v>0.99860485661652543</v>
      </c>
      <c r="Q11" s="2075"/>
      <c r="R11" s="1103">
        <v>1</v>
      </c>
      <c r="S11" s="1103"/>
      <c r="T11" s="1103">
        <v>1</v>
      </c>
      <c r="U11" s="1103"/>
      <c r="V11" s="1103">
        <v>1</v>
      </c>
      <c r="W11" s="2107"/>
      <c r="X11" s="2102" t="b">
        <f>V11='Sockeye Returns Data'!BQ18</f>
        <v>1</v>
      </c>
      <c r="Y11" s="1103"/>
      <c r="Z11" s="2095">
        <v>83557.510531361797</v>
      </c>
      <c r="AA11" s="2095">
        <f>'Sockeye Returns Data'!C18</f>
        <v>83459</v>
      </c>
      <c r="AB11" s="2057">
        <f t="shared" si="2"/>
        <v>0.99882104516116688</v>
      </c>
      <c r="AC11" s="2057"/>
      <c r="AD11" s="2075">
        <v>40107.605055053602</v>
      </c>
      <c r="AE11" s="2075">
        <f>'Sockeye Returns Data'!AD18</f>
        <v>40052</v>
      </c>
      <c r="AF11" s="2057">
        <f t="shared" si="3"/>
        <v>0.99861360320624293</v>
      </c>
      <c r="AG11" s="2075"/>
      <c r="AH11" s="2075">
        <v>40130.879999999997</v>
      </c>
      <c r="AI11" s="2097"/>
      <c r="AJ11" s="2084">
        <v>40107.605055053602</v>
      </c>
      <c r="AK11" s="2078">
        <f t="shared" si="0"/>
        <v>0</v>
      </c>
      <c r="AL11" s="485">
        <f t="shared" si="1"/>
        <v>0</v>
      </c>
    </row>
    <row r="12" spans="1:38" x14ac:dyDescent="0.3">
      <c r="A12" s="854">
        <v>11</v>
      </c>
      <c r="B12" s="2090">
        <v>1994</v>
      </c>
      <c r="C12" s="2075">
        <v>12678</v>
      </c>
      <c r="D12" s="2100" t="b">
        <f>C12='Sockeye Returns Data'!D19</f>
        <v>1</v>
      </c>
      <c r="E12" s="2075"/>
      <c r="F12" s="2075">
        <v>5</v>
      </c>
      <c r="G12" s="2100" t="b">
        <f>F12='Sockeye Returns Data'!F19</f>
        <v>1</v>
      </c>
      <c r="H12" s="2075"/>
      <c r="I12" s="1103">
        <v>0.17</v>
      </c>
      <c r="J12" s="2102" t="b">
        <f>I12='Sockeye Returns Data'!U19</f>
        <v>1</v>
      </c>
      <c r="K12" s="1103"/>
      <c r="L12" s="2075">
        <v>1</v>
      </c>
      <c r="M12" s="2100" t="b">
        <f>L12='Sockeye Returns Data'!AI19</f>
        <v>1</v>
      </c>
      <c r="N12" s="2075"/>
      <c r="O12" s="2114">
        <v>13076.479099477499</v>
      </c>
      <c r="P12" s="2057">
        <f>'Sockeye Returns Data'!E19/O12</f>
        <v>0.99078657958606664</v>
      </c>
      <c r="Q12" s="2075"/>
      <c r="R12" s="1103">
        <v>1</v>
      </c>
      <c r="S12" s="1103"/>
      <c r="T12" s="1103">
        <v>1</v>
      </c>
      <c r="U12" s="1103"/>
      <c r="V12" s="1103">
        <v>1</v>
      </c>
      <c r="W12" s="2107"/>
      <c r="X12" s="2102" t="b">
        <f>V12='Sockeye Returns Data'!BQ19</f>
        <v>1</v>
      </c>
      <c r="Y12" s="1103"/>
      <c r="Z12" s="2095">
        <v>13072.479099477499</v>
      </c>
      <c r="AA12" s="2095">
        <f>'Sockeye Returns Data'!C19</f>
        <v>12957</v>
      </c>
      <c r="AB12" s="2057">
        <f t="shared" si="2"/>
        <v>0.99116624332701242</v>
      </c>
      <c r="AC12" s="2057"/>
      <c r="AD12" s="2075">
        <v>2222.3214469111699</v>
      </c>
      <c r="AE12" s="2075">
        <f>'Sockeye Returns Data'!AD19</f>
        <v>2202</v>
      </c>
      <c r="AF12" s="2057">
        <f t="shared" si="3"/>
        <v>0.99085575719056529</v>
      </c>
      <c r="AG12" s="2075"/>
      <c r="AH12" s="2075">
        <v>2227.17</v>
      </c>
      <c r="AI12" s="2097"/>
      <c r="AJ12" s="2084">
        <v>2222.3214469111699</v>
      </c>
      <c r="AK12" s="2078">
        <f t="shared" si="0"/>
        <v>2202</v>
      </c>
      <c r="AL12" s="485">
        <f t="shared" si="1"/>
        <v>0.99085575719056529</v>
      </c>
    </row>
    <row r="13" spans="1:38" x14ac:dyDescent="0.3">
      <c r="A13" s="854">
        <v>12</v>
      </c>
      <c r="B13" s="2090">
        <v>1995</v>
      </c>
      <c r="C13" s="2075">
        <v>8774</v>
      </c>
      <c r="D13" s="2100" t="b">
        <f>C13='Sockeye Returns Data'!D20</f>
        <v>1</v>
      </c>
      <c r="E13" s="2075"/>
      <c r="F13" s="2075">
        <v>5</v>
      </c>
      <c r="G13" s="2100" t="b">
        <f>F13='Sockeye Returns Data'!F20</f>
        <v>1</v>
      </c>
      <c r="H13" s="2075"/>
      <c r="I13" s="1103">
        <v>0.59</v>
      </c>
      <c r="J13" s="2102" t="b">
        <f>I13='Sockeye Returns Data'!U20</f>
        <v>1</v>
      </c>
      <c r="K13" s="1103"/>
      <c r="L13" s="2075">
        <v>1</v>
      </c>
      <c r="M13" s="2100" t="b">
        <f>L13='Sockeye Returns Data'!AI20</f>
        <v>1</v>
      </c>
      <c r="N13" s="2075"/>
      <c r="O13" s="2114">
        <v>9034.7995370563094</v>
      </c>
      <c r="P13" s="2057">
        <f>'Sockeye Returns Data'!E20/O13</f>
        <v>0.9830876671441795</v>
      </c>
      <c r="Q13" s="2075"/>
      <c r="R13" s="1103">
        <v>1</v>
      </c>
      <c r="S13" s="1103"/>
      <c r="T13" s="1103">
        <v>1</v>
      </c>
      <c r="U13" s="1103"/>
      <c r="V13" s="1103">
        <v>1</v>
      </c>
      <c r="W13" s="2107"/>
      <c r="X13" s="2102" t="b">
        <f>V13='Sockeye Returns Data'!BQ20</f>
        <v>1</v>
      </c>
      <c r="Y13" s="1103"/>
      <c r="Z13" s="2095">
        <v>9030.7995370563094</v>
      </c>
      <c r="AA13" s="2095">
        <f>'Sockeye Returns Data'!C20</f>
        <v>8883</v>
      </c>
      <c r="AB13" s="2057">
        <f t="shared" si="2"/>
        <v>0.9836338370207599</v>
      </c>
      <c r="AC13" s="2057"/>
      <c r="AD13" s="2075">
        <v>5328.1717268632201</v>
      </c>
      <c r="AE13" s="2075">
        <f>'Sockeye Returns Data'!AD20</f>
        <v>5238</v>
      </c>
      <c r="AF13" s="2057">
        <f t="shared" si="3"/>
        <v>0.98307642255436356</v>
      </c>
      <c r="AG13" s="2075"/>
      <c r="AH13" s="2075">
        <v>5342.7449999999999</v>
      </c>
      <c r="AI13" s="2097"/>
      <c r="AJ13" s="2084">
        <v>5328.1717268632201</v>
      </c>
      <c r="AK13" s="2078">
        <f t="shared" si="0"/>
        <v>5238</v>
      </c>
      <c r="AL13" s="485">
        <f t="shared" si="1"/>
        <v>0.98307642255436356</v>
      </c>
    </row>
    <row r="14" spans="1:38" x14ac:dyDescent="0.3">
      <c r="A14" s="854">
        <v>13</v>
      </c>
      <c r="B14" s="2090">
        <v>1996</v>
      </c>
      <c r="C14" s="2075">
        <v>30232</v>
      </c>
      <c r="D14" s="2100" t="b">
        <f>C14='Sockeye Returns Data'!D21</f>
        <v>1</v>
      </c>
      <c r="E14" s="2075"/>
      <c r="F14" s="2075">
        <v>3</v>
      </c>
      <c r="G14" s="2100" t="b">
        <f>F14='Sockeye Returns Data'!F21</f>
        <v>1</v>
      </c>
      <c r="H14" s="2075"/>
      <c r="I14" s="1103">
        <v>0.74</v>
      </c>
      <c r="J14" s="2102" t="b">
        <f>I14='Sockeye Returns Data'!U21</f>
        <v>1</v>
      </c>
      <c r="K14" s="1103"/>
      <c r="L14" s="2075">
        <v>25</v>
      </c>
      <c r="M14" s="2100" t="b">
        <f>L14='Sockeye Returns Data'!AI21</f>
        <v>1</v>
      </c>
      <c r="N14" s="2075"/>
      <c r="O14" s="2114">
        <v>31316.091691260601</v>
      </c>
      <c r="P14" s="2057">
        <f>'Sockeye Returns Data'!E21/O14</f>
        <v>0.99868784100948116</v>
      </c>
      <c r="Q14" s="2075"/>
      <c r="R14" s="1103">
        <v>1</v>
      </c>
      <c r="S14" s="1103"/>
      <c r="T14" s="1103">
        <v>1</v>
      </c>
      <c r="U14" s="1103"/>
      <c r="V14" s="1103">
        <v>1</v>
      </c>
      <c r="W14" s="2107"/>
      <c r="X14" s="2102" t="b">
        <f>V14='Sockeye Returns Data'!BQ21</f>
        <v>1</v>
      </c>
      <c r="Y14" s="1103"/>
      <c r="Z14" s="2095">
        <v>31338.091691260601</v>
      </c>
      <c r="AA14" s="2095">
        <f>'Sockeye Returns Data'!C21</f>
        <v>31300</v>
      </c>
      <c r="AB14" s="2057">
        <f t="shared" si="2"/>
        <v>0.99878449231574551</v>
      </c>
      <c r="AC14" s="2057"/>
      <c r="AD14" s="2075">
        <v>23190.187851532799</v>
      </c>
      <c r="AE14" s="2075">
        <f>'Sockeye Returns Data'!AD21</f>
        <v>23160</v>
      </c>
      <c r="AF14" s="2057">
        <f t="shared" si="3"/>
        <v>0.99869824894364523</v>
      </c>
      <c r="AG14" s="2075"/>
      <c r="AH14" s="2075">
        <v>23229.34</v>
      </c>
      <c r="AI14" s="2097"/>
      <c r="AJ14" s="2084">
        <v>23190.187851532799</v>
      </c>
      <c r="AK14" s="2078">
        <f t="shared" si="0"/>
        <v>23160</v>
      </c>
      <c r="AL14" s="485">
        <f t="shared" si="1"/>
        <v>0.99869824894364523</v>
      </c>
    </row>
    <row r="15" spans="1:38" x14ac:dyDescent="0.3">
      <c r="A15" s="854">
        <v>14</v>
      </c>
      <c r="B15" s="2090">
        <v>1997</v>
      </c>
      <c r="C15" s="2075">
        <v>47008</v>
      </c>
      <c r="D15" s="2100" t="b">
        <f>C15='Sockeye Returns Data'!D22</f>
        <v>1</v>
      </c>
      <c r="E15" s="2075"/>
      <c r="F15" s="2075">
        <v>16</v>
      </c>
      <c r="G15" s="2100" t="b">
        <f>F15='Sockeye Returns Data'!F22</f>
        <v>1</v>
      </c>
      <c r="H15" s="2075"/>
      <c r="I15" s="1103">
        <v>0.74</v>
      </c>
      <c r="J15" s="2102" t="b">
        <f>I15='Sockeye Returns Data'!U22</f>
        <v>1</v>
      </c>
      <c r="K15" s="1103"/>
      <c r="L15" s="2075">
        <v>12</v>
      </c>
      <c r="M15" s="2100" t="b">
        <f>L15='Sockeye Returns Data'!AI22</f>
        <v>1</v>
      </c>
      <c r="N15" s="2075"/>
      <c r="O15" s="2114">
        <v>48810.385238077397</v>
      </c>
      <c r="P15" s="2057">
        <f>'Sockeye Returns Data'!E22/O15</f>
        <v>0.99939797160104216</v>
      </c>
      <c r="Q15" s="2075"/>
      <c r="R15" s="1103">
        <v>1</v>
      </c>
      <c r="S15" s="1103"/>
      <c r="T15" s="1103">
        <v>1</v>
      </c>
      <c r="U15" s="1103"/>
      <c r="V15" s="1103">
        <v>1</v>
      </c>
      <c r="W15" s="2107"/>
      <c r="X15" s="2102" t="b">
        <f>V15='Sockeye Returns Data'!BQ22</f>
        <v>1</v>
      </c>
      <c r="Y15" s="1103"/>
      <c r="Z15" s="2095">
        <v>48806.385238077397</v>
      </c>
      <c r="AA15" s="2095">
        <f>'Sockeye Returns Data'!C22</f>
        <v>48793</v>
      </c>
      <c r="AB15" s="2057">
        <f t="shared" si="2"/>
        <v>0.99972574821896554</v>
      </c>
      <c r="AC15" s="2057"/>
      <c r="AD15" s="2075">
        <v>36116.725076177303</v>
      </c>
      <c r="AE15" s="2075">
        <f>'Sockeye Returns Data'!AD22</f>
        <v>36095</v>
      </c>
      <c r="AF15" s="2057">
        <f t="shared" si="3"/>
        <v>0.99939847602097143</v>
      </c>
      <c r="AG15" s="2075"/>
      <c r="AH15" s="2075">
        <v>36163.06</v>
      </c>
      <c r="AI15" s="2097"/>
      <c r="AJ15" s="2084">
        <v>36116.725076177303</v>
      </c>
      <c r="AK15" s="2078">
        <f t="shared" si="0"/>
        <v>36095</v>
      </c>
      <c r="AL15" s="485">
        <f t="shared" si="1"/>
        <v>0.99939847602097143</v>
      </c>
    </row>
    <row r="16" spans="1:38" x14ac:dyDescent="0.3">
      <c r="A16" s="854">
        <v>15</v>
      </c>
      <c r="B16" s="2090">
        <v>1998</v>
      </c>
      <c r="C16" s="2075">
        <v>13218</v>
      </c>
      <c r="D16" s="2100" t="b">
        <f>C16='Sockeye Returns Data'!D23</f>
        <v>1</v>
      </c>
      <c r="E16" s="2075"/>
      <c r="F16" s="2075">
        <v>4</v>
      </c>
      <c r="G16" s="2100" t="b">
        <f>F16='Sockeye Returns Data'!F23</f>
        <v>1</v>
      </c>
      <c r="H16" s="2075"/>
      <c r="I16" s="1103">
        <v>0.56999999999999995</v>
      </c>
      <c r="J16" s="2102" t="b">
        <f>I16='Sockeye Returns Data'!U23</f>
        <v>1</v>
      </c>
      <c r="K16" s="1103"/>
      <c r="L16" s="2075">
        <v>2</v>
      </c>
      <c r="M16" s="2100" t="b">
        <f>L16='Sockeye Returns Data'!AI23</f>
        <v>1</v>
      </c>
      <c r="N16" s="2075"/>
      <c r="O16" s="2114">
        <v>13636.088409346101</v>
      </c>
      <c r="P16" s="2057">
        <f>'Sockeye Returns Data'!E23/O16</f>
        <v>0.99148667815423264</v>
      </c>
      <c r="Q16" s="2075"/>
      <c r="R16" s="1103">
        <v>1</v>
      </c>
      <c r="S16" s="1103"/>
      <c r="T16" s="1103">
        <v>1</v>
      </c>
      <c r="U16" s="1103"/>
      <c r="V16" s="1103">
        <v>1</v>
      </c>
      <c r="W16" s="2107"/>
      <c r="X16" s="2102" t="b">
        <f>V16='Sockeye Returns Data'!BQ23</f>
        <v>1</v>
      </c>
      <c r="Y16" s="1103"/>
      <c r="Z16" s="2095">
        <v>13634.088409346101</v>
      </c>
      <c r="AA16" s="2095">
        <f>'Sockeye Returns Data'!C23</f>
        <v>13522</v>
      </c>
      <c r="AB16" s="2057">
        <f t="shared" si="2"/>
        <v>0.99177881160949022</v>
      </c>
      <c r="AC16" s="2057"/>
      <c r="AD16" s="2075">
        <v>7771.4303933272804</v>
      </c>
      <c r="AE16" s="2075">
        <f>'Sockeye Returns Data'!AD23</f>
        <v>7705</v>
      </c>
      <c r="AF16" s="2057">
        <f t="shared" si="3"/>
        <v>0.99145197345081815</v>
      </c>
      <c r="AG16" s="2075"/>
      <c r="AH16" s="2075">
        <v>7788.48</v>
      </c>
      <c r="AI16" s="2097"/>
      <c r="AJ16" s="2084">
        <v>7771.4303933272804</v>
      </c>
      <c r="AK16" s="2078">
        <f t="shared" si="0"/>
        <v>7705</v>
      </c>
      <c r="AL16" s="485">
        <f t="shared" si="1"/>
        <v>0.99145197345081815</v>
      </c>
    </row>
    <row r="17" spans="1:39" x14ac:dyDescent="0.3">
      <c r="A17" s="854">
        <v>16</v>
      </c>
      <c r="B17" s="2090">
        <v>1999</v>
      </c>
      <c r="C17" s="2075">
        <v>17877</v>
      </c>
      <c r="D17" s="2100" t="b">
        <f>C17='Sockeye Returns Data'!D24</f>
        <v>1</v>
      </c>
      <c r="E17" s="2075"/>
      <c r="F17" s="2075">
        <v>15</v>
      </c>
      <c r="G17" s="2100" t="b">
        <f>F17='Sockeye Returns Data'!F24</f>
        <v>1</v>
      </c>
      <c r="H17" s="2075"/>
      <c r="I17" s="1103">
        <v>0.91</v>
      </c>
      <c r="J17" s="2102" t="b">
        <f>I17='Sockeye Returns Data'!U24</f>
        <v>1</v>
      </c>
      <c r="K17" s="1103"/>
      <c r="L17" s="2075">
        <v>1</v>
      </c>
      <c r="M17" s="2100" t="b">
        <f>L17='Sockeye Returns Data'!AI24</f>
        <v>1</v>
      </c>
      <c r="N17" s="2075"/>
      <c r="O17" s="2114">
        <v>18468.951201951</v>
      </c>
      <c r="P17" s="2057">
        <f>'Sockeye Returns Data'!E24/O17</f>
        <v>0.9952920335865193</v>
      </c>
      <c r="Q17" s="2075"/>
      <c r="R17" s="1103">
        <v>1</v>
      </c>
      <c r="S17" s="1103"/>
      <c r="T17" s="1103">
        <v>1</v>
      </c>
      <c r="U17" s="1103"/>
      <c r="V17" s="1103">
        <v>1</v>
      </c>
      <c r="W17" s="2107"/>
      <c r="X17" s="2102" t="b">
        <f>V17='Sockeye Returns Data'!BQ24</f>
        <v>1</v>
      </c>
      <c r="Y17" s="1103"/>
      <c r="Z17" s="2095">
        <v>18454.951201951</v>
      </c>
      <c r="AA17" s="2095">
        <f>'Sockeye Returns Data'!C24</f>
        <v>18383</v>
      </c>
      <c r="AB17" s="2057">
        <f t="shared" si="2"/>
        <v>0.99610125211583367</v>
      </c>
      <c r="AC17" s="2057"/>
      <c r="AD17" s="2075">
        <v>16794.0055937754</v>
      </c>
      <c r="AE17" s="2075">
        <f>'Sockeye Returns Data'!AD24</f>
        <v>16715</v>
      </c>
      <c r="AF17" s="2057">
        <f t="shared" si="3"/>
        <v>0.99529560751101076</v>
      </c>
      <c r="AG17" s="2075"/>
      <c r="AH17" s="2075">
        <v>16828.63</v>
      </c>
      <c r="AI17" s="2097"/>
      <c r="AJ17" s="2084">
        <v>16794.0055937754</v>
      </c>
      <c r="AK17" s="2078">
        <f t="shared" si="0"/>
        <v>16715</v>
      </c>
      <c r="AL17" s="485">
        <f t="shared" si="1"/>
        <v>0.99529560751101076</v>
      </c>
    </row>
    <row r="18" spans="1:39" x14ac:dyDescent="0.3">
      <c r="A18" s="854">
        <v>17</v>
      </c>
      <c r="B18" s="2090">
        <v>2000</v>
      </c>
      <c r="C18" s="2075">
        <v>93398</v>
      </c>
      <c r="D18" s="2100" t="b">
        <f>C18='Sockeye Returns Data'!D25</f>
        <v>1</v>
      </c>
      <c r="E18" s="2075"/>
      <c r="F18" s="2075">
        <v>365</v>
      </c>
      <c r="G18" s="2100" t="b">
        <f>F18='Sockeye Returns Data'!F25</f>
        <v>1</v>
      </c>
      <c r="H18" s="2075"/>
      <c r="I18" s="1103">
        <v>0.76</v>
      </c>
      <c r="J18" s="2102" t="b">
        <f>I18='Sockeye Returns Data'!U25</f>
        <v>1</v>
      </c>
      <c r="K18" s="1103"/>
      <c r="L18" s="2075">
        <v>366</v>
      </c>
      <c r="M18" s="2100" t="b">
        <f>L18='Sockeye Returns Data'!AI25</f>
        <v>1</v>
      </c>
      <c r="N18" s="2075"/>
      <c r="O18" s="2114">
        <v>97372.088378922504</v>
      </c>
      <c r="P18" s="2057">
        <f>'Sockeye Returns Data'!E25/O18</f>
        <v>0.9981402434523351</v>
      </c>
      <c r="Q18" s="2075"/>
      <c r="R18" s="1103">
        <v>1</v>
      </c>
      <c r="S18" s="1103"/>
      <c r="T18" s="1103">
        <v>1</v>
      </c>
      <c r="U18" s="1103"/>
      <c r="V18" s="1103">
        <v>1</v>
      </c>
      <c r="W18" s="2107">
        <f>'Spawning Ground Ratios'!O5</f>
        <v>1</v>
      </c>
      <c r="X18" s="2102" t="b">
        <f>V18='Sockeye Returns Data'!BQ25</f>
        <v>1</v>
      </c>
      <c r="Y18" s="1103"/>
      <c r="Z18" s="2095">
        <v>97373.088378922504</v>
      </c>
      <c r="AA18" s="2095">
        <f>'Sockeye Returns Data'!C25</f>
        <v>97557</v>
      </c>
      <c r="AB18" s="2057">
        <f t="shared" si="2"/>
        <v>1.0018887315185261</v>
      </c>
      <c r="AC18" s="2057"/>
      <c r="AD18" s="2075">
        <v>74003.547167981102</v>
      </c>
      <c r="AE18" s="2075">
        <f>'Sockeye Returns Data'!AD25</f>
        <v>73866</v>
      </c>
      <c r="AF18" s="2057">
        <f t="shared" si="3"/>
        <v>0.99814134358088424</v>
      </c>
      <c r="AG18" s="2075"/>
      <c r="AH18" s="2075">
        <v>74020.960000000006</v>
      </c>
      <c r="AI18" s="2097"/>
      <c r="AJ18" s="2084">
        <v>74003.547167981102</v>
      </c>
      <c r="AK18" s="2078">
        <f t="shared" si="0"/>
        <v>73866</v>
      </c>
      <c r="AL18" s="485">
        <f t="shared" si="1"/>
        <v>0.99814134358088424</v>
      </c>
    </row>
    <row r="19" spans="1:39" x14ac:dyDescent="0.3">
      <c r="A19" s="854">
        <v>18</v>
      </c>
      <c r="B19" s="2090">
        <v>2001</v>
      </c>
      <c r="C19" s="2075">
        <v>114934</v>
      </c>
      <c r="D19" s="2100" t="b">
        <f>C19='Sockeye Returns Data'!D26</f>
        <v>1</v>
      </c>
      <c r="E19" s="2075"/>
      <c r="F19" s="2075">
        <v>41</v>
      </c>
      <c r="G19" s="2100" t="b">
        <f>F19='Sockeye Returns Data'!F26</f>
        <v>1</v>
      </c>
      <c r="H19" s="2075"/>
      <c r="I19" s="1103">
        <v>0.69</v>
      </c>
      <c r="J19" s="2102" t="b">
        <f>I19='Sockeye Returns Data'!U26</f>
        <v>1</v>
      </c>
      <c r="K19" s="1103"/>
      <c r="L19" s="2075">
        <v>1691</v>
      </c>
      <c r="M19" s="2100" t="b">
        <f>L19='Sockeye Returns Data'!AI26</f>
        <v>1</v>
      </c>
      <c r="N19" s="2075"/>
      <c r="O19" s="2114">
        <v>119980.798705005</v>
      </c>
      <c r="P19" s="2057">
        <f>'Sockeye Returns Data'!E26/O19</f>
        <v>0.99735958829725824</v>
      </c>
      <c r="Q19" s="2075"/>
      <c r="R19" s="1103">
        <v>1</v>
      </c>
      <c r="S19" s="1103"/>
      <c r="T19" s="1103">
        <v>1</v>
      </c>
      <c r="U19" s="1103"/>
      <c r="V19" s="1103">
        <v>1</v>
      </c>
      <c r="W19" s="2107">
        <f>'Spawning Ground Ratios'!O6</f>
        <v>1</v>
      </c>
      <c r="X19" s="2102" t="b">
        <f>V19='Sockeye Returns Data'!BQ26</f>
        <v>1</v>
      </c>
      <c r="Y19" s="1103"/>
      <c r="Z19" s="2095">
        <v>121630.798705005</v>
      </c>
      <c r="AA19" s="2095">
        <f>'Sockeye Returns Data'!C26</f>
        <v>121355</v>
      </c>
      <c r="AB19" s="2057">
        <f t="shared" si="2"/>
        <v>0.99773249285590981</v>
      </c>
      <c r="AC19" s="2057"/>
      <c r="AD19" s="2075">
        <v>83925.251106453099</v>
      </c>
      <c r="AE19" s="2075">
        <f>'Sockeye Returns Data'!AD26</f>
        <v>83707</v>
      </c>
      <c r="AF19" s="2057">
        <f t="shared" si="3"/>
        <v>0.99739945840404742</v>
      </c>
      <c r="AG19" s="2075"/>
      <c r="AH19" s="2075">
        <v>83927.115000000005</v>
      </c>
      <c r="AI19" s="2097"/>
      <c r="AJ19" s="2084">
        <v>83925.251106453099</v>
      </c>
      <c r="AK19" s="2078">
        <f t="shared" si="0"/>
        <v>83707</v>
      </c>
      <c r="AL19" s="485">
        <f t="shared" si="1"/>
        <v>0.99739945840404742</v>
      </c>
    </row>
    <row r="20" spans="1:39" x14ac:dyDescent="0.3">
      <c r="A20" s="854">
        <v>19</v>
      </c>
      <c r="B20" s="2090">
        <v>2002</v>
      </c>
      <c r="C20" s="2075">
        <v>49610</v>
      </c>
      <c r="D20" s="2100" t="b">
        <f>C20='Sockeye Returns Data'!D27</f>
        <v>1</v>
      </c>
      <c r="E20" s="2075"/>
      <c r="F20" s="2075">
        <v>64</v>
      </c>
      <c r="G20" s="2100" t="b">
        <f>F20='Sockeye Returns Data'!F27</f>
        <v>1</v>
      </c>
      <c r="H20" s="2075"/>
      <c r="I20" s="1103">
        <v>0.28000000000000003</v>
      </c>
      <c r="J20" s="2102" t="b">
        <f>I20='Sockeye Returns Data'!U27</f>
        <v>1</v>
      </c>
      <c r="K20" s="1103"/>
      <c r="L20" s="2075">
        <v>24</v>
      </c>
      <c r="M20" s="2100" t="b">
        <f>L20='Sockeye Returns Data'!AI27</f>
        <v>0</v>
      </c>
      <c r="N20" s="2075"/>
      <c r="O20" s="2114">
        <v>51527.758284746902</v>
      </c>
      <c r="P20" s="2057">
        <f>'Sockeye Returns Data'!E27/O20</f>
        <v>0.99938366647795152</v>
      </c>
      <c r="Q20" s="2075"/>
      <c r="R20" s="1103">
        <v>1</v>
      </c>
      <c r="S20" s="1103"/>
      <c r="T20" s="1103">
        <v>1</v>
      </c>
      <c r="U20" s="1103"/>
      <c r="V20" s="1103">
        <v>1</v>
      </c>
      <c r="W20" s="2107">
        <f>'Spawning Ground Ratios'!O7</f>
        <v>1</v>
      </c>
      <c r="X20" s="2102" t="b">
        <f>V20='Sockeye Returns Data'!BQ27</f>
        <v>1</v>
      </c>
      <c r="Y20" s="1103"/>
      <c r="Z20" s="2095">
        <v>51487.758284746902</v>
      </c>
      <c r="AA20" s="2095">
        <f>'Sockeye Returns Data'!C27</f>
        <v>51515</v>
      </c>
      <c r="AB20" s="2057">
        <f t="shared" si="2"/>
        <v>1.0005290911113753</v>
      </c>
      <c r="AC20" s="2057"/>
      <c r="AD20" s="2075">
        <v>14416.572319729101</v>
      </c>
      <c r="AE20" s="2075">
        <f>'Sockeye Returns Data'!AD27</f>
        <v>14406</v>
      </c>
      <c r="AF20" s="2057">
        <f t="shared" si="3"/>
        <v>0.99926665510395751</v>
      </c>
      <c r="AG20" s="2075"/>
      <c r="AH20" s="2075">
        <v>14432.6</v>
      </c>
      <c r="AI20" s="2097"/>
      <c r="AJ20" s="2084">
        <v>14416.572319729101</v>
      </c>
      <c r="AK20" s="2078">
        <f t="shared" si="0"/>
        <v>14406</v>
      </c>
      <c r="AL20" s="485">
        <f t="shared" si="1"/>
        <v>0.99926665510395751</v>
      </c>
    </row>
    <row r="21" spans="1:39" x14ac:dyDescent="0.3">
      <c r="A21" s="854">
        <v>20</v>
      </c>
      <c r="B21" s="2090">
        <v>2003</v>
      </c>
      <c r="C21" s="2075">
        <v>39291</v>
      </c>
      <c r="D21" s="2100" t="b">
        <f>C21='Sockeye Returns Data'!D28</f>
        <v>1</v>
      </c>
      <c r="E21" s="2075"/>
      <c r="F21" s="2075">
        <v>40</v>
      </c>
      <c r="G21" s="2100" t="b">
        <f>F21='Sockeye Returns Data'!F28</f>
        <v>1</v>
      </c>
      <c r="H21" s="2075"/>
      <c r="I21" s="1103">
        <v>0.86</v>
      </c>
      <c r="J21" s="2102" t="b">
        <f>I21='Sockeye Returns Data'!U28</f>
        <v>1</v>
      </c>
      <c r="K21" s="1103"/>
      <c r="L21" s="2075">
        <v>0</v>
      </c>
      <c r="M21" s="2100" t="b">
        <f>L21='Sockeye Returns Data'!AI28</f>
        <v>1</v>
      </c>
      <c r="N21" s="2075"/>
      <c r="O21" s="2114">
        <v>40757.076835585998</v>
      </c>
      <c r="P21" s="2057">
        <f>'Sockeye Returns Data'!E28/O21</f>
        <v>0.99928658191795028</v>
      </c>
      <c r="Q21" s="2075"/>
      <c r="R21" s="1103">
        <v>1</v>
      </c>
      <c r="S21" s="1103"/>
      <c r="T21" s="1103">
        <v>1</v>
      </c>
      <c r="U21" s="1103"/>
      <c r="V21" s="1103">
        <v>1</v>
      </c>
      <c r="W21" s="2107">
        <f>'Spawning Ground Ratios'!O8</f>
        <v>1</v>
      </c>
      <c r="X21" s="2102" t="b">
        <f>V21='Sockeye Returns Data'!BQ28</f>
        <v>1</v>
      </c>
      <c r="Y21" s="1103"/>
      <c r="Z21" s="2095">
        <v>40717.076835585998</v>
      </c>
      <c r="AA21" s="2095">
        <f>'Sockeye Returns Data'!C28</f>
        <v>40728</v>
      </c>
      <c r="AB21" s="2057">
        <f t="shared" si="2"/>
        <v>1.0002682698578316</v>
      </c>
      <c r="AC21" s="2057"/>
      <c r="AD21" s="2075">
        <v>35016.686078603903</v>
      </c>
      <c r="AE21" s="2075">
        <f>'Sockeye Returns Data'!AD28</f>
        <v>34992</v>
      </c>
      <c r="AF21" s="2057">
        <f t="shared" si="3"/>
        <v>0.99929501956443023</v>
      </c>
      <c r="AG21" s="2075"/>
      <c r="AH21" s="2075">
        <v>35067.360000000001</v>
      </c>
      <c r="AI21" s="2097"/>
      <c r="AJ21" s="2084">
        <v>35016.686078603903</v>
      </c>
      <c r="AK21" s="2078">
        <f t="shared" si="0"/>
        <v>34992</v>
      </c>
      <c r="AL21" s="485">
        <f t="shared" si="1"/>
        <v>0.99929501956443023</v>
      </c>
    </row>
    <row r="22" spans="1:39" x14ac:dyDescent="0.3">
      <c r="A22" s="854">
        <v>21</v>
      </c>
      <c r="B22" s="2090">
        <v>2004</v>
      </c>
      <c r="C22" s="2075">
        <v>123291</v>
      </c>
      <c r="D22" s="2100" t="b">
        <f>C22='Sockeye Returns Data'!D29</f>
        <v>1</v>
      </c>
      <c r="E22" s="2075"/>
      <c r="F22" s="2075">
        <v>118</v>
      </c>
      <c r="G22" s="2100" t="b">
        <f>F22='Sockeye Returns Data'!F29</f>
        <v>1</v>
      </c>
      <c r="H22" s="2075"/>
      <c r="I22" s="1103">
        <v>0.71</v>
      </c>
      <c r="J22" s="2102" t="b">
        <f>I22='Sockeye Returns Data'!U29</f>
        <v>1</v>
      </c>
      <c r="K22" s="1103"/>
      <c r="L22" s="2075">
        <v>682</v>
      </c>
      <c r="M22" s="2100" t="b">
        <f>L22='Sockeye Returns Data'!AI29</f>
        <v>0</v>
      </c>
      <c r="N22" s="2075"/>
      <c r="O22" s="2114">
        <v>128762.700311505</v>
      </c>
      <c r="P22" s="2057">
        <f>'Sockeye Returns Data'!E29/O22</f>
        <v>0.99706669469814424</v>
      </c>
      <c r="Q22" s="2075"/>
      <c r="R22" s="1103">
        <v>1</v>
      </c>
      <c r="S22" s="1103"/>
      <c r="T22" s="1103">
        <v>1</v>
      </c>
      <c r="U22" s="1103"/>
      <c r="V22" s="1103">
        <v>1</v>
      </c>
      <c r="W22" s="2107">
        <f>'Spawning Ground Ratios'!O9</f>
        <v>1</v>
      </c>
      <c r="X22" s="2102" t="b">
        <f>V22='Sockeye Returns Data'!BQ29</f>
        <v>1</v>
      </c>
      <c r="Y22" s="1103"/>
      <c r="Z22" s="2095">
        <v>129326.700311505</v>
      </c>
      <c r="AA22" s="2095">
        <f>'Sockeye Returns Data'!C29</f>
        <v>129057</v>
      </c>
      <c r="AB22" s="2057">
        <f t="shared" si="2"/>
        <v>0.99791458135980127</v>
      </c>
      <c r="AC22" s="2057"/>
      <c r="AD22" s="2075">
        <v>91821.957221168603</v>
      </c>
      <c r="AE22" s="2075">
        <f>'Sockeye Returns Data'!AD29</f>
        <v>91547</v>
      </c>
      <c r="AF22" s="2057">
        <f t="shared" si="3"/>
        <v>0.99700553953008952</v>
      </c>
      <c r="AG22" s="2075"/>
      <c r="AH22" s="2075">
        <v>91815.78</v>
      </c>
      <c r="AI22" s="2097"/>
      <c r="AJ22" s="2084">
        <v>91821.957221168603</v>
      </c>
      <c r="AK22" s="2078">
        <f t="shared" si="0"/>
        <v>91547</v>
      </c>
      <c r="AL22" s="485">
        <f t="shared" si="1"/>
        <v>0.99700553953008952</v>
      </c>
    </row>
    <row r="23" spans="1:39" x14ac:dyDescent="0.3">
      <c r="A23" s="854">
        <v>22</v>
      </c>
      <c r="B23" s="2090">
        <v>2005</v>
      </c>
      <c r="C23" s="2075">
        <v>72971</v>
      </c>
      <c r="D23" s="2100" t="b">
        <f>C23='Sockeye Returns Data'!D30</f>
        <v>1</v>
      </c>
      <c r="E23" s="2075"/>
      <c r="F23" s="2075">
        <v>19</v>
      </c>
      <c r="G23" s="2100" t="b">
        <f>F23='Sockeye Returns Data'!F30</f>
        <v>1</v>
      </c>
      <c r="H23" s="2075"/>
      <c r="I23" s="1103">
        <v>0.78</v>
      </c>
      <c r="J23" s="2102" t="b">
        <f>I23='Sockeye Returns Data'!U30</f>
        <v>1</v>
      </c>
      <c r="K23" s="1103"/>
      <c r="L23" s="2075">
        <v>4</v>
      </c>
      <c r="M23" s="2100" t="b">
        <f>L23='Sockeye Returns Data'!AI30</f>
        <v>1</v>
      </c>
      <c r="N23" s="2075"/>
      <c r="O23" s="2114">
        <v>75961.836584107499</v>
      </c>
      <c r="P23" s="2057">
        <f>'Sockeye Returns Data'!E30/O23</f>
        <v>0.99884367482334047</v>
      </c>
      <c r="Q23" s="2075"/>
      <c r="R23" s="1103">
        <v>1</v>
      </c>
      <c r="S23" s="1103"/>
      <c r="T23" s="1103">
        <v>1</v>
      </c>
      <c r="U23" s="1103"/>
      <c r="V23" s="1103">
        <v>1</v>
      </c>
      <c r="W23" s="2107">
        <f>'Spawning Ground Ratios'!O10</f>
        <v>1</v>
      </c>
      <c r="X23" s="2102" t="b">
        <f>V23='Sockeye Returns Data'!BQ30</f>
        <v>1</v>
      </c>
      <c r="Y23" s="1103"/>
      <c r="Z23" s="2095">
        <v>75946.836584107499</v>
      </c>
      <c r="AA23" s="2095">
        <f>'Sockeye Returns Data'!C30</f>
        <v>75878</v>
      </c>
      <c r="AB23" s="2057">
        <f t="shared" si="2"/>
        <v>0.9990936214435836</v>
      </c>
      <c r="AC23" s="2057"/>
      <c r="AD23" s="2075">
        <v>59238.532535603903</v>
      </c>
      <c r="AE23" s="2075">
        <f>'Sockeye Returns Data'!AD30</f>
        <v>59170</v>
      </c>
      <c r="AF23" s="2057">
        <f t="shared" si="3"/>
        <v>0.99884310882342142</v>
      </c>
      <c r="AG23" s="2075"/>
      <c r="AH23" s="2075">
        <v>59281.56</v>
      </c>
      <c r="AI23" s="2097"/>
      <c r="AJ23" s="2084">
        <v>59238.532535603903</v>
      </c>
      <c r="AK23" s="2078">
        <f t="shared" si="0"/>
        <v>59170</v>
      </c>
      <c r="AL23" s="485">
        <f t="shared" si="1"/>
        <v>0.99884310882342142</v>
      </c>
    </row>
    <row r="24" spans="1:39" x14ac:dyDescent="0.3">
      <c r="A24" s="854">
        <v>23</v>
      </c>
      <c r="B24" s="2090">
        <v>2006</v>
      </c>
      <c r="C24" s="2075">
        <v>37066</v>
      </c>
      <c r="D24" s="2100" t="b">
        <f>C24='Sockeye Returns Data'!D31</f>
        <v>1</v>
      </c>
      <c r="E24" s="2075"/>
      <c r="F24" s="2075">
        <v>51</v>
      </c>
      <c r="G24" s="2100" t="b">
        <f>F24='Sockeye Returns Data'!F31</f>
        <v>1</v>
      </c>
      <c r="H24" s="2075"/>
      <c r="I24" s="1103">
        <v>0.72</v>
      </c>
      <c r="J24" s="2102" t="b">
        <f>I24='Sockeye Returns Data'!U31</f>
        <v>1</v>
      </c>
      <c r="K24" s="1103"/>
      <c r="L24" s="2075">
        <v>1</v>
      </c>
      <c r="M24" s="2100" t="b">
        <f>L24='Sockeye Returns Data'!AI31</f>
        <v>1</v>
      </c>
      <c r="N24" s="2075"/>
      <c r="O24" s="2114">
        <v>38436.879800805</v>
      </c>
      <c r="P24" s="2057">
        <f>'Sockeye Returns Data'!E31/O24</f>
        <v>0.99919661010558003</v>
      </c>
      <c r="Q24" s="2075"/>
      <c r="R24" s="1103">
        <v>1</v>
      </c>
      <c r="S24" s="1103"/>
      <c r="T24" s="1103">
        <v>1</v>
      </c>
      <c r="U24" s="1103"/>
      <c r="V24" s="1103">
        <v>1</v>
      </c>
      <c r="W24" s="2107">
        <f>'Spawning Ground Ratios'!O11</f>
        <v>1</v>
      </c>
      <c r="X24" s="2102" t="b">
        <f>V24='Sockeye Returns Data'!BQ31</f>
        <v>1</v>
      </c>
      <c r="Y24" s="1103"/>
      <c r="Z24" s="2095">
        <v>38386.879800805</v>
      </c>
      <c r="AA24" s="2095">
        <f>'Sockeye Returns Data'!C31</f>
        <v>38407</v>
      </c>
      <c r="AB24" s="2057">
        <f t="shared" si="2"/>
        <v>1.0005241426054789</v>
      </c>
      <c r="AC24" s="2057"/>
      <c r="AD24" s="2075">
        <v>27638.553456579601</v>
      </c>
      <c r="AE24" s="2075">
        <f>'Sockeye Returns Data'!AD31</f>
        <v>27616</v>
      </c>
      <c r="AF24" s="2057">
        <f t="shared" si="3"/>
        <v>0.99918398563748889</v>
      </c>
      <c r="AG24" s="2075"/>
      <c r="AH24" s="2075">
        <v>27678.240000000002</v>
      </c>
      <c r="AI24" s="2097"/>
      <c r="AJ24" s="2084">
        <v>27638.553456579601</v>
      </c>
      <c r="AK24" s="2078">
        <f t="shared" si="0"/>
        <v>27616</v>
      </c>
      <c r="AL24" s="485">
        <f t="shared" si="1"/>
        <v>0.99918398563748889</v>
      </c>
    </row>
    <row r="25" spans="1:39" x14ac:dyDescent="0.3">
      <c r="A25" s="854">
        <v>24</v>
      </c>
      <c r="B25" s="2090">
        <v>2007</v>
      </c>
      <c r="C25" s="2075">
        <v>24376</v>
      </c>
      <c r="D25" s="2100" t="b">
        <f>C25='Sockeye Returns Data'!D32</f>
        <v>1</v>
      </c>
      <c r="E25" s="2075"/>
      <c r="F25" s="2075">
        <v>58</v>
      </c>
      <c r="G25" s="2100" t="b">
        <f>F25='Sockeye Returns Data'!F32</f>
        <v>1</v>
      </c>
      <c r="H25" s="2075"/>
      <c r="I25" s="1103">
        <v>0.89</v>
      </c>
      <c r="J25" s="2102" t="b">
        <f>I25='Sockeye Returns Data'!U32</f>
        <v>1</v>
      </c>
      <c r="K25" s="1103"/>
      <c r="L25" s="2075">
        <v>0</v>
      </c>
      <c r="M25" s="2100" t="b">
        <f>L25='Sockeye Returns Data'!AI32</f>
        <v>1</v>
      </c>
      <c r="N25" s="2075"/>
      <c r="O25" s="2114">
        <v>25222.017517742901</v>
      </c>
      <c r="P25" s="2057">
        <f>'Sockeye Returns Data'!E32/O25</f>
        <v>0.99769972732347489</v>
      </c>
      <c r="Q25" s="2075"/>
      <c r="R25" s="1103">
        <v>1</v>
      </c>
      <c r="S25" s="1103"/>
      <c r="T25" s="1103">
        <v>0.87969924812030098</v>
      </c>
      <c r="U25" s="1103"/>
      <c r="V25" s="2108">
        <v>0.87969924812030098</v>
      </c>
      <c r="W25" s="2109">
        <f>'Spawning Ground Ratios'!O12</f>
        <v>0.8799851742031134</v>
      </c>
      <c r="X25" s="2102" t="b">
        <f>ROUND(V25,2)=ROUND('Spawning Ground Ratios'!O12,2)</f>
        <v>1</v>
      </c>
      <c r="Y25" s="1103"/>
      <c r="Z25" s="2095">
        <v>25164.017517742901</v>
      </c>
      <c r="AA25" s="2095">
        <f>'Sockeye Returns Data'!C32</f>
        <v>25164</v>
      </c>
      <c r="AB25" s="2057">
        <f t="shared" si="2"/>
        <v>0.99999930385746683</v>
      </c>
      <c r="AC25" s="2057"/>
      <c r="AD25" s="2075">
        <v>22395.9755907912</v>
      </c>
      <c r="AE25" s="2075">
        <f>'Sockeye Returns Data'!AD32</f>
        <v>22344</v>
      </c>
      <c r="AF25" s="2057">
        <f t="shared" si="3"/>
        <v>0.99767924417578968</v>
      </c>
      <c r="AG25" s="2075"/>
      <c r="AH25" s="2075">
        <v>22432.45</v>
      </c>
      <c r="AI25" s="2097"/>
      <c r="AJ25" s="2084">
        <v>17331.590811370901</v>
      </c>
      <c r="AK25" s="2078">
        <f t="shared" si="0"/>
        <v>19662.388732394367</v>
      </c>
      <c r="AL25" s="485">
        <f t="shared" si="1"/>
        <v>1.134482630382335</v>
      </c>
    </row>
    <row r="26" spans="1:39" x14ac:dyDescent="0.3">
      <c r="A26" s="854">
        <v>25</v>
      </c>
      <c r="B26" s="2090">
        <v>2008</v>
      </c>
      <c r="C26" s="2075">
        <v>213607</v>
      </c>
      <c r="D26" s="2100" t="b">
        <f>C26='Sockeye Returns Data'!D33</f>
        <v>1</v>
      </c>
      <c r="E26" s="2075"/>
      <c r="F26" s="2075">
        <v>890</v>
      </c>
      <c r="G26" s="2100" t="b">
        <f>F26='Sockeye Returns Data'!F33</f>
        <v>1</v>
      </c>
      <c r="H26" s="2075"/>
      <c r="I26" s="1103">
        <v>0.85</v>
      </c>
      <c r="J26" s="2102" t="b">
        <f>I26='Sockeye Returns Data'!U33</f>
        <v>1</v>
      </c>
      <c r="K26" s="1103"/>
      <c r="L26" s="2075">
        <v>974</v>
      </c>
      <c r="M26" s="2100" t="b">
        <f>L26='Sockeye Returns Data'!AI33</f>
        <v>0</v>
      </c>
      <c r="N26" s="2075"/>
      <c r="O26" s="2114">
        <v>223911.06664547499</v>
      </c>
      <c r="P26" s="2057">
        <f>'Sockeye Returns Data'!E33/O26</f>
        <v>1.0027418624890796</v>
      </c>
      <c r="Q26" s="2075"/>
      <c r="R26" s="1103">
        <v>1</v>
      </c>
      <c r="S26" s="1103"/>
      <c r="T26" s="1103">
        <v>0.93667334669338698</v>
      </c>
      <c r="U26" s="1103"/>
      <c r="V26" s="2108">
        <v>0.93667334669338698</v>
      </c>
      <c r="W26" s="2109">
        <f>'Spawning Ground Ratios'!O13</f>
        <v>0.93700185867750374</v>
      </c>
      <c r="X26" s="2102" t="b">
        <f>ROUND(V26,2)=ROUND('Spawning Ground Ratios'!O13,2)</f>
        <v>1</v>
      </c>
      <c r="Y26" s="1103"/>
      <c r="Z26" s="2095">
        <v>223995.06664547499</v>
      </c>
      <c r="AA26" s="2095">
        <f>'Sockeye Returns Data'!C33</f>
        <v>225383</v>
      </c>
      <c r="AB26" s="2057">
        <f t="shared" si="2"/>
        <v>1.0061962675129883</v>
      </c>
      <c r="AC26" s="2057"/>
      <c r="AD26" s="2075">
        <v>190395.806648653</v>
      </c>
      <c r="AE26" s="2075">
        <f>'Sockeye Returns Data'!AD33</f>
        <v>190819</v>
      </c>
      <c r="AF26" s="2057">
        <f t="shared" si="3"/>
        <v>1.0022227031088344</v>
      </c>
      <c r="AG26" s="2075"/>
      <c r="AH26" s="2075">
        <v>190192.6</v>
      </c>
      <c r="AI26" s="2097"/>
      <c r="AJ26" s="2084">
        <v>167045.08581447901</v>
      </c>
      <c r="AK26" s="2078">
        <f t="shared" si="0"/>
        <v>178797.7576709826</v>
      </c>
      <c r="AL26" s="485">
        <f t="shared" si="1"/>
        <v>1.0703562861439464</v>
      </c>
    </row>
    <row r="27" spans="1:39" x14ac:dyDescent="0.3">
      <c r="A27" s="854">
        <v>26</v>
      </c>
      <c r="B27" s="2090">
        <v>2009</v>
      </c>
      <c r="C27" s="2075">
        <v>177823</v>
      </c>
      <c r="D27" s="2100" t="b">
        <f>C27='Sockeye Returns Data'!D34</f>
        <v>1</v>
      </c>
      <c r="E27" s="2075"/>
      <c r="F27" s="2075">
        <v>1414</v>
      </c>
      <c r="G27" s="2100" t="b">
        <f>F27='Sockeye Returns Data'!F34</f>
        <v>1</v>
      </c>
      <c r="H27" s="2075"/>
      <c r="I27" s="1103">
        <v>0.83</v>
      </c>
      <c r="J27" s="2102" t="b">
        <f>I27='Sockeye Returns Data'!U34</f>
        <v>1</v>
      </c>
      <c r="K27" s="1103"/>
      <c r="L27" s="2075">
        <v>1188</v>
      </c>
      <c r="M27" s="2100" t="b">
        <f>L27='Sockeye Returns Data'!AI34</f>
        <v>0</v>
      </c>
      <c r="N27" s="2075"/>
      <c r="O27" s="2114">
        <v>186165.64294292699</v>
      </c>
      <c r="P27" s="2057">
        <f>'Sockeye Returns Data'!E34/O27</f>
        <v>1.0017154457290001</v>
      </c>
      <c r="Q27" s="2075"/>
      <c r="R27" s="1103">
        <v>1</v>
      </c>
      <c r="S27" s="1103"/>
      <c r="T27" s="1103">
        <v>0.88888888888888895</v>
      </c>
      <c r="U27" s="1103"/>
      <c r="V27" s="2108">
        <v>0.88888888888888895</v>
      </c>
      <c r="W27" s="2109">
        <f>'Spawning Ground Ratios'!O14</f>
        <v>0.86583986010903269</v>
      </c>
      <c r="X27" s="2074" t="b">
        <f>ROUND(V27,2)=ROUND('Spawning Ground Ratios'!O14,2)</f>
        <v>0</v>
      </c>
      <c r="Y27" s="1103"/>
      <c r="Z27" s="2095">
        <v>185939.64294292699</v>
      </c>
      <c r="AA27" s="2095">
        <f>'Sockeye Returns Data'!C34</f>
        <v>187614</v>
      </c>
      <c r="AB27" s="2057">
        <f t="shared" si="2"/>
        <v>1.009004841735589</v>
      </c>
      <c r="AC27" s="2057"/>
      <c r="AD27" s="2075">
        <v>154329.90364262901</v>
      </c>
      <c r="AE27" s="2075">
        <f>'Sockeye Returns Data'!AD34</f>
        <v>154546</v>
      </c>
      <c r="AF27" s="2057">
        <f t="shared" si="3"/>
        <v>1.0014002234970054</v>
      </c>
      <c r="AG27" s="2075"/>
      <c r="AH27" s="2075">
        <v>154237.655</v>
      </c>
      <c r="AI27" s="2097"/>
      <c r="AJ27" s="2084">
        <v>130688.413988596</v>
      </c>
      <c r="AK27" s="2078">
        <f t="shared" si="0"/>
        <v>133812.08702041057</v>
      </c>
      <c r="AL27" s="485">
        <f t="shared" si="1"/>
        <v>1.023901682914961</v>
      </c>
    </row>
    <row r="28" spans="1:39" x14ac:dyDescent="0.3">
      <c r="A28" s="854">
        <v>27</v>
      </c>
      <c r="B28" s="2090">
        <v>2010</v>
      </c>
      <c r="C28" s="2075">
        <v>386525</v>
      </c>
      <c r="D28" s="2100" t="b">
        <f>C28='Sockeye Returns Data'!D35</f>
        <v>1</v>
      </c>
      <c r="E28" s="2075"/>
      <c r="F28" s="2075">
        <v>1861</v>
      </c>
      <c r="G28" s="2100" t="b">
        <f>F28='Sockeye Returns Data'!F35</f>
        <v>1</v>
      </c>
      <c r="H28" s="2075"/>
      <c r="I28" s="1103">
        <v>0.87</v>
      </c>
      <c r="J28" s="2102" t="b">
        <f>I28='Sockeye Returns Data'!U35</f>
        <v>1</v>
      </c>
      <c r="K28" s="1103"/>
      <c r="L28" s="2075">
        <v>468</v>
      </c>
      <c r="M28" s="2100" t="b">
        <f>L28='Sockeye Returns Data'!AI35</f>
        <v>0</v>
      </c>
      <c r="N28" s="2075"/>
      <c r="O28" s="2114">
        <v>406925.289298255</v>
      </c>
      <c r="P28" s="2057">
        <f>'Sockeye Returns Data'!E35/O28</f>
        <v>1.0034913305688005</v>
      </c>
      <c r="Q28" s="2075"/>
      <c r="R28" s="1103">
        <v>1</v>
      </c>
      <c r="S28" s="1103"/>
      <c r="T28" s="1103">
        <v>0.96875</v>
      </c>
      <c r="U28" s="1103"/>
      <c r="V28" s="2108">
        <v>0.96875</v>
      </c>
      <c r="W28" s="2109">
        <f>'Spawning Ground Ratios'!O15</f>
        <v>0.95749171088362228</v>
      </c>
      <c r="X28" s="2074" t="b">
        <f>ROUND(V28,2)=ROUND('Spawning Ground Ratios'!O15,2)</f>
        <v>0</v>
      </c>
      <c r="Y28" s="1103"/>
      <c r="Z28" s="2095">
        <v>405532.289298255</v>
      </c>
      <c r="AA28" s="2095">
        <f>'Sockeye Returns Data'!C35</f>
        <v>409950</v>
      </c>
      <c r="AB28" s="2057">
        <f t="shared" si="2"/>
        <v>1.0108936102459056</v>
      </c>
      <c r="AC28" s="2057"/>
      <c r="AD28" s="2075">
        <v>352813.09168948198</v>
      </c>
      <c r="AE28" s="2075">
        <f>'Sockeye Returns Data'!AD35</f>
        <v>355037</v>
      </c>
      <c r="AF28" s="2057">
        <f t="shared" si="3"/>
        <v>1.0063033610795693</v>
      </c>
      <c r="AG28" s="2075"/>
      <c r="AH28" s="2075">
        <v>352136.85</v>
      </c>
      <c r="AI28" s="2097"/>
      <c r="AJ28" s="2084">
        <v>354862.55106310302</v>
      </c>
      <c r="AK28" s="2078">
        <f t="shared" si="0"/>
        <v>339944.98455698858</v>
      </c>
      <c r="AL28" s="485">
        <f t="shared" si="1"/>
        <v>0.95796240977971847</v>
      </c>
    </row>
    <row r="29" spans="1:39" x14ac:dyDescent="0.3">
      <c r="A29" s="854">
        <v>28</v>
      </c>
      <c r="B29" s="2090">
        <v>2011</v>
      </c>
      <c r="C29" s="2075">
        <v>185796</v>
      </c>
      <c r="D29" s="2100" t="b">
        <f>C29='Sockeye Returns Data'!D36</f>
        <v>1</v>
      </c>
      <c r="E29" s="2075"/>
      <c r="F29" s="2075">
        <v>1561</v>
      </c>
      <c r="G29" s="2100" t="b">
        <f>F29='Sockeye Returns Data'!F36</f>
        <v>1</v>
      </c>
      <c r="H29" s="2075"/>
      <c r="I29" s="1103">
        <v>0.88</v>
      </c>
      <c r="J29" s="2102" t="b">
        <f>I29='Sockeye Returns Data'!U36</f>
        <v>1</v>
      </c>
      <c r="K29" s="1103"/>
      <c r="L29" s="2075">
        <v>1873</v>
      </c>
      <c r="M29" s="2100" t="b">
        <f>L29='Sockeye Returns Data'!AI36</f>
        <v>0</v>
      </c>
      <c r="N29" s="2075"/>
      <c r="O29" s="2114">
        <v>194570.881109195</v>
      </c>
      <c r="P29" s="2057">
        <f>'Sockeye Returns Data'!E36/O29</f>
        <v>1.0019998824520233</v>
      </c>
      <c r="Q29" s="2075"/>
      <c r="R29" s="1103">
        <v>0.83704072769470605</v>
      </c>
      <c r="S29" s="1103"/>
      <c r="T29" s="1103">
        <v>0.83704072769470605</v>
      </c>
      <c r="U29" s="1103"/>
      <c r="V29" s="2108">
        <v>0.95912263210368898</v>
      </c>
      <c r="W29" s="2111" t="s">
        <v>779</v>
      </c>
      <c r="Y29" s="1103"/>
      <c r="Z29" s="2095">
        <v>194882.881109195</v>
      </c>
      <c r="AA29" s="2095">
        <f>'Sockeye Returns Data'!C36</f>
        <v>196529</v>
      </c>
      <c r="AB29" s="2057">
        <f t="shared" si="2"/>
        <v>1.0084467085124971</v>
      </c>
      <c r="AC29" s="2057"/>
      <c r="AD29" s="2075">
        <v>171496.93537609201</v>
      </c>
      <c r="AE29" s="2075">
        <f>'Sockeye Returns Data'!AD36</f>
        <v>171572</v>
      </c>
      <c r="AF29" s="2057">
        <f t="shared" si="3"/>
        <v>1.000437702421582</v>
      </c>
      <c r="AG29" s="2075"/>
      <c r="AH29" s="2075">
        <v>143458.66927488201</v>
      </c>
      <c r="AI29" s="2097"/>
      <c r="AJ29" s="2092">
        <v>147560.16762397299</v>
      </c>
      <c r="AK29" s="2088" t="s">
        <v>247</v>
      </c>
      <c r="AL29" s="485"/>
      <c r="AM29" s="1068" t="s">
        <v>780</v>
      </c>
    </row>
    <row r="30" spans="1:39" x14ac:dyDescent="0.3">
      <c r="A30" s="854">
        <v>29</v>
      </c>
      <c r="B30" s="2090">
        <v>2012</v>
      </c>
      <c r="C30" s="2075">
        <v>515673</v>
      </c>
      <c r="D30" s="2100" t="b">
        <f>C30='Sockeye Returns Data'!D37</f>
        <v>1</v>
      </c>
      <c r="E30" s="2075"/>
      <c r="F30" s="2075">
        <v>512</v>
      </c>
      <c r="G30" s="2100" t="b">
        <f>F30='Sockeye Returns Data'!F37</f>
        <v>1</v>
      </c>
      <c r="H30" s="2075"/>
      <c r="I30" s="1103">
        <v>0.84</v>
      </c>
      <c r="J30" s="2102" t="b">
        <f>I30='Sockeye Returns Data'!U37</f>
        <v>1</v>
      </c>
      <c r="K30" s="1103"/>
      <c r="L30" s="2075">
        <v>5491</v>
      </c>
      <c r="M30" s="2100" t="b">
        <f>L30='Sockeye Returns Data'!AI37</f>
        <v>0</v>
      </c>
      <c r="N30" s="2075"/>
      <c r="O30" s="2114">
        <v>544105.97289835406</v>
      </c>
      <c r="P30" s="2057">
        <f>'Sockeye Returns Data'!E37/O30</f>
        <v>1.0028138399096971</v>
      </c>
      <c r="Q30" s="2075"/>
      <c r="R30" s="1103">
        <v>0.895353622800658</v>
      </c>
      <c r="S30" s="1103"/>
      <c r="T30" s="1103">
        <v>0.895353622800658</v>
      </c>
      <c r="U30" s="1103"/>
      <c r="V30" s="2108">
        <v>0.98016336056009301</v>
      </c>
      <c r="W30" s="2109">
        <f>'Spawning Ground Ratios'!O17</f>
        <v>0.89566814837377096</v>
      </c>
      <c r="X30" s="2074" t="b">
        <f>ROUND(V30,2)=ROUND('Spawning Ground Ratios'!O17,2)</f>
        <v>0</v>
      </c>
      <c r="Y30" s="1103"/>
      <c r="Z30" s="2095">
        <v>549084.97289835406</v>
      </c>
      <c r="AA30" s="2095">
        <f>'Sockeye Returns Data'!C37</f>
        <v>550232</v>
      </c>
      <c r="AB30" s="2057">
        <f t="shared" si="2"/>
        <v>1.0020889792259136</v>
      </c>
      <c r="AC30" s="2057"/>
      <c r="AD30" s="2075">
        <v>461231.37723461702</v>
      </c>
      <c r="AE30" s="2075">
        <f>'Sockeye Returns Data'!AD37</f>
        <v>461765</v>
      </c>
      <c r="AF30" s="2057">
        <f t="shared" si="3"/>
        <v>1.0011569524358521</v>
      </c>
      <c r="AG30" s="2075"/>
      <c r="AH30" s="2075">
        <v>411930.31940804102</v>
      </c>
      <c r="AI30" s="2097"/>
      <c r="AJ30" s="2084">
        <v>433814.38720645901</v>
      </c>
      <c r="AK30" s="2078">
        <f t="shared" ref="AK30:AK39" si="4">VLOOKUP(B30,SockeyeReturnsData,75)</f>
        <v>401558.28786681773</v>
      </c>
      <c r="AL30" s="485">
        <f t="shared" ref="AL30:AL39" si="5">AK30/AJ30</f>
        <v>0.92564539053821171</v>
      </c>
    </row>
    <row r="31" spans="1:39" x14ac:dyDescent="0.3">
      <c r="A31" s="854">
        <v>30</v>
      </c>
      <c r="B31" s="2090">
        <v>2013</v>
      </c>
      <c r="C31" s="2075">
        <v>185505</v>
      </c>
      <c r="D31" s="2100" t="b">
        <f>C31='Sockeye Returns Data'!D38</f>
        <v>1</v>
      </c>
      <c r="E31" s="2075"/>
      <c r="F31" s="2075">
        <v>1011</v>
      </c>
      <c r="G31" s="2100" t="b">
        <f>F31='Sockeye Returns Data'!F38</f>
        <v>1</v>
      </c>
      <c r="H31" s="2075"/>
      <c r="I31" s="1103">
        <v>0.82</v>
      </c>
      <c r="J31" s="2102" t="b">
        <f>I31='Sockeye Returns Data'!U38</f>
        <v>1</v>
      </c>
      <c r="K31" s="1103"/>
      <c r="L31" s="2075">
        <v>718</v>
      </c>
      <c r="M31" s="2100" t="b">
        <f>L31='Sockeye Returns Data'!AI38</f>
        <v>0</v>
      </c>
      <c r="N31" s="2075"/>
      <c r="O31" s="2114">
        <v>194264.05493490101</v>
      </c>
      <c r="P31" s="2057">
        <f>'Sockeye Returns Data'!E38/O31</f>
        <v>1.0019918510669854</v>
      </c>
      <c r="Q31" s="2075"/>
      <c r="R31" s="1103">
        <v>0.80138980738915599</v>
      </c>
      <c r="S31" s="1103"/>
      <c r="T31" s="1103">
        <v>0.80138980738915599</v>
      </c>
      <c r="U31" s="1103"/>
      <c r="V31" s="2108">
        <v>0.85714285714285698</v>
      </c>
      <c r="W31" s="2109">
        <f>'Spawning Ground Ratios'!O18</f>
        <v>0.73704050678087085</v>
      </c>
      <c r="X31" s="2074" t="b">
        <f>ROUND(V31,2)=ROUND('Spawning Ground Ratios'!O18,2)</f>
        <v>0</v>
      </c>
      <c r="Y31" s="1103"/>
      <c r="Z31" s="2095">
        <v>193971.05493490101</v>
      </c>
      <c r="AA31" s="2095">
        <f>'Sockeye Returns Data'!C38</f>
        <v>195327</v>
      </c>
      <c r="AB31" s="2057">
        <f t="shared" si="2"/>
        <v>1.0069904505368292</v>
      </c>
      <c r="AC31" s="2057"/>
      <c r="AD31" s="2075">
        <v>159056.265046619</v>
      </c>
      <c r="AE31" s="2075">
        <f>'Sockeye Returns Data'!AD38</f>
        <v>159339</v>
      </c>
      <c r="AF31" s="2057">
        <f t="shared" si="3"/>
        <v>1.00177757822553</v>
      </c>
      <c r="AG31" s="2075"/>
      <c r="AH31" s="2075">
        <v>127387.83389244199</v>
      </c>
      <c r="AI31" s="2097"/>
      <c r="AJ31" s="2084">
        <v>117095.40481248101</v>
      </c>
      <c r="AK31" s="2078">
        <f t="shared" si="4"/>
        <v>104583.98942719486</v>
      </c>
      <c r="AL31" s="485">
        <f t="shared" si="5"/>
        <v>0.89315195241587675</v>
      </c>
    </row>
    <row r="32" spans="1:39" x14ac:dyDescent="0.3">
      <c r="A32" s="854">
        <v>31</v>
      </c>
      <c r="B32" s="2090">
        <v>2014</v>
      </c>
      <c r="C32" s="2075">
        <v>614179</v>
      </c>
      <c r="D32" s="2100" t="b">
        <f>C32='Sockeye Returns Data'!D39</f>
        <v>1</v>
      </c>
      <c r="E32" s="2075"/>
      <c r="F32" s="2075">
        <v>2523</v>
      </c>
      <c r="G32" s="2100" t="b">
        <f>F32='Sockeye Returns Data'!F39</f>
        <v>1</v>
      </c>
      <c r="H32" s="2075"/>
      <c r="I32" s="1103">
        <v>0.83</v>
      </c>
      <c r="J32" s="2102" t="b">
        <f>I32='Sockeye Returns Data'!U39</f>
        <v>1</v>
      </c>
      <c r="K32" s="1103"/>
      <c r="L32" s="2075">
        <v>1738</v>
      </c>
      <c r="M32" s="2100" t="b">
        <f>L32='Sockeye Returns Data'!AI39</f>
        <v>0</v>
      </c>
      <c r="N32" s="2075"/>
      <c r="O32" s="2114">
        <v>648953.27165020595</v>
      </c>
      <c r="P32" s="2057">
        <f>'Sockeye Returns Data'!E39/O32</f>
        <v>1.0021584425427614</v>
      </c>
      <c r="Q32" s="2075"/>
      <c r="R32" s="1103">
        <v>0.74679789985359801</v>
      </c>
      <c r="S32" s="1103"/>
      <c r="T32" s="1103">
        <v>0.74679789985359801</v>
      </c>
      <c r="U32" s="1103"/>
      <c r="V32" s="2108">
        <v>0.973941368078176</v>
      </c>
      <c r="W32" s="2109">
        <f>'Spawning Ground Ratios'!O19</f>
        <v>0.87683437585353352</v>
      </c>
      <c r="X32" s="2074" t="b">
        <f>ROUND(V32,2)=ROUND('Spawning Ground Ratios'!O19,2)</f>
        <v>0</v>
      </c>
      <c r="Y32" s="1103"/>
      <c r="Z32" s="2095">
        <v>648168.27165020595</v>
      </c>
      <c r="AA32" s="2095">
        <f>'Sockeye Returns Data'!C39</f>
        <v>651702</v>
      </c>
      <c r="AB32" s="2057">
        <f t="shared" si="2"/>
        <v>1.0054518687574714</v>
      </c>
      <c r="AC32" s="2057"/>
      <c r="AD32" s="2075">
        <v>537979.66546967102</v>
      </c>
      <c r="AE32" s="2075">
        <f>'Sockeye Returns Data'!AD39</f>
        <v>538819</v>
      </c>
      <c r="AF32" s="2057">
        <f t="shared" si="3"/>
        <v>1.0015601603261273</v>
      </c>
      <c r="AG32" s="2075"/>
      <c r="AH32" s="2075">
        <v>400614.89786006103</v>
      </c>
      <c r="AI32" s="2097"/>
      <c r="AJ32" s="2084">
        <v>419366.57111160498</v>
      </c>
      <c r="AK32" s="2078">
        <f t="shared" si="4"/>
        <v>391663.6338020282</v>
      </c>
      <c r="AL32" s="485">
        <f t="shared" si="5"/>
        <v>0.93394099764283722</v>
      </c>
    </row>
    <row r="33" spans="1:39" x14ac:dyDescent="0.3">
      <c r="A33" s="854">
        <v>32</v>
      </c>
      <c r="B33" s="2090">
        <v>2015</v>
      </c>
      <c r="C33" s="2075">
        <v>510706</v>
      </c>
      <c r="D33" s="2100" t="b">
        <f>C33='Sockeye Returns Data'!D40</f>
        <v>1</v>
      </c>
      <c r="E33" s="2075"/>
      <c r="F33" s="2075">
        <v>1749</v>
      </c>
      <c r="G33" s="2100" t="b">
        <f>F33='Sockeye Returns Data'!F40</f>
        <v>1</v>
      </c>
      <c r="H33" s="2075"/>
      <c r="I33" s="1103">
        <v>0.81</v>
      </c>
      <c r="J33" s="2102" t="b">
        <f>I33='Sockeye Returns Data'!U40</f>
        <v>1</v>
      </c>
      <c r="K33" s="1103"/>
      <c r="L33" s="2075">
        <v>1547</v>
      </c>
      <c r="M33" s="2100" t="b">
        <f>L33='Sockeye Returns Data'!AI40</f>
        <v>0</v>
      </c>
      <c r="N33" s="2075"/>
      <c r="O33" s="2114">
        <v>538823.79663660296</v>
      </c>
      <c r="P33" s="2057">
        <f>'Sockeye Returns Data'!E40/O33</f>
        <v>1.0028454633462134</v>
      </c>
      <c r="Q33" s="2075"/>
      <c r="R33" s="1103">
        <v>0.42020197109598001</v>
      </c>
      <c r="S33" s="1103"/>
      <c r="T33" s="1103">
        <v>0.42020197109598001</v>
      </c>
      <c r="U33" s="1103"/>
      <c r="V33" s="2108">
        <v>0.98412698412698396</v>
      </c>
      <c r="W33" s="2109">
        <f>'Spawning Ground Ratios'!O20</f>
        <v>0.99315840309079206</v>
      </c>
      <c r="X33" s="2074" t="b">
        <f>ROUND(V33,2)=ROUND('Spawning Ground Ratios'!O20,2)</f>
        <v>0</v>
      </c>
      <c r="Y33" s="1103"/>
      <c r="Z33" s="2095">
        <v>538621.79663660296</v>
      </c>
      <c r="AA33" s="2095">
        <f>'Sockeye Returns Data'!C40</f>
        <v>542103</v>
      </c>
      <c r="AB33" s="2057">
        <f t="shared" si="2"/>
        <v>1.0064631683773944</v>
      </c>
      <c r="AC33" s="2057"/>
      <c r="AD33" s="2075">
        <v>436283.65527564799</v>
      </c>
      <c r="AE33" s="2075">
        <f>'Sockeye Returns Data'!AD40</f>
        <v>437687</v>
      </c>
      <c r="AF33" s="2057">
        <f t="shared" si="3"/>
        <v>1.0032165878950137</v>
      </c>
      <c r="AG33" s="2075"/>
      <c r="AH33" s="2075">
        <v>182864.76699352101</v>
      </c>
      <c r="AI33" s="2097"/>
      <c r="AJ33" s="2084">
        <v>193361.59318704001</v>
      </c>
      <c r="AK33" s="2078">
        <f t="shared" si="4"/>
        <v>180919.31652446877</v>
      </c>
      <c r="AL33" s="485">
        <f t="shared" si="5"/>
        <v>0.93565280230942383</v>
      </c>
    </row>
    <row r="34" spans="1:39" x14ac:dyDescent="0.3">
      <c r="A34" s="854">
        <v>33</v>
      </c>
      <c r="B34" s="2090">
        <v>2016</v>
      </c>
      <c r="C34" s="2075">
        <v>342498</v>
      </c>
      <c r="D34" s="2100" t="b">
        <f>C34='Sockeye Returns Data'!D41</f>
        <v>1</v>
      </c>
      <c r="E34" s="2075"/>
      <c r="F34" s="2075">
        <v>946</v>
      </c>
      <c r="G34" s="2100" t="b">
        <f>F34='Sockeye Returns Data'!F41</f>
        <v>1</v>
      </c>
      <c r="H34" s="2075"/>
      <c r="I34" s="1103">
        <v>0.76</v>
      </c>
      <c r="J34" s="2102" t="b">
        <f>I34='Sockeye Returns Data'!U41</f>
        <v>1</v>
      </c>
      <c r="K34" s="1103"/>
      <c r="L34" s="2075">
        <v>1197</v>
      </c>
      <c r="M34" s="2100" t="b">
        <f>L34='Sockeye Returns Data'!AI41</f>
        <v>0</v>
      </c>
      <c r="N34" s="2075"/>
      <c r="O34" s="2114">
        <v>360246.06088978198</v>
      </c>
      <c r="P34" s="2057">
        <f>'Sockeye Returns Data'!E41/O34</f>
        <v>1.0036001479294865</v>
      </c>
      <c r="Q34" s="2075"/>
      <c r="R34" s="1103">
        <v>0.59840946041958198</v>
      </c>
      <c r="S34" s="1103"/>
      <c r="T34" s="1103">
        <v>0.59840946041958198</v>
      </c>
      <c r="U34" s="1103"/>
      <c r="V34" s="2108">
        <v>0.99285714285714299</v>
      </c>
      <c r="W34" s="2109">
        <f>'Spawning Ground Ratios'!O21</f>
        <v>0.98742640175264951</v>
      </c>
      <c r="X34" s="2102" t="b">
        <f>ROUND(V34,2)=ROUND('Spawning Ground Ratios'!O21,2)</f>
        <v>1</v>
      </c>
      <c r="Y34" s="1103"/>
      <c r="Z34" s="2095">
        <v>360497.06088978198</v>
      </c>
      <c r="AA34" s="2095">
        <f>'Sockeye Returns Data'!C41</f>
        <v>363350</v>
      </c>
      <c r="AB34" s="2057">
        <f t="shared" si="2"/>
        <v>1.0079139039391234</v>
      </c>
      <c r="AC34" s="2057"/>
      <c r="AD34" s="2075">
        <v>273977.766276234</v>
      </c>
      <c r="AE34" s="2075">
        <f>'Sockeye Returns Data'!AD41</f>
        <v>275427</v>
      </c>
      <c r="AF34" s="2057">
        <f t="shared" si="3"/>
        <v>1.0052896033990759</v>
      </c>
      <c r="AG34" s="2075"/>
      <c r="AH34" s="2075">
        <v>163658.428857069</v>
      </c>
      <c r="AI34" s="2097"/>
      <c r="AJ34" s="2084">
        <v>174458.68044748899</v>
      </c>
      <c r="AK34" s="2078">
        <f t="shared" si="4"/>
        <v>162368.05036650912</v>
      </c>
      <c r="AL34" s="485">
        <f t="shared" si="5"/>
        <v>0.93069631129865693</v>
      </c>
    </row>
    <row r="35" spans="1:39" x14ac:dyDescent="0.3">
      <c r="A35" s="854">
        <v>34</v>
      </c>
      <c r="B35" s="2090">
        <v>2017</v>
      </c>
      <c r="C35" s="2075">
        <v>87693</v>
      </c>
      <c r="D35" s="2100" t="b">
        <f>C35='Sockeye Returns Data'!D42</f>
        <v>1</v>
      </c>
      <c r="E35" s="2075"/>
      <c r="F35" s="2075">
        <v>444</v>
      </c>
      <c r="G35" s="2100" t="b">
        <f>F35='Sockeye Returns Data'!F42</f>
        <v>1</v>
      </c>
      <c r="H35" s="2075"/>
      <c r="I35" s="1103">
        <v>0.64</v>
      </c>
      <c r="J35" s="2102" t="b">
        <f>I35='Sockeye Returns Data'!U42</f>
        <v>1</v>
      </c>
      <c r="K35" s="1103"/>
      <c r="L35" s="2075">
        <v>429</v>
      </c>
      <c r="M35" s="2100" t="b">
        <f>L35='Sockeye Returns Data'!AI42</f>
        <v>0</v>
      </c>
      <c r="N35" s="2075"/>
      <c r="O35" s="2114">
        <v>91388.839852790406</v>
      </c>
      <c r="P35" s="2057">
        <f>'Sockeye Returns Data'!E42/O35</f>
        <v>0.99215615545678115</v>
      </c>
      <c r="Q35" s="2075"/>
      <c r="R35" s="1103">
        <v>0.27041660593750599</v>
      </c>
      <c r="S35" s="1103"/>
      <c r="T35" s="1103">
        <v>0.27041660593750599</v>
      </c>
      <c r="U35" s="1103"/>
      <c r="V35" s="2108">
        <v>1</v>
      </c>
      <c r="W35" s="2109">
        <f>'Spawning Ground Ratios'!O22</f>
        <v>0.99768779910738292</v>
      </c>
      <c r="X35" s="2102" t="b">
        <f>ROUND(V35,2)=ROUND('Spawning Ground Ratios'!O22,2)</f>
        <v>1</v>
      </c>
      <c r="Y35" s="1103"/>
      <c r="Z35" s="2095">
        <v>91373.839852790406</v>
      </c>
      <c r="AA35" s="2095">
        <f>'Sockeye Returns Data'!C42</f>
        <v>91242</v>
      </c>
      <c r="AB35" s="2057">
        <f t="shared" si="2"/>
        <v>0.99855713787444189</v>
      </c>
      <c r="AC35" s="2057"/>
      <c r="AD35" s="2075">
        <v>58479.257505785899</v>
      </c>
      <c r="AE35" s="2075">
        <f>'Sockeye Returns Data'!AD42</f>
        <v>58111</v>
      </c>
      <c r="AF35" s="2057">
        <f t="shared" si="3"/>
        <v>0.99370276707515537</v>
      </c>
      <c r="AG35" s="2075"/>
      <c r="AH35" s="2075">
        <v>15819.241647373299</v>
      </c>
      <c r="AI35" s="2097"/>
      <c r="AJ35" s="2084">
        <v>16948.343394676402</v>
      </c>
      <c r="AK35" s="2078">
        <f t="shared" si="4"/>
        <v>15714.374307684035</v>
      </c>
      <c r="AL35" s="485">
        <f t="shared" si="5"/>
        <v>0.92719234805096262</v>
      </c>
    </row>
    <row r="36" spans="1:39" x14ac:dyDescent="0.3">
      <c r="A36" s="854">
        <v>35</v>
      </c>
      <c r="B36" s="2090">
        <v>2018</v>
      </c>
      <c r="C36" s="2075">
        <v>193816</v>
      </c>
      <c r="D36" s="2100" t="b">
        <f>C36='Sockeye Returns Data'!D43</f>
        <v>1</v>
      </c>
      <c r="E36" s="2075"/>
      <c r="F36" s="2075">
        <v>297</v>
      </c>
      <c r="G36" s="2100" t="b">
        <f>F36='Sockeye Returns Data'!F43</f>
        <v>1</v>
      </c>
      <c r="H36" s="2075"/>
      <c r="I36" s="1103">
        <v>0.92</v>
      </c>
      <c r="J36" s="2102" t="b">
        <f>I36='Sockeye Returns Data'!U43</f>
        <v>1</v>
      </c>
      <c r="K36" s="1103"/>
      <c r="L36" s="2075">
        <v>112</v>
      </c>
      <c r="M36" s="2100" t="b">
        <f>L36='Sockeye Returns Data'!AI43</f>
        <v>0</v>
      </c>
      <c r="N36" s="2075"/>
      <c r="O36" s="2114">
        <v>203028.515396762</v>
      </c>
      <c r="P36" s="2057">
        <f>'Sockeye Returns Data'!E43/O36</f>
        <v>1.0022533022139475</v>
      </c>
      <c r="Q36" s="2075"/>
      <c r="R36" s="1103">
        <v>0.42617970886998102</v>
      </c>
      <c r="S36" s="1103"/>
      <c r="T36" s="1103">
        <v>0.42617970886998102</v>
      </c>
      <c r="U36" s="1103"/>
      <c r="V36" s="2108">
        <v>0.99295774647887303</v>
      </c>
      <c r="W36" s="2109">
        <f>'Spawning Ground Ratios'!O23</f>
        <v>0.93224835397451578</v>
      </c>
      <c r="X36" s="2074" t="b">
        <f>ROUND(V36,2)=ROUND('Spawning Ground Ratios'!O23,2)</f>
        <v>0</v>
      </c>
      <c r="Y36" s="1103"/>
      <c r="Z36" s="2095">
        <v>202843.515396762</v>
      </c>
      <c r="AA36" s="2095">
        <f>'Sockeye Returns Data'!C43</f>
        <v>203637</v>
      </c>
      <c r="AB36" s="2057">
        <f t="shared" si="2"/>
        <v>1.0039118066046426</v>
      </c>
      <c r="AC36" s="2057"/>
      <c r="AD36" s="2075">
        <v>186616.034165021</v>
      </c>
      <c r="AE36" s="2075">
        <f>'Sockeye Returns Data'!AD43</f>
        <v>187073</v>
      </c>
      <c r="AF36" s="2057">
        <f t="shared" si="3"/>
        <v>1.0024486954565486</v>
      </c>
      <c r="AG36" s="2075"/>
      <c r="AH36" s="2075">
        <v>79463.7382262787</v>
      </c>
      <c r="AI36" s="2097"/>
      <c r="AJ36" s="2084">
        <v>84637.833848854702</v>
      </c>
      <c r="AK36" s="2078">
        <f t="shared" si="4"/>
        <v>78967.627382958686</v>
      </c>
      <c r="AL36" s="485">
        <f t="shared" si="5"/>
        <v>0.93300624309429037</v>
      </c>
    </row>
    <row r="37" spans="1:39" x14ac:dyDescent="0.3">
      <c r="A37" s="854">
        <v>36</v>
      </c>
      <c r="B37" s="2090">
        <v>2019</v>
      </c>
      <c r="C37" s="2075">
        <v>63046</v>
      </c>
      <c r="D37" s="2100" t="b">
        <f>C37='Sockeye Returns Data'!D44</f>
        <v>1</v>
      </c>
      <c r="E37" s="2075"/>
      <c r="F37" s="2075">
        <v>335</v>
      </c>
      <c r="G37" s="2100" t="b">
        <f>F37='Sockeye Returns Data'!F44</f>
        <v>1</v>
      </c>
      <c r="H37" s="2075"/>
      <c r="I37" s="1103">
        <v>0.85</v>
      </c>
      <c r="J37" s="2102" t="b">
        <f>I37='Sockeye Returns Data'!U44</f>
        <v>1</v>
      </c>
      <c r="K37" s="1103"/>
      <c r="L37" s="2075">
        <v>41</v>
      </c>
      <c r="M37" s="2100" t="b">
        <f>L37='Sockeye Returns Data'!AI44</f>
        <v>1</v>
      </c>
      <c r="N37" s="2075"/>
      <c r="O37" s="2114">
        <v>65573.375100236197</v>
      </c>
      <c r="P37" s="2057">
        <f>'Sockeye Returns Data'!E44/O37</f>
        <v>0.98317342826185838</v>
      </c>
      <c r="Q37" s="2075"/>
      <c r="R37" s="1103">
        <v>0.560312962103515</v>
      </c>
      <c r="S37" s="1103"/>
      <c r="T37" s="1103">
        <v>0.560312962103515</v>
      </c>
      <c r="U37" s="1103"/>
      <c r="V37" s="2108">
        <v>0.97801974977409001</v>
      </c>
      <c r="W37" s="2111" t="s">
        <v>779</v>
      </c>
      <c r="Y37" s="1103"/>
      <c r="Z37" s="2095">
        <v>65279.375100236197</v>
      </c>
      <c r="AA37" s="2095">
        <f>'Sockeye Returns Data'!C44</f>
        <v>64511</v>
      </c>
      <c r="AB37" s="2057">
        <f t="shared" si="2"/>
        <v>0.9882294354218869</v>
      </c>
      <c r="AC37" s="2057"/>
      <c r="AD37" s="2075">
        <v>55487.4688352007</v>
      </c>
      <c r="AE37" s="2075">
        <f>'Sockeye Returns Data'!AD44</f>
        <v>54550</v>
      </c>
      <c r="AF37" s="2057">
        <f t="shared" si="3"/>
        <v>0.98310485493607558</v>
      </c>
      <c r="AG37" s="2075"/>
      <c r="AH37" s="2075">
        <v>31118.0309372226</v>
      </c>
      <c r="AI37" s="2097"/>
      <c r="AJ37" s="2092">
        <v>32577.913271308</v>
      </c>
      <c r="AK37" s="2078">
        <f t="shared" si="4"/>
        <v>27808.12446155211</v>
      </c>
      <c r="AL37" s="485">
        <f t="shared" si="5"/>
        <v>0.85358826484578021</v>
      </c>
      <c r="AM37" s="1068" t="s">
        <v>781</v>
      </c>
    </row>
    <row r="38" spans="1:39" x14ac:dyDescent="0.3">
      <c r="A38" s="854">
        <v>37</v>
      </c>
      <c r="B38" s="2090">
        <v>2020</v>
      </c>
      <c r="C38" s="2075">
        <v>341739</v>
      </c>
      <c r="D38" s="2100" t="b">
        <f>C38='Sockeye Returns Data'!D45</f>
        <v>1</v>
      </c>
      <c r="E38" s="2075"/>
      <c r="F38" s="2075">
        <v>750</v>
      </c>
      <c r="G38" s="2100" t="b">
        <f>F38='Sockeye Returns Data'!F45</f>
        <v>1</v>
      </c>
      <c r="H38" s="2075"/>
      <c r="I38" s="1103">
        <v>0.85</v>
      </c>
      <c r="J38" s="2102" t="b">
        <f>I38='Sockeye Returns Data'!U45</f>
        <v>1</v>
      </c>
      <c r="K38" s="1103"/>
      <c r="L38" s="2075">
        <v>3357</v>
      </c>
      <c r="M38" s="2100" t="b">
        <f>L38='Sockeye Returns Data'!AI45</f>
        <v>0</v>
      </c>
      <c r="N38" s="2075"/>
      <c r="O38" s="2114">
        <v>359441.77203993202</v>
      </c>
      <c r="P38" s="2057">
        <f>'Sockeye Returns Data'!E45/O38</f>
        <v>1.0036006609713803</v>
      </c>
      <c r="Q38" s="2075"/>
      <c r="R38" s="1103">
        <v>0.54597116033047199</v>
      </c>
      <c r="S38" s="1103"/>
      <c r="T38" s="1103">
        <v>0.54597116033047199</v>
      </c>
      <c r="U38" s="1103"/>
      <c r="V38" s="2108">
        <v>0.97450424929178503</v>
      </c>
      <c r="W38" s="2109">
        <f>'Spawning Ground Ratios'!O25</f>
        <v>0.79110630302340146</v>
      </c>
      <c r="X38" s="2074" t="b">
        <f>ROUND(V38,2)=ROUND('Spawning Ground Ratios'!O25,2)</f>
        <v>0</v>
      </c>
      <c r="Y38" s="1103"/>
      <c r="Z38" s="2095">
        <v>362048.77203993202</v>
      </c>
      <c r="AA38" s="2095">
        <f>'Sockeye Returns Data'!C45</f>
        <v>364015</v>
      </c>
      <c r="AB38" s="2057">
        <f t="shared" si="2"/>
        <v>1.0054308372570619</v>
      </c>
      <c r="AC38" s="2057"/>
      <c r="AD38" s="2075">
        <v>307741.45623394201</v>
      </c>
      <c r="AE38" s="2075">
        <f>'Sockeye Returns Data'!AD45</f>
        <v>308775</v>
      </c>
      <c r="AF38" s="2057">
        <f t="shared" si="3"/>
        <v>1.0033584807802829</v>
      </c>
      <c r="AG38" s="2075"/>
      <c r="AH38" s="2075">
        <v>167730.106893277</v>
      </c>
      <c r="AI38" s="2097"/>
      <c r="AJ38" s="2084">
        <v>175481.56210652</v>
      </c>
      <c r="AK38" s="2078">
        <f t="shared" si="4"/>
        <v>159970.04156710723</v>
      </c>
      <c r="AL38" s="485">
        <f t="shared" si="5"/>
        <v>0.91160598097481582</v>
      </c>
    </row>
    <row r="39" spans="1:39" ht="15" thickBot="1" x14ac:dyDescent="0.35">
      <c r="A39" s="943">
        <v>38</v>
      </c>
      <c r="B39" s="2091">
        <v>2021</v>
      </c>
      <c r="C39" s="2085">
        <v>151765</v>
      </c>
      <c r="D39" s="2101" t="b">
        <f>C39='Sockeye Returns Data'!D46</f>
        <v>1</v>
      </c>
      <c r="E39" s="2085"/>
      <c r="F39" s="2085">
        <v>953</v>
      </c>
      <c r="G39" s="2101" t="b">
        <f>F39='Sockeye Returns Data'!F46</f>
        <v>0</v>
      </c>
      <c r="H39" s="2085"/>
      <c r="I39" s="2086">
        <v>0.72</v>
      </c>
      <c r="J39" s="2103" t="b">
        <f>I39='Sockeye Returns Data'!U46</f>
        <v>1</v>
      </c>
      <c r="K39" s="2086"/>
      <c r="L39" s="2085">
        <v>550</v>
      </c>
      <c r="M39" s="2101" t="b">
        <f>L39='Sockeye Returns Data'!AI46</f>
        <v>0</v>
      </c>
      <c r="N39" s="2085"/>
      <c r="O39" s="2115">
        <v>158716.03832660601</v>
      </c>
      <c r="P39" s="2057">
        <f>'Sockeye Returns Data'!E46/O39</f>
        <v>1.000421896073642</v>
      </c>
      <c r="Q39" s="2085"/>
      <c r="R39" s="2086">
        <v>0.54716528701599298</v>
      </c>
      <c r="S39" s="2086"/>
      <c r="T39" s="2086">
        <v>0.54716528701599298</v>
      </c>
      <c r="U39" s="2086"/>
      <c r="V39" s="2110">
        <v>0.93491124260354996</v>
      </c>
      <c r="W39" s="2109">
        <f>'Spawning Ground Ratios'!O26</f>
        <v>0.88307964970809005</v>
      </c>
      <c r="X39" s="2074" t="b">
        <f>ROUND(V39,2)=ROUND('Spawning Ground Ratios'!O26,2)</f>
        <v>0</v>
      </c>
      <c r="Y39" s="2086"/>
      <c r="Z39" s="2096">
        <v>158313.03832660601</v>
      </c>
      <c r="AA39" s="2096">
        <f>'Sockeye Returns Data'!C46</f>
        <v>159340</v>
      </c>
      <c r="AB39" s="2057">
        <f t="shared" si="2"/>
        <v>1.0064869052116563</v>
      </c>
      <c r="AC39" s="2099"/>
      <c r="AD39" s="2085">
        <v>113985.387595156</v>
      </c>
      <c r="AE39" s="2075">
        <f>'Sockeye Returns Data'!AD46</f>
        <v>114039</v>
      </c>
      <c r="AF39" s="2057">
        <f t="shared" si="3"/>
        <v>1.0004703445413057</v>
      </c>
      <c r="AG39" s="2085"/>
      <c r="AH39" s="2085">
        <v>62337.315499489101</v>
      </c>
      <c r="AI39" s="2098"/>
      <c r="AJ39" s="2087">
        <v>62492.823537873803</v>
      </c>
      <c r="AK39" s="2079">
        <f t="shared" si="4"/>
        <v>55371.464605909532</v>
      </c>
      <c r="AL39" s="2080">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713"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1" t="s">
        <v>758</v>
      </c>
      <c r="B1" s="2089" t="s">
        <v>759</v>
      </c>
      <c r="C1" s="2089" t="s">
        <v>760</v>
      </c>
      <c r="D1" s="2082" t="s">
        <v>761</v>
      </c>
      <c r="E1" s="2057"/>
      <c r="F1" s="2089" t="s">
        <v>762</v>
      </c>
      <c r="G1" s="2082" t="s">
        <v>761</v>
      </c>
      <c r="H1" s="2057"/>
      <c r="I1" s="2089" t="s">
        <v>763</v>
      </c>
      <c r="J1" s="2082" t="s">
        <v>761</v>
      </c>
      <c r="K1" s="2057"/>
      <c r="L1" s="2089" t="s">
        <v>764</v>
      </c>
      <c r="M1" s="2082" t="s">
        <v>761</v>
      </c>
      <c r="N1" s="2057"/>
      <c r="O1" s="2089" t="s">
        <v>765</v>
      </c>
      <c r="P1" s="2082" t="s">
        <v>766</v>
      </c>
      <c r="Q1" s="2057"/>
      <c r="R1" s="2089" t="s">
        <v>767</v>
      </c>
      <c r="S1" s="2057"/>
      <c r="T1" s="2089" t="s">
        <v>768</v>
      </c>
      <c r="U1" s="2057"/>
      <c r="V1" s="2089" t="s">
        <v>769</v>
      </c>
      <c r="W1" s="2106" t="s">
        <v>770</v>
      </c>
      <c r="X1" s="2082" t="s">
        <v>771</v>
      </c>
      <c r="Y1" s="2057"/>
      <c r="Z1" s="2093" t="s">
        <v>772</v>
      </c>
      <c r="AA1" s="2094" t="str">
        <f>'Sockeye Returns Data'!C1</f>
        <v>Total Sox (Mouth)  [24-hour]</v>
      </c>
      <c r="AB1" s="2082" t="s">
        <v>773</v>
      </c>
      <c r="AC1" s="2057"/>
      <c r="AD1" s="2082" t="s">
        <v>774</v>
      </c>
      <c r="AE1" s="2082" t="str">
        <f>'Sockeye Returns Data'!AD1</f>
        <v>Estimated Okanagan Sockeye Returns</v>
      </c>
      <c r="AF1" s="2082" t="s">
        <v>775</v>
      </c>
      <c r="AG1" s="2057"/>
      <c r="AH1" s="2082" t="s">
        <v>776</v>
      </c>
      <c r="AI1" s="2057"/>
      <c r="AJ1" s="2083" t="s">
        <v>777</v>
      </c>
      <c r="AK1" s="2076" t="str">
        <f>'Sockeye Returns Data'!BW1</f>
        <v>Estimated Osoyoos Sockeye Returns (N-O)</v>
      </c>
      <c r="AL1" s="2077" t="s">
        <v>778</v>
      </c>
    </row>
    <row r="2" spans="1:38" x14ac:dyDescent="0.3">
      <c r="A2" s="854">
        <v>1</v>
      </c>
      <c r="B2" s="2090">
        <v>1984</v>
      </c>
      <c r="C2" s="2075">
        <v>152545</v>
      </c>
      <c r="D2" s="2100" t="b">
        <f>C2='Sockeye Returns Data'!D9</f>
        <v>1</v>
      </c>
      <c r="E2" s="2075"/>
      <c r="F2" s="2075">
        <v>149</v>
      </c>
      <c r="G2" s="2100" t="b">
        <f>F2='Sockeye Returns Data'!F9</f>
        <v>1</v>
      </c>
      <c r="H2" s="2075"/>
      <c r="I2" s="1103">
        <v>0.84</v>
      </c>
      <c r="J2" s="2100" t="b">
        <f>I2='Sockeye Returns Data'!U9</f>
        <v>1</v>
      </c>
      <c r="K2" s="2075"/>
      <c r="L2" s="2075">
        <v>9345</v>
      </c>
      <c r="M2" s="2100" t="b">
        <f>L2='Sockeye Returns Data'!AI9</f>
        <v>1</v>
      </c>
      <c r="N2" s="2075"/>
      <c r="O2" s="2075">
        <v>159473</v>
      </c>
      <c r="P2" s="2057">
        <f>'Sockeye Returns Data'!E9/O2</f>
        <v>0.99648657619158088</v>
      </c>
      <c r="Q2" s="2075"/>
      <c r="R2" s="1103">
        <v>1</v>
      </c>
      <c r="S2" s="1103"/>
      <c r="T2" s="1103">
        <v>1</v>
      </c>
      <c r="U2" s="1103"/>
      <c r="V2" s="1103">
        <v>1</v>
      </c>
      <c r="W2" s="2107"/>
      <c r="X2" s="2102" t="b">
        <f>V2='Sockeye Returns Data'!BQ9</f>
        <v>1</v>
      </c>
      <c r="Y2" s="1103"/>
      <c r="Z2" s="2095">
        <v>168669</v>
      </c>
      <c r="AA2" s="2095">
        <f>'Sockeye Returns Data'!C9</f>
        <v>168257.70376499998</v>
      </c>
      <c r="AB2" s="2057">
        <f>AA2/Z2</f>
        <v>0.99756151850666086</v>
      </c>
      <c r="AC2" s="2057"/>
      <c r="AD2" s="2075">
        <v>141681.96</v>
      </c>
      <c r="AE2" s="2075">
        <f>'Sockeye Returns Data'!AD9</f>
        <v>141211.31116259997</v>
      </c>
      <c r="AF2" s="2057">
        <f>AE2/AD2</f>
        <v>0.99667813151794327</v>
      </c>
      <c r="AG2" s="2075"/>
      <c r="AH2" s="2075">
        <v>141681.96</v>
      </c>
      <c r="AI2" s="2097"/>
      <c r="AJ2" s="2084">
        <v>141681.96</v>
      </c>
      <c r="AK2" s="2078">
        <f t="shared" ref="AK2:AK28" si="0">VLOOKUP(B2,SockeyeReturnsData,75)</f>
        <v>0</v>
      </c>
      <c r="AL2" s="485">
        <f t="shared" ref="AL2:AL28" si="1">AK2/AJ2</f>
        <v>0</v>
      </c>
    </row>
    <row r="3" spans="1:38" x14ac:dyDescent="0.3">
      <c r="A3" s="854">
        <v>2</v>
      </c>
      <c r="B3" s="2090">
        <v>1985</v>
      </c>
      <c r="C3" s="2075">
        <v>166340</v>
      </c>
      <c r="D3" s="2100" t="b">
        <f>C3='Sockeye Returns Data'!D10</f>
        <v>1</v>
      </c>
      <c r="E3" s="2075"/>
      <c r="F3" s="2075">
        <v>59</v>
      </c>
      <c r="G3" s="2100" t="b">
        <f>F3='Sockeye Returns Data'!F10</f>
        <v>1</v>
      </c>
      <c r="H3" s="2075"/>
      <c r="I3" s="1103">
        <v>0.59</v>
      </c>
      <c r="J3" s="2102" t="b">
        <f>I3='Sockeye Returns Data'!U10</f>
        <v>1</v>
      </c>
      <c r="K3" s="1103"/>
      <c r="L3" s="2075">
        <v>32213</v>
      </c>
      <c r="M3" s="2100" t="b">
        <f>L3='Sockeye Returns Data'!AI10</f>
        <v>1</v>
      </c>
      <c r="N3" s="2075"/>
      <c r="O3" s="2075">
        <v>173968</v>
      </c>
      <c r="P3" s="2057">
        <f>'Sockeye Returns Data'!E10/O3</f>
        <v>0.99620619884116623</v>
      </c>
      <c r="Q3" s="2075"/>
      <c r="R3" s="1103">
        <v>1</v>
      </c>
      <c r="S3" s="1103"/>
      <c r="T3" s="1103">
        <v>1</v>
      </c>
      <c r="U3" s="1103"/>
      <c r="V3" s="1103">
        <v>1</v>
      </c>
      <c r="W3" s="2107"/>
      <c r="X3" s="2102" t="b">
        <f>V3='Sockeye Returns Data'!BQ10</f>
        <v>1</v>
      </c>
      <c r="Y3" s="1103"/>
      <c r="Z3" s="2095">
        <v>206122</v>
      </c>
      <c r="AA3" s="2095">
        <f>'Sockeye Returns Data'!C10</f>
        <v>205521</v>
      </c>
      <c r="AB3" s="2057">
        <f t="shared" ref="AB3:AB39" si="2">AA3/Z3</f>
        <v>0.9970842510746063</v>
      </c>
      <c r="AC3" s="2057"/>
      <c r="AD3" s="2075">
        <v>121611.98</v>
      </c>
      <c r="AE3" s="2075">
        <f>'Sockeye Returns Data'!AD10</f>
        <v>121223</v>
      </c>
      <c r="AF3" s="2057">
        <f t="shared" ref="AF3:AF39" si="3">AE3/AD3</f>
        <v>0.99680146643447465</v>
      </c>
      <c r="AG3" s="2075"/>
      <c r="AH3" s="2075">
        <v>121611.98</v>
      </c>
      <c r="AI3" s="2097"/>
      <c r="AJ3" s="2084">
        <v>121611.98</v>
      </c>
      <c r="AK3" s="2078">
        <f t="shared" si="0"/>
        <v>0</v>
      </c>
      <c r="AL3" s="485">
        <f t="shared" si="1"/>
        <v>0</v>
      </c>
    </row>
    <row r="4" spans="1:38" x14ac:dyDescent="0.3">
      <c r="A4" s="854">
        <v>3</v>
      </c>
      <c r="B4" s="2090">
        <v>1986</v>
      </c>
      <c r="C4" s="2075">
        <v>58123</v>
      </c>
      <c r="D4" s="2100" t="b">
        <f>C4='Sockeye Returns Data'!D11</f>
        <v>1</v>
      </c>
      <c r="E4" s="2075"/>
      <c r="F4" s="2075">
        <v>24</v>
      </c>
      <c r="G4" s="2100" t="b">
        <f>F4='Sockeye Returns Data'!F11</f>
        <v>1</v>
      </c>
      <c r="H4" s="2075"/>
      <c r="I4" s="1103">
        <v>0.79</v>
      </c>
      <c r="J4" s="2102" t="b">
        <f>I4='Sockeye Returns Data'!U11</f>
        <v>1</v>
      </c>
      <c r="K4" s="1103"/>
      <c r="L4" s="2075">
        <v>1840</v>
      </c>
      <c r="M4" s="2100" t="b">
        <f>L4='Sockeye Returns Data'!AI11</f>
        <v>1</v>
      </c>
      <c r="N4" s="2075"/>
      <c r="O4" s="2075">
        <v>60470</v>
      </c>
      <c r="P4" s="2057">
        <f>'Sockeye Returns Data'!E11/O4</f>
        <v>0.99851165867372249</v>
      </c>
      <c r="Q4" s="2075"/>
      <c r="R4" s="1103">
        <v>1</v>
      </c>
      <c r="S4" s="1103"/>
      <c r="T4" s="1103">
        <v>1</v>
      </c>
      <c r="U4" s="1103"/>
      <c r="V4" s="1103">
        <v>1</v>
      </c>
      <c r="W4" s="2107"/>
      <c r="X4" s="2102" t="b">
        <f>V4='Sockeye Returns Data'!BQ11</f>
        <v>1</v>
      </c>
      <c r="Y4" s="1103"/>
      <c r="Z4" s="2095">
        <v>62286</v>
      </c>
      <c r="AA4" s="2095">
        <f>'Sockeye Returns Data'!C11</f>
        <v>62220</v>
      </c>
      <c r="AB4" s="2057">
        <f t="shared" si="2"/>
        <v>0.99894037183315676</v>
      </c>
      <c r="AC4" s="2057"/>
      <c r="AD4" s="2075">
        <v>49205.94</v>
      </c>
      <c r="AE4" s="2075">
        <f>'Sockeye Returns Data'!AD11</f>
        <v>49135</v>
      </c>
      <c r="AF4" s="2057">
        <f t="shared" si="3"/>
        <v>0.99855830413970337</v>
      </c>
      <c r="AG4" s="2075"/>
      <c r="AH4" s="2075">
        <v>49205.94</v>
      </c>
      <c r="AI4" s="2097"/>
      <c r="AJ4" s="2084">
        <v>49205.94</v>
      </c>
      <c r="AK4" s="2078">
        <f t="shared" si="0"/>
        <v>0</v>
      </c>
      <c r="AL4" s="485">
        <f t="shared" si="1"/>
        <v>0</v>
      </c>
    </row>
    <row r="5" spans="1:38" x14ac:dyDescent="0.3">
      <c r="A5" s="854">
        <v>4</v>
      </c>
      <c r="B5" s="2090">
        <v>1987</v>
      </c>
      <c r="C5" s="2075">
        <v>116993</v>
      </c>
      <c r="D5" s="2100" t="b">
        <f>C5='Sockeye Returns Data'!D12</f>
        <v>1</v>
      </c>
      <c r="E5" s="2075"/>
      <c r="F5" s="2075">
        <v>55</v>
      </c>
      <c r="G5" s="2100" t="b">
        <f>F5='Sockeye Returns Data'!F12</f>
        <v>1</v>
      </c>
      <c r="H5" s="2075"/>
      <c r="I5" s="1103">
        <v>0.66</v>
      </c>
      <c r="J5" s="2102" t="b">
        <f>I5='Sockeye Returns Data'!U12</f>
        <v>1</v>
      </c>
      <c r="K5" s="1103"/>
      <c r="L5" s="2075">
        <v>28553</v>
      </c>
      <c r="M5" s="2100" t="b">
        <f>L5='Sockeye Returns Data'!AI12</f>
        <v>1</v>
      </c>
      <c r="N5" s="2075"/>
      <c r="O5" s="2075">
        <v>122141</v>
      </c>
      <c r="P5" s="2057">
        <f>'Sockeye Returns Data'!E12/O5</f>
        <v>0.99731457905207921</v>
      </c>
      <c r="Q5" s="2075"/>
      <c r="R5" s="1103">
        <v>1</v>
      </c>
      <c r="S5" s="1103"/>
      <c r="T5" s="1103">
        <v>1</v>
      </c>
      <c r="U5" s="1103"/>
      <c r="V5" s="1103">
        <v>1</v>
      </c>
      <c r="W5" s="2107"/>
      <c r="X5" s="2102" t="b">
        <f>V5='Sockeye Returns Data'!BQ12</f>
        <v>1</v>
      </c>
      <c r="Y5" s="1103"/>
      <c r="Z5" s="2095">
        <v>150639</v>
      </c>
      <c r="AA5" s="2095">
        <f>'Sockeye Returns Data'!C12</f>
        <v>150366</v>
      </c>
      <c r="AB5" s="2057">
        <f t="shared" si="2"/>
        <v>0.99818772031147307</v>
      </c>
      <c r="AC5" s="2057"/>
      <c r="AD5" s="2075">
        <v>99421.74</v>
      </c>
      <c r="AE5" s="2075">
        <f>'Sockeye Returns Data'!AD12</f>
        <v>99205</v>
      </c>
      <c r="AF5" s="2057">
        <f t="shared" si="3"/>
        <v>0.99781999389670706</v>
      </c>
      <c r="AG5" s="2075"/>
      <c r="AH5" s="2075">
        <v>99421.74</v>
      </c>
      <c r="AI5" s="2097"/>
      <c r="AJ5" s="2084">
        <v>99421.74</v>
      </c>
      <c r="AK5" s="2078">
        <f t="shared" si="0"/>
        <v>0</v>
      </c>
      <c r="AL5" s="485">
        <f t="shared" si="1"/>
        <v>0</v>
      </c>
    </row>
    <row r="6" spans="1:38" x14ac:dyDescent="0.3">
      <c r="A6" s="854">
        <v>5</v>
      </c>
      <c r="B6" s="2090">
        <v>1988</v>
      </c>
      <c r="C6" s="2075">
        <v>79714</v>
      </c>
      <c r="D6" s="2100" t="b">
        <f>C6='Sockeye Returns Data'!D13</f>
        <v>1</v>
      </c>
      <c r="E6" s="2075"/>
      <c r="F6" s="2075">
        <v>45</v>
      </c>
      <c r="G6" s="2100" t="b">
        <f>F6='Sockeye Returns Data'!F13</f>
        <v>1</v>
      </c>
      <c r="H6" s="2075"/>
      <c r="I6" s="1103">
        <v>0.78</v>
      </c>
      <c r="J6" s="2102" t="b">
        <f>I6='Sockeye Returns Data'!U13</f>
        <v>1</v>
      </c>
      <c r="K6" s="1103"/>
      <c r="L6" s="2075">
        <v>17632</v>
      </c>
      <c r="M6" s="2100" t="b">
        <f>L6='Sockeye Returns Data'!AI13</f>
        <v>1</v>
      </c>
      <c r="N6" s="2075"/>
      <c r="O6" s="2075">
        <v>83072</v>
      </c>
      <c r="P6" s="2057">
        <f>'Sockeye Returns Data'!E13/O6</f>
        <v>0.99806192218798151</v>
      </c>
      <c r="Q6" s="2075"/>
      <c r="R6" s="1103">
        <v>1</v>
      </c>
      <c r="S6" s="1103"/>
      <c r="T6" s="1103">
        <v>1</v>
      </c>
      <c r="U6" s="1103"/>
      <c r="V6" s="1103">
        <v>1</v>
      </c>
      <c r="W6" s="2107"/>
      <c r="X6" s="2102" t="b">
        <f>V6='Sockeye Returns Data'!BQ13</f>
        <v>1</v>
      </c>
      <c r="Y6" s="1103"/>
      <c r="Z6" s="2095">
        <v>100659</v>
      </c>
      <c r="AA6" s="2095">
        <f>'Sockeye Returns Data'!C13</f>
        <v>100543</v>
      </c>
      <c r="AB6" s="2057">
        <f t="shared" si="2"/>
        <v>0.99884759435321235</v>
      </c>
      <c r="AC6" s="2057"/>
      <c r="AD6" s="2075">
        <v>78514.02</v>
      </c>
      <c r="AE6" s="2075">
        <f>'Sockeye Returns Data'!AD13</f>
        <v>78388</v>
      </c>
      <c r="AF6" s="2057">
        <f t="shared" si="3"/>
        <v>0.9983949363438529</v>
      </c>
      <c r="AG6" s="2075"/>
      <c r="AH6" s="2075">
        <v>78514.02</v>
      </c>
      <c r="AI6" s="2097"/>
      <c r="AJ6" s="2084">
        <v>78514.02</v>
      </c>
      <c r="AK6" s="2078">
        <f t="shared" si="0"/>
        <v>0</v>
      </c>
      <c r="AL6" s="485">
        <f t="shared" si="1"/>
        <v>0</v>
      </c>
    </row>
    <row r="7" spans="1:38" x14ac:dyDescent="0.3">
      <c r="A7" s="854">
        <v>6</v>
      </c>
      <c r="B7" s="2090">
        <v>1989</v>
      </c>
      <c r="C7" s="2075">
        <v>41884</v>
      </c>
      <c r="D7" s="2100" t="b">
        <f>C7='Sockeye Returns Data'!D14</f>
        <v>1</v>
      </c>
      <c r="E7" s="2075"/>
      <c r="F7" s="2075">
        <v>4</v>
      </c>
      <c r="G7" s="2100" t="b">
        <f>F7='Sockeye Returns Data'!F14</f>
        <v>1</v>
      </c>
      <c r="H7" s="2075"/>
      <c r="I7" s="1103">
        <v>0.42</v>
      </c>
      <c r="J7" s="2102" t="b">
        <f>I7='Sockeye Returns Data'!U14</f>
        <v>1</v>
      </c>
      <c r="K7" s="1103"/>
      <c r="L7" s="2075">
        <v>36</v>
      </c>
      <c r="M7" s="2100" t="b">
        <f>L7='Sockeye Returns Data'!AI14</f>
        <v>1</v>
      </c>
      <c r="N7" s="2075"/>
      <c r="O7" s="2075">
        <v>43526</v>
      </c>
      <c r="P7" s="2057">
        <f>'Sockeye Returns Data'!E14/O7</f>
        <v>0.99788632081973994</v>
      </c>
      <c r="Q7" s="2075"/>
      <c r="R7" s="1103">
        <v>1</v>
      </c>
      <c r="S7" s="1103"/>
      <c r="T7" s="1103">
        <v>1</v>
      </c>
      <c r="U7" s="1103"/>
      <c r="V7" s="1103">
        <v>1</v>
      </c>
      <c r="W7" s="2107"/>
      <c r="X7" s="2102" t="b">
        <f>V7='Sockeye Returns Data'!BQ14</f>
        <v>1</v>
      </c>
      <c r="Y7" s="1103"/>
      <c r="Z7" s="2095">
        <v>43558</v>
      </c>
      <c r="AA7" s="2095">
        <f>'Sockeye Returns Data'!C14</f>
        <v>43470</v>
      </c>
      <c r="AB7" s="2057">
        <f t="shared" si="2"/>
        <v>0.9979797052206254</v>
      </c>
      <c r="AC7" s="2057"/>
      <c r="AD7" s="2075">
        <v>18294.36</v>
      </c>
      <c r="AE7" s="2075">
        <f>'Sockeye Returns Data'!AD14</f>
        <v>18256</v>
      </c>
      <c r="AF7" s="2057">
        <f t="shared" si="3"/>
        <v>0.99790317890322477</v>
      </c>
      <c r="AG7" s="2075"/>
      <c r="AH7" s="2075">
        <v>18294.36</v>
      </c>
      <c r="AI7" s="2097"/>
      <c r="AJ7" s="2084">
        <v>18294.36</v>
      </c>
      <c r="AK7" s="2078">
        <f t="shared" si="0"/>
        <v>0</v>
      </c>
      <c r="AL7" s="485">
        <f t="shared" si="1"/>
        <v>0</v>
      </c>
    </row>
    <row r="8" spans="1:38" x14ac:dyDescent="0.3">
      <c r="A8" s="854">
        <v>7</v>
      </c>
      <c r="B8" s="2090">
        <v>1990</v>
      </c>
      <c r="C8" s="2075">
        <v>49581</v>
      </c>
      <c r="D8" s="2100" t="b">
        <f>C8='Sockeye Returns Data'!D15</f>
        <v>1</v>
      </c>
      <c r="E8" s="2075"/>
      <c r="F8" s="2075">
        <v>1</v>
      </c>
      <c r="G8" s="2100" t="b">
        <f>F8='Sockeye Returns Data'!F15</f>
        <v>1</v>
      </c>
      <c r="H8" s="2075"/>
      <c r="I8" s="1103">
        <v>0.24</v>
      </c>
      <c r="J8" s="2102" t="b">
        <f>I8='Sockeye Returns Data'!U15</f>
        <v>1</v>
      </c>
      <c r="K8" s="1103"/>
      <c r="L8" s="2075">
        <v>173</v>
      </c>
      <c r="M8" s="2100" t="b">
        <f>L8='Sockeye Returns Data'!AI15</f>
        <v>1</v>
      </c>
      <c r="N8" s="2075"/>
      <c r="O8" s="2075">
        <v>51559</v>
      </c>
      <c r="P8" s="2057">
        <f>'Sockeye Returns Data'!E15/O8</f>
        <v>0.99819624119940265</v>
      </c>
      <c r="Q8" s="2075"/>
      <c r="R8" s="1103">
        <v>1</v>
      </c>
      <c r="S8" s="1103"/>
      <c r="T8" s="1103">
        <v>1</v>
      </c>
      <c r="U8" s="1103"/>
      <c r="V8" s="1103">
        <v>1</v>
      </c>
      <c r="W8" s="2107"/>
      <c r="X8" s="2102" t="b">
        <f>V8='Sockeye Returns Data'!BQ15</f>
        <v>1</v>
      </c>
      <c r="Y8" s="1103"/>
      <c r="Z8" s="2095">
        <v>51731</v>
      </c>
      <c r="AA8" s="2095">
        <f>'Sockeye Returns Data'!C15</f>
        <v>51639</v>
      </c>
      <c r="AB8" s="2057">
        <f t="shared" si="2"/>
        <v>0.99822156927180994</v>
      </c>
      <c r="AC8" s="2057"/>
      <c r="AD8" s="2075">
        <v>12415.44</v>
      </c>
      <c r="AE8" s="2075">
        <f>'Sockeye Returns Data'!AD15</f>
        <v>12393</v>
      </c>
      <c r="AF8" s="2057">
        <f t="shared" si="3"/>
        <v>0.99819257311863285</v>
      </c>
      <c r="AG8" s="2075"/>
      <c r="AH8" s="2075">
        <v>12415.44</v>
      </c>
      <c r="AI8" s="2097"/>
      <c r="AJ8" s="2084">
        <v>12415.44</v>
      </c>
      <c r="AK8" s="2078">
        <f t="shared" si="0"/>
        <v>0</v>
      </c>
      <c r="AL8" s="485">
        <f t="shared" si="1"/>
        <v>0</v>
      </c>
    </row>
    <row r="9" spans="1:38" x14ac:dyDescent="0.3">
      <c r="A9" s="854">
        <v>8</v>
      </c>
      <c r="B9" s="2090">
        <v>1991</v>
      </c>
      <c r="C9" s="2075">
        <v>76481</v>
      </c>
      <c r="D9" s="2100" t="b">
        <f>C9='Sockeye Returns Data'!D16</f>
        <v>1</v>
      </c>
      <c r="E9" s="2075"/>
      <c r="F9" s="2075">
        <v>10</v>
      </c>
      <c r="G9" s="2100" t="b">
        <f>F9='Sockeye Returns Data'!F16</f>
        <v>1</v>
      </c>
      <c r="H9" s="2075"/>
      <c r="I9" s="1103">
        <v>0.5</v>
      </c>
      <c r="J9" s="2102" t="b">
        <f>I9='Sockeye Returns Data'!U16</f>
        <v>1</v>
      </c>
      <c r="K9" s="1103"/>
      <c r="L9" s="2075">
        <v>3</v>
      </c>
      <c r="M9" s="2100" t="b">
        <f>L9='Sockeye Returns Data'!AI16</f>
        <v>1</v>
      </c>
      <c r="N9" s="2075"/>
      <c r="O9" s="2075">
        <v>79680.5</v>
      </c>
      <c r="P9" s="2057">
        <f>'Sockeye Returns Data'!E16/O9</f>
        <v>0.99819905748583404</v>
      </c>
      <c r="Q9" s="2075"/>
      <c r="R9" s="1103">
        <v>1</v>
      </c>
      <c r="S9" s="1103"/>
      <c r="T9" s="1103">
        <v>1</v>
      </c>
      <c r="U9" s="1103"/>
      <c r="V9" s="1103">
        <v>1</v>
      </c>
      <c r="W9" s="2107"/>
      <c r="X9" s="2102" t="b">
        <f>V9='Sockeye Returns Data'!BQ16</f>
        <v>1</v>
      </c>
      <c r="Y9" s="1103"/>
      <c r="Z9" s="2095">
        <v>79673.5</v>
      </c>
      <c r="AA9" s="2095">
        <f>'Sockeye Returns Data'!C16</f>
        <v>79540</v>
      </c>
      <c r="AB9" s="2057">
        <f t="shared" si="2"/>
        <v>0.9983244115044525</v>
      </c>
      <c r="AC9" s="2057"/>
      <c r="AD9" s="2075">
        <v>39836.75</v>
      </c>
      <c r="AE9" s="2075">
        <f>'Sockeye Returns Data'!AD16</f>
        <v>39765</v>
      </c>
      <c r="AF9" s="2057">
        <f t="shared" si="3"/>
        <v>0.99819889925759508</v>
      </c>
      <c r="AG9" s="2075"/>
      <c r="AH9" s="2075">
        <v>39836.75</v>
      </c>
      <c r="AI9" s="2097"/>
      <c r="AJ9" s="2084">
        <v>39836.75</v>
      </c>
      <c r="AK9" s="2078">
        <f t="shared" si="0"/>
        <v>0</v>
      </c>
      <c r="AL9" s="485">
        <f t="shared" si="1"/>
        <v>0</v>
      </c>
    </row>
    <row r="10" spans="1:38" x14ac:dyDescent="0.3">
      <c r="A10" s="854">
        <v>9</v>
      </c>
      <c r="B10" s="2090">
        <v>1992</v>
      </c>
      <c r="C10" s="2075">
        <v>84992</v>
      </c>
      <c r="D10" s="2100" t="b">
        <f>C10='Sockeye Returns Data'!D17</f>
        <v>1</v>
      </c>
      <c r="E10" s="2075"/>
      <c r="F10" s="2075">
        <v>35</v>
      </c>
      <c r="G10" s="2100" t="b">
        <f>F10='Sockeye Returns Data'!F17</f>
        <v>1</v>
      </c>
      <c r="H10" s="2075"/>
      <c r="I10" s="1103">
        <v>0.69</v>
      </c>
      <c r="J10" s="2102" t="b">
        <f>I10='Sockeye Returns Data'!U17</f>
        <v>1</v>
      </c>
      <c r="K10" s="1103"/>
      <c r="L10" s="2075">
        <v>8</v>
      </c>
      <c r="M10" s="2100" t="b">
        <f>L10='Sockeye Returns Data'!AI17</f>
        <v>1</v>
      </c>
      <c r="N10" s="2075"/>
      <c r="O10" s="2075">
        <v>88595.5</v>
      </c>
      <c r="P10" s="2057">
        <f>'Sockeye Returns Data'!E17/O10</f>
        <v>0.99800779949320229</v>
      </c>
      <c r="Q10" s="2075"/>
      <c r="R10" s="1103">
        <v>1</v>
      </c>
      <c r="S10" s="1103"/>
      <c r="T10" s="1103">
        <v>1</v>
      </c>
      <c r="U10" s="1103"/>
      <c r="V10" s="1103">
        <v>1</v>
      </c>
      <c r="W10" s="2107"/>
      <c r="X10" s="2102" t="b">
        <f>V10='Sockeye Returns Data'!BQ17</f>
        <v>1</v>
      </c>
      <c r="Y10" s="1103"/>
      <c r="Z10" s="2095">
        <v>88568.5</v>
      </c>
      <c r="AA10" s="2095">
        <f>'Sockeye Returns Data'!C17</f>
        <v>88427</v>
      </c>
      <c r="AB10" s="2057">
        <f t="shared" si="2"/>
        <v>0.99840236652986103</v>
      </c>
      <c r="AC10" s="2057"/>
      <c r="AD10" s="2075">
        <v>61112.264999999999</v>
      </c>
      <c r="AE10" s="2075">
        <f>'Sockeye Returns Data'!AD17</f>
        <v>60990</v>
      </c>
      <c r="AF10" s="2057">
        <f t="shared" si="3"/>
        <v>0.99799933777614036</v>
      </c>
      <c r="AG10" s="2075"/>
      <c r="AH10" s="2075">
        <v>61112.264999999999</v>
      </c>
      <c r="AI10" s="2097"/>
      <c r="AJ10" s="2084">
        <v>61112.264999999999</v>
      </c>
      <c r="AK10" s="2078">
        <f t="shared" si="0"/>
        <v>0</v>
      </c>
      <c r="AL10" s="485">
        <f t="shared" si="1"/>
        <v>0</v>
      </c>
    </row>
    <row r="11" spans="1:38" x14ac:dyDescent="0.3">
      <c r="A11" s="854">
        <v>10</v>
      </c>
      <c r="B11" s="2090">
        <v>1993</v>
      </c>
      <c r="C11" s="2075">
        <v>80178</v>
      </c>
      <c r="D11" s="2100" t="b">
        <f>C11='Sockeye Returns Data'!D18</f>
        <v>1</v>
      </c>
      <c r="E11" s="2075"/>
      <c r="F11" s="2075">
        <v>18</v>
      </c>
      <c r="G11" s="2100" t="b">
        <f>F11='Sockeye Returns Data'!F18</f>
        <v>1</v>
      </c>
      <c r="H11" s="2075"/>
      <c r="I11" s="1103">
        <v>0.48</v>
      </c>
      <c r="J11" s="2102" t="b">
        <f>I11='Sockeye Returns Data'!U18</f>
        <v>1</v>
      </c>
      <c r="K11" s="1103"/>
      <c r="L11" s="2075">
        <v>64</v>
      </c>
      <c r="M11" s="2100" t="b">
        <f>L11='Sockeye Returns Data'!AI18</f>
        <v>1</v>
      </c>
      <c r="N11" s="2075"/>
      <c r="O11" s="2075">
        <v>83560</v>
      </c>
      <c r="P11" s="2057">
        <f>'Sockeye Returns Data'!E18/O11</f>
        <v>0.99802537099090471</v>
      </c>
      <c r="Q11" s="2075"/>
      <c r="R11" s="1103">
        <v>1</v>
      </c>
      <c r="S11" s="1103"/>
      <c r="T11" s="1103">
        <v>1</v>
      </c>
      <c r="U11" s="1103"/>
      <c r="V11" s="1103">
        <v>1</v>
      </c>
      <c r="W11" s="2107"/>
      <c r="X11" s="2102" t="b">
        <f>V11='Sockeye Returns Data'!BQ18</f>
        <v>1</v>
      </c>
      <c r="Y11" s="1103"/>
      <c r="Z11" s="2095">
        <v>83606</v>
      </c>
      <c r="AA11" s="2095">
        <f>'Sockeye Returns Data'!C18</f>
        <v>83459</v>
      </c>
      <c r="AB11" s="2057">
        <f t="shared" si="2"/>
        <v>0.99824175298423556</v>
      </c>
      <c r="AC11" s="2057"/>
      <c r="AD11" s="2075">
        <v>40130.879999999997</v>
      </c>
      <c r="AE11" s="2075">
        <f>'Sockeye Returns Data'!AD18</f>
        <v>40052</v>
      </c>
      <c r="AF11" s="2057">
        <f t="shared" si="3"/>
        <v>0.99803443134065339</v>
      </c>
      <c r="AG11" s="2075"/>
      <c r="AH11" s="2075">
        <v>40130.879999999997</v>
      </c>
      <c r="AI11" s="2097"/>
      <c r="AJ11" s="2084">
        <v>40130.879999999997</v>
      </c>
      <c r="AK11" s="2078">
        <f t="shared" si="0"/>
        <v>0</v>
      </c>
      <c r="AL11" s="485">
        <f t="shared" si="1"/>
        <v>0</v>
      </c>
    </row>
    <row r="12" spans="1:38" x14ac:dyDescent="0.3">
      <c r="A12" s="854">
        <v>11</v>
      </c>
      <c r="B12" s="2090">
        <v>1994</v>
      </c>
      <c r="C12" s="2075">
        <v>12678</v>
      </c>
      <c r="D12" s="2100" t="b">
        <f>C12='Sockeye Returns Data'!D19</f>
        <v>1</v>
      </c>
      <c r="E12" s="2075"/>
      <c r="F12" s="2075">
        <v>5</v>
      </c>
      <c r="G12" s="2100" t="b">
        <f>F12='Sockeye Returns Data'!F19</f>
        <v>1</v>
      </c>
      <c r="H12" s="2075"/>
      <c r="I12" s="1103">
        <v>0.17</v>
      </c>
      <c r="J12" s="2102" t="b">
        <f>I12='Sockeye Returns Data'!U19</f>
        <v>1</v>
      </c>
      <c r="K12" s="1103"/>
      <c r="L12" s="2075">
        <v>1</v>
      </c>
      <c r="M12" s="2100" t="b">
        <f>L12='Sockeye Returns Data'!AI19</f>
        <v>1</v>
      </c>
      <c r="N12" s="2075"/>
      <c r="O12" s="2075">
        <v>13105</v>
      </c>
      <c r="P12" s="2057">
        <f>'Sockeye Returns Data'!E19/O12</f>
        <v>0.98863029378099965</v>
      </c>
      <c r="Q12" s="2075"/>
      <c r="R12" s="1103">
        <v>1</v>
      </c>
      <c r="S12" s="1103"/>
      <c r="T12" s="1103">
        <v>1</v>
      </c>
      <c r="U12" s="1103"/>
      <c r="V12" s="1103">
        <v>1</v>
      </c>
      <c r="W12" s="2107"/>
      <c r="X12" s="2102" t="b">
        <f>V12='Sockeye Returns Data'!BQ19</f>
        <v>1</v>
      </c>
      <c r="Y12" s="1103"/>
      <c r="Z12" s="2095">
        <v>13101</v>
      </c>
      <c r="AA12" s="2095">
        <f>'Sockeye Returns Data'!C19</f>
        <v>12957</v>
      </c>
      <c r="AB12" s="2057">
        <f t="shared" si="2"/>
        <v>0.98900847263567671</v>
      </c>
      <c r="AC12" s="2057"/>
      <c r="AD12" s="2075">
        <v>2227.17</v>
      </c>
      <c r="AE12" s="2075">
        <f>'Sockeye Returns Data'!AD19</f>
        <v>2202</v>
      </c>
      <c r="AF12" s="2057">
        <f t="shared" si="3"/>
        <v>0.98869866242810378</v>
      </c>
      <c r="AG12" s="2075"/>
      <c r="AH12" s="2075">
        <v>2227.17</v>
      </c>
      <c r="AI12" s="2097"/>
      <c r="AJ12" s="2084">
        <v>2227.17</v>
      </c>
      <c r="AK12" s="2078">
        <f t="shared" si="0"/>
        <v>2202</v>
      </c>
      <c r="AL12" s="485">
        <f t="shared" si="1"/>
        <v>0.98869866242810378</v>
      </c>
    </row>
    <row r="13" spans="1:38" x14ac:dyDescent="0.3">
      <c r="A13" s="854">
        <v>12</v>
      </c>
      <c r="B13" s="2090">
        <v>1995</v>
      </c>
      <c r="C13" s="2075">
        <v>8774</v>
      </c>
      <c r="D13" s="2100" t="b">
        <f>C13='Sockeye Returns Data'!D20</f>
        <v>1</v>
      </c>
      <c r="E13" s="2075"/>
      <c r="F13" s="2075">
        <v>5</v>
      </c>
      <c r="G13" s="2100" t="b">
        <f>F13='Sockeye Returns Data'!F20</f>
        <v>1</v>
      </c>
      <c r="H13" s="2075"/>
      <c r="I13" s="1103">
        <v>0.59</v>
      </c>
      <c r="J13" s="2102" t="b">
        <f>I13='Sockeye Returns Data'!U20</f>
        <v>1</v>
      </c>
      <c r="K13" s="1103"/>
      <c r="L13" s="2075">
        <v>1</v>
      </c>
      <c r="M13" s="2100" t="b">
        <f>L13='Sockeye Returns Data'!AI20</f>
        <v>1</v>
      </c>
      <c r="N13" s="2075"/>
      <c r="O13" s="2075">
        <v>9059.5</v>
      </c>
      <c r="P13" s="2057">
        <f>'Sockeye Returns Data'!E20/O13</f>
        <v>0.9804073072465368</v>
      </c>
      <c r="Q13" s="2075"/>
      <c r="R13" s="1103">
        <v>1</v>
      </c>
      <c r="S13" s="1103"/>
      <c r="T13" s="1103">
        <v>1</v>
      </c>
      <c r="U13" s="1103"/>
      <c r="V13" s="1103">
        <v>1</v>
      </c>
      <c r="W13" s="2107"/>
      <c r="X13" s="2102" t="b">
        <f>V13='Sockeye Returns Data'!BQ20</f>
        <v>1</v>
      </c>
      <c r="Y13" s="1103"/>
      <c r="Z13" s="2095">
        <v>9055.5</v>
      </c>
      <c r="AA13" s="2095">
        <f>'Sockeye Returns Data'!C20</f>
        <v>8883</v>
      </c>
      <c r="AB13" s="2057">
        <f t="shared" si="2"/>
        <v>0.98095080337916185</v>
      </c>
      <c r="AC13" s="2057"/>
      <c r="AD13" s="2075">
        <v>5342.7449999999999</v>
      </c>
      <c r="AE13" s="2075">
        <f>'Sockeye Returns Data'!AD20</f>
        <v>5238</v>
      </c>
      <c r="AF13" s="2057">
        <f t="shared" si="3"/>
        <v>0.98039490935839169</v>
      </c>
      <c r="AG13" s="2075"/>
      <c r="AH13" s="2075">
        <v>5342.7449999999999</v>
      </c>
      <c r="AI13" s="2097"/>
      <c r="AJ13" s="2084">
        <v>5342.7449999999999</v>
      </c>
      <c r="AK13" s="2078">
        <f t="shared" si="0"/>
        <v>5238</v>
      </c>
      <c r="AL13" s="485">
        <f t="shared" si="1"/>
        <v>0.98039490935839169</v>
      </c>
    </row>
    <row r="14" spans="1:38" x14ac:dyDescent="0.3">
      <c r="A14" s="854">
        <v>13</v>
      </c>
      <c r="B14" s="2090">
        <v>1996</v>
      </c>
      <c r="C14" s="2075">
        <v>30232</v>
      </c>
      <c r="D14" s="2100" t="b">
        <f>C14='Sockeye Returns Data'!D21</f>
        <v>1</v>
      </c>
      <c r="E14" s="2075"/>
      <c r="F14" s="2075">
        <v>3</v>
      </c>
      <c r="G14" s="2100" t="b">
        <f>F14='Sockeye Returns Data'!F21</f>
        <v>1</v>
      </c>
      <c r="H14" s="2075"/>
      <c r="I14" s="1103">
        <v>0.74</v>
      </c>
      <c r="J14" s="2102" t="b">
        <f>I14='Sockeye Returns Data'!U21</f>
        <v>1</v>
      </c>
      <c r="K14" s="1103"/>
      <c r="L14" s="2075">
        <v>25</v>
      </c>
      <c r="M14" s="2100" t="b">
        <f>L14='Sockeye Returns Data'!AI21</f>
        <v>1</v>
      </c>
      <c r="N14" s="2075"/>
      <c r="O14" s="2075">
        <v>31369</v>
      </c>
      <c r="P14" s="2057">
        <f>'Sockeye Returns Data'!E21/O14</f>
        <v>0.99700341101087064</v>
      </c>
      <c r="Q14" s="2075"/>
      <c r="R14" s="1103">
        <v>1</v>
      </c>
      <c r="S14" s="1103"/>
      <c r="T14" s="1103">
        <v>1</v>
      </c>
      <c r="U14" s="1103"/>
      <c r="V14" s="1103">
        <v>1</v>
      </c>
      <c r="W14" s="2107"/>
      <c r="X14" s="2102" t="b">
        <f>V14='Sockeye Returns Data'!BQ21</f>
        <v>1</v>
      </c>
      <c r="Y14" s="1103"/>
      <c r="Z14" s="2095">
        <v>31391</v>
      </c>
      <c r="AA14" s="2095">
        <f>'Sockeye Returns Data'!C21</f>
        <v>31300</v>
      </c>
      <c r="AB14" s="2057">
        <f t="shared" si="2"/>
        <v>0.99710107992736774</v>
      </c>
      <c r="AC14" s="2057"/>
      <c r="AD14" s="2075">
        <v>23229.34</v>
      </c>
      <c r="AE14" s="2075">
        <f>'Sockeye Returns Data'!AD21</f>
        <v>23160</v>
      </c>
      <c r="AF14" s="2057">
        <f t="shared" si="3"/>
        <v>0.99701498191511251</v>
      </c>
      <c r="AG14" s="2075"/>
      <c r="AH14" s="2075">
        <v>23229.34</v>
      </c>
      <c r="AI14" s="2097"/>
      <c r="AJ14" s="2084">
        <v>23229.34</v>
      </c>
      <c r="AK14" s="2078">
        <f t="shared" si="0"/>
        <v>23160</v>
      </c>
      <c r="AL14" s="485">
        <f t="shared" si="1"/>
        <v>0.99701498191511251</v>
      </c>
    </row>
    <row r="15" spans="1:38" x14ac:dyDescent="0.3">
      <c r="A15" s="854">
        <v>14</v>
      </c>
      <c r="B15" s="2090">
        <v>1997</v>
      </c>
      <c r="C15" s="2075">
        <v>47008</v>
      </c>
      <c r="D15" s="2100" t="b">
        <f>C15='Sockeye Returns Data'!D22</f>
        <v>1</v>
      </c>
      <c r="E15" s="2075"/>
      <c r="F15" s="2075">
        <v>16</v>
      </c>
      <c r="G15" s="2100" t="b">
        <f>F15='Sockeye Returns Data'!F22</f>
        <v>1</v>
      </c>
      <c r="H15" s="2075"/>
      <c r="I15" s="1103">
        <v>0.74</v>
      </c>
      <c r="J15" s="2102" t="b">
        <f>I15='Sockeye Returns Data'!U22</f>
        <v>1</v>
      </c>
      <c r="K15" s="1103"/>
      <c r="L15" s="2075">
        <v>12</v>
      </c>
      <c r="M15" s="2100" t="b">
        <f>L15='Sockeye Returns Data'!AI22</f>
        <v>1</v>
      </c>
      <c r="N15" s="2075"/>
      <c r="O15" s="2075">
        <v>48873</v>
      </c>
      <c r="P15" s="2057">
        <f>'Sockeye Returns Data'!E22/O15</f>
        <v>0.99811757002844104</v>
      </c>
      <c r="Q15" s="2075"/>
      <c r="R15" s="1103">
        <v>1</v>
      </c>
      <c r="S15" s="1103"/>
      <c r="T15" s="1103">
        <v>1</v>
      </c>
      <c r="U15" s="1103"/>
      <c r="V15" s="1103">
        <v>1</v>
      </c>
      <c r="W15" s="2107"/>
      <c r="X15" s="2102" t="b">
        <f>V15='Sockeye Returns Data'!BQ22</f>
        <v>1</v>
      </c>
      <c r="Y15" s="1103"/>
      <c r="Z15" s="2095">
        <v>48869</v>
      </c>
      <c r="AA15" s="2095">
        <f>'Sockeye Returns Data'!C22</f>
        <v>48793</v>
      </c>
      <c r="AB15" s="2057">
        <f t="shared" si="2"/>
        <v>0.99844482187071559</v>
      </c>
      <c r="AC15" s="2057"/>
      <c r="AD15" s="2075">
        <v>36163.06</v>
      </c>
      <c r="AE15" s="2075">
        <f>'Sockeye Returns Data'!AD22</f>
        <v>36095</v>
      </c>
      <c r="AF15" s="2057">
        <f t="shared" si="3"/>
        <v>0.99811796899930483</v>
      </c>
      <c r="AG15" s="2075"/>
      <c r="AH15" s="2075">
        <v>36163.06</v>
      </c>
      <c r="AI15" s="2097"/>
      <c r="AJ15" s="2084">
        <v>36163.06</v>
      </c>
      <c r="AK15" s="2078">
        <f t="shared" si="0"/>
        <v>36095</v>
      </c>
      <c r="AL15" s="485">
        <f t="shared" si="1"/>
        <v>0.99811796899930483</v>
      </c>
    </row>
    <row r="16" spans="1:38" x14ac:dyDescent="0.3">
      <c r="A16" s="854">
        <v>15</v>
      </c>
      <c r="B16" s="2090">
        <v>1998</v>
      </c>
      <c r="C16" s="2075">
        <v>13218</v>
      </c>
      <c r="D16" s="2100" t="b">
        <f>C16='Sockeye Returns Data'!D23</f>
        <v>1</v>
      </c>
      <c r="E16" s="2075"/>
      <c r="F16" s="2075">
        <v>4</v>
      </c>
      <c r="G16" s="2100" t="b">
        <f>F16='Sockeye Returns Data'!F23</f>
        <v>1</v>
      </c>
      <c r="H16" s="2075"/>
      <c r="I16" s="1103">
        <v>0.56999999999999995</v>
      </c>
      <c r="J16" s="2102" t="b">
        <f>I16='Sockeye Returns Data'!U23</f>
        <v>1</v>
      </c>
      <c r="K16" s="1103"/>
      <c r="L16" s="2075">
        <v>2</v>
      </c>
      <c r="M16" s="2100" t="b">
        <f>L16='Sockeye Returns Data'!AI23</f>
        <v>1</v>
      </c>
      <c r="N16" s="2075"/>
      <c r="O16" s="2075">
        <v>13666</v>
      </c>
      <c r="P16" s="2057">
        <f>'Sockeye Returns Data'!E23/O16</f>
        <v>0.98931655202692814</v>
      </c>
      <c r="Q16" s="2075"/>
      <c r="R16" s="1103">
        <v>1</v>
      </c>
      <c r="S16" s="1103"/>
      <c r="T16" s="1103">
        <v>1</v>
      </c>
      <c r="U16" s="1103"/>
      <c r="V16" s="1103">
        <v>1</v>
      </c>
      <c r="W16" s="2107"/>
      <c r="X16" s="2102" t="b">
        <f>V16='Sockeye Returns Data'!BQ23</f>
        <v>1</v>
      </c>
      <c r="Y16" s="1103"/>
      <c r="Z16" s="2095">
        <v>13664</v>
      </c>
      <c r="AA16" s="2095">
        <f>'Sockeye Returns Data'!C23</f>
        <v>13522</v>
      </c>
      <c r="AB16" s="2057">
        <f t="shared" si="2"/>
        <v>0.98960772833723654</v>
      </c>
      <c r="AC16" s="2057"/>
      <c r="AD16" s="2075">
        <v>7788.48</v>
      </c>
      <c r="AE16" s="2075">
        <f>'Sockeye Returns Data'!AD23</f>
        <v>7705</v>
      </c>
      <c r="AF16" s="2057">
        <f t="shared" si="3"/>
        <v>0.989281605653478</v>
      </c>
      <c r="AG16" s="2075"/>
      <c r="AH16" s="2075">
        <v>7788.48</v>
      </c>
      <c r="AI16" s="2097"/>
      <c r="AJ16" s="2084">
        <v>7788.48</v>
      </c>
      <c r="AK16" s="2078">
        <f t="shared" si="0"/>
        <v>7705</v>
      </c>
      <c r="AL16" s="485">
        <f t="shared" si="1"/>
        <v>0.989281605653478</v>
      </c>
    </row>
    <row r="17" spans="1:39" x14ac:dyDescent="0.3">
      <c r="A17" s="854">
        <v>16</v>
      </c>
      <c r="B17" s="2090">
        <v>1999</v>
      </c>
      <c r="C17" s="2075">
        <v>17877</v>
      </c>
      <c r="D17" s="2100" t="b">
        <f>C17='Sockeye Returns Data'!D24</f>
        <v>1</v>
      </c>
      <c r="E17" s="2075"/>
      <c r="F17" s="2075">
        <v>15</v>
      </c>
      <c r="G17" s="2100" t="b">
        <f>F17='Sockeye Returns Data'!F24</f>
        <v>1</v>
      </c>
      <c r="H17" s="2075"/>
      <c r="I17" s="1103">
        <v>0.91</v>
      </c>
      <c r="J17" s="2102" t="b">
        <f>I17='Sockeye Returns Data'!U24</f>
        <v>1</v>
      </c>
      <c r="K17" s="1103"/>
      <c r="L17" s="2075">
        <v>1</v>
      </c>
      <c r="M17" s="2100" t="b">
        <f>L17='Sockeye Returns Data'!AI24</f>
        <v>1</v>
      </c>
      <c r="N17" s="2075"/>
      <c r="O17" s="2075">
        <v>18507</v>
      </c>
      <c r="P17" s="2057">
        <f>'Sockeye Returns Data'!E24/O17</f>
        <v>0.99324579888690767</v>
      </c>
      <c r="Q17" s="2075"/>
      <c r="R17" s="1103">
        <v>1</v>
      </c>
      <c r="S17" s="1103"/>
      <c r="T17" s="1103">
        <v>1</v>
      </c>
      <c r="U17" s="1103"/>
      <c r="V17" s="1103">
        <v>1</v>
      </c>
      <c r="W17" s="2107"/>
      <c r="X17" s="2102" t="b">
        <f>V17='Sockeye Returns Data'!BQ24</f>
        <v>1</v>
      </c>
      <c r="Y17" s="1103"/>
      <c r="Z17" s="2095">
        <v>18493</v>
      </c>
      <c r="AA17" s="2095">
        <f>'Sockeye Returns Data'!C24</f>
        <v>18383</v>
      </c>
      <c r="AB17" s="2057">
        <f t="shared" si="2"/>
        <v>0.9940518033850646</v>
      </c>
      <c r="AC17" s="2057"/>
      <c r="AD17" s="2075">
        <v>16828.63</v>
      </c>
      <c r="AE17" s="2075">
        <f>'Sockeye Returns Data'!AD24</f>
        <v>16715</v>
      </c>
      <c r="AF17" s="2057">
        <f t="shared" si="3"/>
        <v>0.99324781637007875</v>
      </c>
      <c r="AG17" s="2075"/>
      <c r="AH17" s="2075">
        <v>16828.63</v>
      </c>
      <c r="AI17" s="2097"/>
      <c r="AJ17" s="2084">
        <v>16828.63</v>
      </c>
      <c r="AK17" s="2078">
        <f t="shared" si="0"/>
        <v>16715</v>
      </c>
      <c r="AL17" s="485">
        <f t="shared" si="1"/>
        <v>0.99324781637007875</v>
      </c>
    </row>
    <row r="18" spans="1:39" x14ac:dyDescent="0.3">
      <c r="A18" s="854">
        <v>17</v>
      </c>
      <c r="B18" s="2090">
        <v>2000</v>
      </c>
      <c r="C18" s="2075">
        <v>93398</v>
      </c>
      <c r="D18" s="2100" t="b">
        <f>C18='Sockeye Returns Data'!D25</f>
        <v>1</v>
      </c>
      <c r="E18" s="2075"/>
      <c r="F18" s="2075">
        <v>365</v>
      </c>
      <c r="G18" s="2100" t="b">
        <f>F18='Sockeye Returns Data'!F25</f>
        <v>1</v>
      </c>
      <c r="H18" s="2075"/>
      <c r="I18" s="1103">
        <v>0.76</v>
      </c>
      <c r="J18" s="2102" t="b">
        <f>I18='Sockeye Returns Data'!U25</f>
        <v>1</v>
      </c>
      <c r="K18" s="1103"/>
      <c r="L18" s="2075">
        <v>366</v>
      </c>
      <c r="M18" s="2100" t="b">
        <f>L18='Sockeye Returns Data'!AI25</f>
        <v>1</v>
      </c>
      <c r="N18" s="2075"/>
      <c r="O18" s="2075">
        <v>97395</v>
      </c>
      <c r="P18" s="2057">
        <f>'Sockeye Returns Data'!E25/O18</f>
        <v>0.99790543662405673</v>
      </c>
      <c r="Q18" s="2075"/>
      <c r="R18" s="1103">
        <v>1</v>
      </c>
      <c r="S18" s="1103"/>
      <c r="T18" s="1103">
        <v>1</v>
      </c>
      <c r="U18" s="1103"/>
      <c r="V18" s="1103">
        <v>1</v>
      </c>
      <c r="W18" s="2107">
        <f>'Spawning Ground Ratios'!O5</f>
        <v>1</v>
      </c>
      <c r="X18" s="2102" t="b">
        <f>V18='Sockeye Returns Data'!BQ25</f>
        <v>1</v>
      </c>
      <c r="Y18" s="1103"/>
      <c r="Z18" s="2095">
        <v>97396</v>
      </c>
      <c r="AA18" s="2095">
        <f>'Sockeye Returns Data'!C25</f>
        <v>97557</v>
      </c>
      <c r="AB18" s="2057">
        <f t="shared" si="2"/>
        <v>1.0016530452996015</v>
      </c>
      <c r="AC18" s="2057"/>
      <c r="AD18" s="2075">
        <v>74020.960000000006</v>
      </c>
      <c r="AE18" s="2075">
        <f>'Sockeye Returns Data'!AD25</f>
        <v>73866</v>
      </c>
      <c r="AF18" s="2057">
        <f t="shared" si="3"/>
        <v>0.99790653890465608</v>
      </c>
      <c r="AG18" s="2075"/>
      <c r="AH18" s="2075">
        <v>74020.960000000006</v>
      </c>
      <c r="AI18" s="2097"/>
      <c r="AJ18" s="2084">
        <v>74020.960000000006</v>
      </c>
      <c r="AK18" s="2078">
        <f t="shared" si="0"/>
        <v>73866</v>
      </c>
      <c r="AL18" s="485">
        <f t="shared" si="1"/>
        <v>0.99790653890465608</v>
      </c>
    </row>
    <row r="19" spans="1:39" x14ac:dyDescent="0.3">
      <c r="A19" s="854">
        <v>18</v>
      </c>
      <c r="B19" s="2090">
        <v>2001</v>
      </c>
      <c r="C19" s="2075">
        <v>114934</v>
      </c>
      <c r="D19" s="2100" t="b">
        <f>C19='Sockeye Returns Data'!D26</f>
        <v>1</v>
      </c>
      <c r="E19" s="2075"/>
      <c r="F19" s="2075">
        <v>41</v>
      </c>
      <c r="G19" s="2100" t="b">
        <f>F19='Sockeye Returns Data'!F26</f>
        <v>1</v>
      </c>
      <c r="H19" s="2075"/>
      <c r="I19" s="1103">
        <v>0.69</v>
      </c>
      <c r="J19" s="2102" t="b">
        <f>I19='Sockeye Returns Data'!U26</f>
        <v>1</v>
      </c>
      <c r="K19" s="1103"/>
      <c r="L19" s="2075">
        <v>1691</v>
      </c>
      <c r="M19" s="2100" t="b">
        <f>L19='Sockeye Returns Data'!AI26</f>
        <v>1</v>
      </c>
      <c r="N19" s="2075"/>
      <c r="O19" s="2075">
        <v>119983.5</v>
      </c>
      <c r="P19" s="2057">
        <f>'Sockeye Returns Data'!E26/O19</f>
        <v>0.99733713385590517</v>
      </c>
      <c r="Q19" s="2075"/>
      <c r="R19" s="1103">
        <v>1</v>
      </c>
      <c r="S19" s="1103"/>
      <c r="T19" s="1103">
        <v>1</v>
      </c>
      <c r="U19" s="1103"/>
      <c r="V19" s="1103">
        <v>1</v>
      </c>
      <c r="W19" s="2107">
        <f>'Spawning Ground Ratios'!O6</f>
        <v>1</v>
      </c>
      <c r="X19" s="2102" t="b">
        <f>V19='Sockeye Returns Data'!BQ26</f>
        <v>1</v>
      </c>
      <c r="Y19" s="1103"/>
      <c r="Z19" s="2095">
        <v>121633.5</v>
      </c>
      <c r="AA19" s="2095">
        <f>'Sockeye Returns Data'!C26</f>
        <v>121355</v>
      </c>
      <c r="AB19" s="2057">
        <f t="shared" si="2"/>
        <v>0.9977103347350853</v>
      </c>
      <c r="AC19" s="2057"/>
      <c r="AD19" s="2075">
        <v>83927.115000000005</v>
      </c>
      <c r="AE19" s="2075">
        <f>'Sockeye Returns Data'!AD26</f>
        <v>83707</v>
      </c>
      <c r="AF19" s="2057">
        <f t="shared" si="3"/>
        <v>0.99737730767940724</v>
      </c>
      <c r="AG19" s="2075"/>
      <c r="AH19" s="2075">
        <v>83927.115000000005</v>
      </c>
      <c r="AI19" s="2097"/>
      <c r="AJ19" s="2084">
        <v>83927.115000000005</v>
      </c>
      <c r="AK19" s="2078">
        <f t="shared" si="0"/>
        <v>83707</v>
      </c>
      <c r="AL19" s="485">
        <f t="shared" si="1"/>
        <v>0.99737730767940724</v>
      </c>
    </row>
    <row r="20" spans="1:39" x14ac:dyDescent="0.3">
      <c r="A20" s="854">
        <v>19</v>
      </c>
      <c r="B20" s="2090">
        <v>2002</v>
      </c>
      <c r="C20" s="2075">
        <v>49610</v>
      </c>
      <c r="D20" s="2100" t="b">
        <f>C20='Sockeye Returns Data'!D27</f>
        <v>1</v>
      </c>
      <c r="E20" s="2075"/>
      <c r="F20" s="2075">
        <v>64</v>
      </c>
      <c r="G20" s="2100" t="b">
        <f>F20='Sockeye Returns Data'!F27</f>
        <v>1</v>
      </c>
      <c r="H20" s="2075"/>
      <c r="I20" s="1103">
        <v>0.28000000000000003</v>
      </c>
      <c r="J20" s="2102" t="b">
        <f>I20='Sockeye Returns Data'!U27</f>
        <v>1</v>
      </c>
      <c r="K20" s="1103"/>
      <c r="L20" s="2075">
        <v>24</v>
      </c>
      <c r="M20" s="2100" t="b">
        <f>L20='Sockeye Returns Data'!AI27</f>
        <v>0</v>
      </c>
      <c r="N20" s="2075"/>
      <c r="O20" s="2075">
        <v>51585</v>
      </c>
      <c r="P20" s="2057">
        <f>'Sockeye Returns Data'!E27/O20</f>
        <v>0.99827469225550058</v>
      </c>
      <c r="Q20" s="2075"/>
      <c r="R20" s="1103">
        <v>1</v>
      </c>
      <c r="S20" s="1103"/>
      <c r="T20" s="1103">
        <v>1</v>
      </c>
      <c r="U20" s="1103"/>
      <c r="V20" s="1103">
        <v>1</v>
      </c>
      <c r="W20" s="2107">
        <f>'Spawning Ground Ratios'!O7</f>
        <v>1</v>
      </c>
      <c r="X20" s="2102" t="b">
        <f>V20='Sockeye Returns Data'!BQ27</f>
        <v>1</v>
      </c>
      <c r="Y20" s="1103"/>
      <c r="Z20" s="2095">
        <v>51545</v>
      </c>
      <c r="AA20" s="2095">
        <f>'Sockeye Returns Data'!C27</f>
        <v>51515</v>
      </c>
      <c r="AB20" s="2057">
        <f t="shared" si="2"/>
        <v>0.99941798428557571</v>
      </c>
      <c r="AC20" s="2057"/>
      <c r="AD20" s="2075">
        <v>14432.6</v>
      </c>
      <c r="AE20" s="2075">
        <f>'Sockeye Returns Data'!AD27</f>
        <v>14406</v>
      </c>
      <c r="AF20" s="2057">
        <f t="shared" si="3"/>
        <v>0.99815695023765638</v>
      </c>
      <c r="AG20" s="2075"/>
      <c r="AH20" s="2075">
        <v>14432.6</v>
      </c>
      <c r="AI20" s="2097"/>
      <c r="AJ20" s="2084">
        <v>14432.6</v>
      </c>
      <c r="AK20" s="2078">
        <f t="shared" si="0"/>
        <v>14406</v>
      </c>
      <c r="AL20" s="485">
        <f t="shared" si="1"/>
        <v>0.99815695023765638</v>
      </c>
    </row>
    <row r="21" spans="1:39" x14ac:dyDescent="0.3">
      <c r="A21" s="854">
        <v>20</v>
      </c>
      <c r="B21" s="2090">
        <v>2003</v>
      </c>
      <c r="C21" s="2075">
        <v>39291</v>
      </c>
      <c r="D21" s="2100" t="b">
        <f>C21='Sockeye Returns Data'!D28</f>
        <v>1</v>
      </c>
      <c r="E21" s="2075"/>
      <c r="F21" s="2075">
        <v>40</v>
      </c>
      <c r="G21" s="2100" t="b">
        <f>F21='Sockeye Returns Data'!F28</f>
        <v>1</v>
      </c>
      <c r="H21" s="2075"/>
      <c r="I21" s="1103">
        <v>0.86</v>
      </c>
      <c r="J21" s="2102" t="b">
        <f>I21='Sockeye Returns Data'!U28</f>
        <v>1</v>
      </c>
      <c r="K21" s="1103"/>
      <c r="L21" s="2075">
        <v>0</v>
      </c>
      <c r="M21" s="2100" t="b">
        <f>L21='Sockeye Returns Data'!AI28</f>
        <v>1</v>
      </c>
      <c r="N21" s="2075"/>
      <c r="O21" s="2075">
        <v>40816</v>
      </c>
      <c r="P21" s="2057">
        <f>'Sockeye Returns Data'!E28/O21</f>
        <v>0.99784398275186204</v>
      </c>
      <c r="Q21" s="2075"/>
      <c r="R21" s="1103">
        <v>1</v>
      </c>
      <c r="S21" s="1103"/>
      <c r="T21" s="1103">
        <v>1</v>
      </c>
      <c r="U21" s="1103"/>
      <c r="V21" s="1103">
        <v>1</v>
      </c>
      <c r="W21" s="2107">
        <f>'Spawning Ground Ratios'!O8</f>
        <v>1</v>
      </c>
      <c r="X21" s="2102" t="b">
        <f>V21='Sockeye Returns Data'!BQ28</f>
        <v>1</v>
      </c>
      <c r="Y21" s="1103"/>
      <c r="Z21" s="2095">
        <v>40776</v>
      </c>
      <c r="AA21" s="2095">
        <f>'Sockeye Returns Data'!C28</f>
        <v>40728</v>
      </c>
      <c r="AB21" s="2057">
        <f t="shared" si="2"/>
        <v>0.9988228369629194</v>
      </c>
      <c r="AC21" s="2057"/>
      <c r="AD21" s="2075">
        <v>35067.360000000001</v>
      </c>
      <c r="AE21" s="2075">
        <f>'Sockeye Returns Data'!AD28</f>
        <v>34992</v>
      </c>
      <c r="AF21" s="2057">
        <f t="shared" si="3"/>
        <v>0.99785099306021319</v>
      </c>
      <c r="AG21" s="2075"/>
      <c r="AH21" s="2075">
        <v>35067.360000000001</v>
      </c>
      <c r="AI21" s="2097"/>
      <c r="AJ21" s="2084">
        <v>35067.360000000001</v>
      </c>
      <c r="AK21" s="2078">
        <f t="shared" si="0"/>
        <v>34992</v>
      </c>
      <c r="AL21" s="485">
        <f t="shared" si="1"/>
        <v>0.99785099306021319</v>
      </c>
    </row>
    <row r="22" spans="1:39" x14ac:dyDescent="0.3">
      <c r="A22" s="854">
        <v>21</v>
      </c>
      <c r="B22" s="2090">
        <v>2004</v>
      </c>
      <c r="C22" s="2075">
        <v>123291</v>
      </c>
      <c r="D22" s="2100" t="b">
        <f>C22='Sockeye Returns Data'!D29</f>
        <v>1</v>
      </c>
      <c r="E22" s="2075"/>
      <c r="F22" s="2075">
        <v>118</v>
      </c>
      <c r="G22" s="2100" t="b">
        <f>F22='Sockeye Returns Data'!F29</f>
        <v>1</v>
      </c>
      <c r="H22" s="2075"/>
      <c r="I22" s="1103">
        <v>0.71</v>
      </c>
      <c r="J22" s="2102" t="b">
        <f>I22='Sockeye Returns Data'!U29</f>
        <v>1</v>
      </c>
      <c r="K22" s="1103"/>
      <c r="L22" s="2075">
        <v>682</v>
      </c>
      <c r="M22" s="2100" t="b">
        <f>L22='Sockeye Returns Data'!AI29</f>
        <v>0</v>
      </c>
      <c r="N22" s="2075"/>
      <c r="O22" s="2075">
        <v>128754</v>
      </c>
      <c r="P22" s="2057">
        <f>'Sockeye Returns Data'!E29/O22</f>
        <v>0.99713406962113793</v>
      </c>
      <c r="Q22" s="2075"/>
      <c r="R22" s="1103">
        <v>1</v>
      </c>
      <c r="S22" s="1103"/>
      <c r="T22" s="1103">
        <v>1</v>
      </c>
      <c r="U22" s="1103"/>
      <c r="V22" s="1103">
        <v>1</v>
      </c>
      <c r="W22" s="2107">
        <f>'Spawning Ground Ratios'!O9</f>
        <v>1</v>
      </c>
      <c r="X22" s="2102" t="b">
        <f>V22='Sockeye Returns Data'!BQ29</f>
        <v>1</v>
      </c>
      <c r="Y22" s="1103"/>
      <c r="Z22" s="2095">
        <v>129318</v>
      </c>
      <c r="AA22" s="2095">
        <f>'Sockeye Returns Data'!C29</f>
        <v>129057</v>
      </c>
      <c r="AB22" s="2057">
        <f t="shared" si="2"/>
        <v>0.99798171948220671</v>
      </c>
      <c r="AC22" s="2057"/>
      <c r="AD22" s="2075">
        <v>91815.78</v>
      </c>
      <c r="AE22" s="2075">
        <f>'Sockeye Returns Data'!AD29</f>
        <v>91547</v>
      </c>
      <c r="AF22" s="2057">
        <f t="shared" si="3"/>
        <v>0.9970726164935918</v>
      </c>
      <c r="AG22" s="2075"/>
      <c r="AH22" s="2075">
        <v>91815.78</v>
      </c>
      <c r="AI22" s="2097"/>
      <c r="AJ22" s="2084">
        <v>91815.78</v>
      </c>
      <c r="AK22" s="2078">
        <f t="shared" si="0"/>
        <v>91547</v>
      </c>
      <c r="AL22" s="485">
        <f t="shared" si="1"/>
        <v>0.9970726164935918</v>
      </c>
    </row>
    <row r="23" spans="1:39" x14ac:dyDescent="0.3">
      <c r="A23" s="854">
        <v>22</v>
      </c>
      <c r="B23" s="2090">
        <v>2005</v>
      </c>
      <c r="C23" s="2075">
        <v>72971</v>
      </c>
      <c r="D23" s="2100" t="b">
        <f>C23='Sockeye Returns Data'!D30</f>
        <v>1</v>
      </c>
      <c r="E23" s="2075"/>
      <c r="F23" s="2075">
        <v>19</v>
      </c>
      <c r="G23" s="2100" t="b">
        <f>F23='Sockeye Returns Data'!F30</f>
        <v>1</v>
      </c>
      <c r="H23" s="2075"/>
      <c r="I23" s="1103">
        <v>0.78</v>
      </c>
      <c r="J23" s="2102" t="b">
        <f>I23='Sockeye Returns Data'!U30</f>
        <v>1</v>
      </c>
      <c r="K23" s="1103"/>
      <c r="L23" s="2075">
        <v>4</v>
      </c>
      <c r="M23" s="2100" t="b">
        <f>L23='Sockeye Returns Data'!AI30</f>
        <v>1</v>
      </c>
      <c r="N23" s="2075"/>
      <c r="O23" s="2075">
        <v>76017</v>
      </c>
      <c r="P23" s="2057">
        <f>'Sockeye Returns Data'!E30/O23</f>
        <v>0.99811884183800992</v>
      </c>
      <c r="Q23" s="2075"/>
      <c r="R23" s="1103">
        <v>1</v>
      </c>
      <c r="S23" s="1103"/>
      <c r="T23" s="1103">
        <v>1</v>
      </c>
      <c r="U23" s="1103"/>
      <c r="V23" s="1103">
        <v>1</v>
      </c>
      <c r="W23" s="2107">
        <f>'Spawning Ground Ratios'!O10</f>
        <v>1</v>
      </c>
      <c r="X23" s="2102" t="b">
        <f>V23='Sockeye Returns Data'!BQ30</f>
        <v>1</v>
      </c>
      <c r="Y23" s="1103"/>
      <c r="Z23" s="2095">
        <v>76002</v>
      </c>
      <c r="AA23" s="2095">
        <f>'Sockeye Returns Data'!C30</f>
        <v>75878</v>
      </c>
      <c r="AB23" s="2057">
        <f t="shared" si="2"/>
        <v>0.99836846398778978</v>
      </c>
      <c r="AC23" s="2057"/>
      <c r="AD23" s="2075">
        <v>59281.56</v>
      </c>
      <c r="AE23" s="2075">
        <f>'Sockeye Returns Data'!AD30</f>
        <v>59170</v>
      </c>
      <c r="AF23" s="2057">
        <f t="shared" si="3"/>
        <v>0.99811813319352594</v>
      </c>
      <c r="AG23" s="2075"/>
      <c r="AH23" s="2075">
        <v>59281.56</v>
      </c>
      <c r="AI23" s="2097"/>
      <c r="AJ23" s="2084">
        <v>59281.56</v>
      </c>
      <c r="AK23" s="2078">
        <f t="shared" si="0"/>
        <v>59170</v>
      </c>
      <c r="AL23" s="485">
        <f t="shared" si="1"/>
        <v>0.99811813319352594</v>
      </c>
    </row>
    <row r="24" spans="1:39" x14ac:dyDescent="0.3">
      <c r="A24" s="854">
        <v>23</v>
      </c>
      <c r="B24" s="2090">
        <v>2006</v>
      </c>
      <c r="C24" s="2075">
        <v>37066</v>
      </c>
      <c r="D24" s="2100" t="b">
        <f>C24='Sockeye Returns Data'!D31</f>
        <v>1</v>
      </c>
      <c r="E24" s="2075"/>
      <c r="F24" s="2075">
        <v>51</v>
      </c>
      <c r="G24" s="2100" t="b">
        <f>F24='Sockeye Returns Data'!F31</f>
        <v>1</v>
      </c>
      <c r="H24" s="2075"/>
      <c r="I24" s="1103">
        <v>0.72</v>
      </c>
      <c r="J24" s="2102" t="b">
        <f>I24='Sockeye Returns Data'!U31</f>
        <v>1</v>
      </c>
      <c r="K24" s="1103"/>
      <c r="L24" s="2075">
        <v>1</v>
      </c>
      <c r="M24" s="2100" t="b">
        <f>L24='Sockeye Returns Data'!AI31</f>
        <v>1</v>
      </c>
      <c r="N24" s="2075"/>
      <c r="O24" s="2075">
        <v>38492</v>
      </c>
      <c r="P24" s="2057">
        <f>'Sockeye Returns Data'!E31/O24</f>
        <v>0.99776576951054763</v>
      </c>
      <c r="Q24" s="2075"/>
      <c r="R24" s="1103">
        <v>1</v>
      </c>
      <c r="S24" s="1103"/>
      <c r="T24" s="1103">
        <v>1</v>
      </c>
      <c r="U24" s="1103"/>
      <c r="V24" s="1103">
        <v>1</v>
      </c>
      <c r="W24" s="2107">
        <f>'Spawning Ground Ratios'!O11</f>
        <v>1</v>
      </c>
      <c r="X24" s="2102" t="b">
        <f>V24='Sockeye Returns Data'!BQ31</f>
        <v>1</v>
      </c>
      <c r="Y24" s="1103"/>
      <c r="Z24" s="2095">
        <v>38442</v>
      </c>
      <c r="AA24" s="2095">
        <f>'Sockeye Returns Data'!C31</f>
        <v>38407</v>
      </c>
      <c r="AB24" s="2057">
        <f t="shared" si="2"/>
        <v>0.99908953748504237</v>
      </c>
      <c r="AC24" s="2057"/>
      <c r="AD24" s="2075">
        <v>27678.240000000002</v>
      </c>
      <c r="AE24" s="2075">
        <f>'Sockeye Returns Data'!AD31</f>
        <v>27616</v>
      </c>
      <c r="AF24" s="2057">
        <f t="shared" si="3"/>
        <v>0.99775130210591423</v>
      </c>
      <c r="AG24" s="2075"/>
      <c r="AH24" s="2075">
        <v>27678.240000000002</v>
      </c>
      <c r="AI24" s="2097"/>
      <c r="AJ24" s="2084">
        <v>27678.240000000002</v>
      </c>
      <c r="AK24" s="2078">
        <f t="shared" si="0"/>
        <v>27616</v>
      </c>
      <c r="AL24" s="485">
        <f t="shared" si="1"/>
        <v>0.99775130210591423</v>
      </c>
    </row>
    <row r="25" spans="1:39" x14ac:dyDescent="0.3">
      <c r="A25" s="854">
        <v>24</v>
      </c>
      <c r="B25" s="2090">
        <v>2007</v>
      </c>
      <c r="C25" s="2075">
        <v>24376</v>
      </c>
      <c r="D25" s="2100" t="b">
        <f>C25='Sockeye Returns Data'!D32</f>
        <v>1</v>
      </c>
      <c r="E25" s="2075"/>
      <c r="F25" s="2075">
        <v>58</v>
      </c>
      <c r="G25" s="2100" t="b">
        <f>F25='Sockeye Returns Data'!F32</f>
        <v>1</v>
      </c>
      <c r="H25" s="2075"/>
      <c r="I25" s="1103">
        <v>0.89</v>
      </c>
      <c r="J25" s="2102" t="b">
        <f>I25='Sockeye Returns Data'!U32</f>
        <v>1</v>
      </c>
      <c r="K25" s="1103"/>
      <c r="L25" s="2075">
        <v>0</v>
      </c>
      <c r="M25" s="2100" t="b">
        <f>L25='Sockeye Returns Data'!AI32</f>
        <v>1</v>
      </c>
      <c r="N25" s="2075"/>
      <c r="O25" s="2075">
        <v>25263</v>
      </c>
      <c r="P25" s="2057">
        <f>'Sockeye Returns Data'!E32/O25</f>
        <v>0.99608122550765943</v>
      </c>
      <c r="Q25" s="2075"/>
      <c r="R25" s="1103">
        <v>1</v>
      </c>
      <c r="S25" s="1103"/>
      <c r="T25" s="1103">
        <v>0.87969924812030098</v>
      </c>
      <c r="U25" s="1103"/>
      <c r="V25" s="2108">
        <v>0.87969924812030098</v>
      </c>
      <c r="W25" s="2109">
        <f>'Spawning Ground Ratios'!O12</f>
        <v>0.8799851742031134</v>
      </c>
      <c r="X25" s="2102" t="b">
        <f>ROUND(V25,2)=ROUND('Spawning Ground Ratios'!O12,2)</f>
        <v>1</v>
      </c>
      <c r="Y25" s="1103"/>
      <c r="Z25" s="2095">
        <v>25205</v>
      </c>
      <c r="AA25" s="2095">
        <f>'Sockeye Returns Data'!C32</f>
        <v>25164</v>
      </c>
      <c r="AB25" s="2057">
        <f t="shared" si="2"/>
        <v>0.99837333862328903</v>
      </c>
      <c r="AC25" s="2057"/>
      <c r="AD25" s="2075">
        <v>22432.45</v>
      </c>
      <c r="AE25" s="2075">
        <f>'Sockeye Returns Data'!AD32</f>
        <v>22344</v>
      </c>
      <c r="AF25" s="2057">
        <f t="shared" si="3"/>
        <v>0.9960570512806225</v>
      </c>
      <c r="AG25" s="2075"/>
      <c r="AH25" s="2075">
        <v>22432.45</v>
      </c>
      <c r="AI25" s="2097"/>
      <c r="AJ25" s="2084">
        <v>19733.8093984962</v>
      </c>
      <c r="AK25" s="2078">
        <f t="shared" si="0"/>
        <v>19662.388732394367</v>
      </c>
      <c r="AL25" s="485">
        <f t="shared" si="1"/>
        <v>0.99638079680108416</v>
      </c>
    </row>
    <row r="26" spans="1:39" x14ac:dyDescent="0.3">
      <c r="A26" s="854">
        <v>25</v>
      </c>
      <c r="B26" s="2090">
        <v>2008</v>
      </c>
      <c r="C26" s="2075">
        <v>213607</v>
      </c>
      <c r="D26" s="2100" t="b">
        <f>C26='Sockeye Returns Data'!D33</f>
        <v>1</v>
      </c>
      <c r="E26" s="2075"/>
      <c r="F26" s="2075">
        <v>890</v>
      </c>
      <c r="G26" s="2100" t="b">
        <f>F26='Sockeye Returns Data'!F33</f>
        <v>1</v>
      </c>
      <c r="H26" s="2075"/>
      <c r="I26" s="1103">
        <v>0.85</v>
      </c>
      <c r="J26" s="2102" t="b">
        <f>I26='Sockeye Returns Data'!U33</f>
        <v>1</v>
      </c>
      <c r="K26" s="1103"/>
      <c r="L26" s="2075">
        <v>974</v>
      </c>
      <c r="M26" s="2100" t="b">
        <f>L26='Sockeye Returns Data'!AI33</f>
        <v>0</v>
      </c>
      <c r="N26" s="2075"/>
      <c r="O26" s="2075">
        <v>223672</v>
      </c>
      <c r="P26" s="2057">
        <f>'Sockeye Returns Data'!E33/O26</f>
        <v>1.0038136199434886</v>
      </c>
      <c r="Q26" s="2075"/>
      <c r="R26" s="1103">
        <v>1</v>
      </c>
      <c r="S26" s="1103"/>
      <c r="T26" s="1103">
        <v>0.93667334669338698</v>
      </c>
      <c r="U26" s="1103"/>
      <c r="V26" s="2108">
        <v>0.93667334669338698</v>
      </c>
      <c r="W26" s="2109">
        <f>'Spawning Ground Ratios'!O13</f>
        <v>0.93700185867750374</v>
      </c>
      <c r="X26" s="2102" t="b">
        <f>ROUND(V26,2)=ROUND('Spawning Ground Ratios'!O13,2)</f>
        <v>1</v>
      </c>
      <c r="Y26" s="1103"/>
      <c r="Z26" s="2095">
        <v>223756</v>
      </c>
      <c r="AA26" s="2095">
        <f>'Sockeye Returns Data'!C33</f>
        <v>225383</v>
      </c>
      <c r="AB26" s="2057">
        <f t="shared" si="2"/>
        <v>1.007271313394948</v>
      </c>
      <c r="AC26" s="2057"/>
      <c r="AD26" s="2075">
        <v>190192.6</v>
      </c>
      <c r="AE26" s="2075">
        <f>'Sockeye Returns Data'!AD33</f>
        <v>190819</v>
      </c>
      <c r="AF26" s="2057">
        <f t="shared" si="3"/>
        <v>1.0032935035327346</v>
      </c>
      <c r="AG26" s="2075"/>
      <c r="AH26" s="2075">
        <v>190192.6</v>
      </c>
      <c r="AI26" s="2097"/>
      <c r="AJ26" s="2084">
        <v>178148.33915831699</v>
      </c>
      <c r="AK26" s="2078">
        <f t="shared" si="0"/>
        <v>178797.7576709826</v>
      </c>
      <c r="AL26" s="485">
        <f t="shared" si="1"/>
        <v>1.0036453806739589</v>
      </c>
    </row>
    <row r="27" spans="1:39" x14ac:dyDescent="0.3">
      <c r="A27" s="854">
        <v>26</v>
      </c>
      <c r="B27" s="2090">
        <v>2009</v>
      </c>
      <c r="C27" s="2075">
        <v>177823</v>
      </c>
      <c r="D27" s="2100" t="b">
        <f>C27='Sockeye Returns Data'!D34</f>
        <v>1</v>
      </c>
      <c r="E27" s="2075"/>
      <c r="F27" s="2075">
        <v>1414</v>
      </c>
      <c r="G27" s="2100" t="b">
        <f>F27='Sockeye Returns Data'!F34</f>
        <v>1</v>
      </c>
      <c r="H27" s="2075"/>
      <c r="I27" s="1103">
        <v>0.83</v>
      </c>
      <c r="J27" s="2102" t="b">
        <f>I27='Sockeye Returns Data'!U34</f>
        <v>1</v>
      </c>
      <c r="K27" s="1103"/>
      <c r="L27" s="2075">
        <v>1188</v>
      </c>
      <c r="M27" s="2100" t="b">
        <f>L27='Sockeye Returns Data'!AI34</f>
        <v>0</v>
      </c>
      <c r="N27" s="2075"/>
      <c r="O27" s="2075">
        <v>186054.5</v>
      </c>
      <c r="P27" s="2057">
        <f>'Sockeye Returns Data'!E34/O27</f>
        <v>1.0023138381495744</v>
      </c>
      <c r="Q27" s="2075"/>
      <c r="R27" s="1103">
        <v>1</v>
      </c>
      <c r="S27" s="1103"/>
      <c r="T27" s="1103">
        <v>0.88888888888888895</v>
      </c>
      <c r="U27" s="1103"/>
      <c r="V27" s="2108">
        <v>0.88888888888888895</v>
      </c>
      <c r="W27" s="2109">
        <f>'Spawning Ground Ratios'!O14</f>
        <v>0.86583986010903269</v>
      </c>
      <c r="X27" s="2074" t="b">
        <f>ROUND(V27,2)=ROUND('Spawning Ground Ratios'!O14,2)</f>
        <v>0</v>
      </c>
      <c r="Y27" s="1103"/>
      <c r="Z27" s="2095">
        <v>185828.5</v>
      </c>
      <c r="AA27" s="2095">
        <f>'Sockeye Returns Data'!C34</f>
        <v>187614</v>
      </c>
      <c r="AB27" s="2057">
        <f t="shared" si="2"/>
        <v>1.0096083216514151</v>
      </c>
      <c r="AC27" s="2057"/>
      <c r="AD27" s="2075">
        <v>154237.655</v>
      </c>
      <c r="AE27" s="2075">
        <f>'Sockeye Returns Data'!AD34</f>
        <v>154546</v>
      </c>
      <c r="AF27" s="2057">
        <f t="shared" si="3"/>
        <v>1.0019991551349765</v>
      </c>
      <c r="AG27" s="2075"/>
      <c r="AH27" s="2075">
        <v>154237.655</v>
      </c>
      <c r="AI27" s="2097"/>
      <c r="AJ27" s="2084">
        <v>137100.137777778</v>
      </c>
      <c r="AK27" s="2078">
        <f t="shared" si="0"/>
        <v>133812.08702041057</v>
      </c>
      <c r="AL27" s="485">
        <f t="shared" si="1"/>
        <v>0.97601715935036515</v>
      </c>
    </row>
    <row r="28" spans="1:39" x14ac:dyDescent="0.3">
      <c r="A28" s="854">
        <v>27</v>
      </c>
      <c r="B28" s="2090">
        <v>2010</v>
      </c>
      <c r="C28" s="2075">
        <v>386525</v>
      </c>
      <c r="D28" s="2100" t="b">
        <f>C28='Sockeye Returns Data'!D35</f>
        <v>1</v>
      </c>
      <c r="E28" s="2075"/>
      <c r="F28" s="2075">
        <v>1861</v>
      </c>
      <c r="G28" s="2100" t="b">
        <f>F28='Sockeye Returns Data'!F35</f>
        <v>1</v>
      </c>
      <c r="H28" s="2075"/>
      <c r="I28" s="1103">
        <v>0.87</v>
      </c>
      <c r="J28" s="2102" t="b">
        <f>I28='Sockeye Returns Data'!U35</f>
        <v>1</v>
      </c>
      <c r="K28" s="1103"/>
      <c r="L28" s="2075">
        <v>468</v>
      </c>
      <c r="M28" s="2100" t="b">
        <f>L28='Sockeye Returns Data'!AI35</f>
        <v>0</v>
      </c>
      <c r="N28" s="2075"/>
      <c r="O28" s="2075">
        <v>406148</v>
      </c>
      <c r="P28" s="2057">
        <f>'Sockeye Returns Data'!E35/O28</f>
        <v>1.0054118203216562</v>
      </c>
      <c r="Q28" s="2075"/>
      <c r="R28" s="1103">
        <v>1</v>
      </c>
      <c r="S28" s="1103"/>
      <c r="T28" s="1103">
        <v>0.96875</v>
      </c>
      <c r="U28" s="1103"/>
      <c r="V28" s="2108">
        <v>0.96875</v>
      </c>
      <c r="W28" s="2109">
        <f>'Spawning Ground Ratios'!O15</f>
        <v>0.95749171088362228</v>
      </c>
      <c r="X28" s="2074" t="b">
        <f>ROUND(V28,2)=ROUND('Spawning Ground Ratios'!O15,2)</f>
        <v>0</v>
      </c>
      <c r="Y28" s="1103"/>
      <c r="Z28" s="2095">
        <v>404755</v>
      </c>
      <c r="AA28" s="2095">
        <f>'Sockeye Returns Data'!C35</f>
        <v>409950</v>
      </c>
      <c r="AB28" s="2057">
        <f t="shared" si="2"/>
        <v>1.0128349248310706</v>
      </c>
      <c r="AC28" s="2057"/>
      <c r="AD28" s="2075">
        <v>352136.85</v>
      </c>
      <c r="AE28" s="2075">
        <f>'Sockeye Returns Data'!AD35</f>
        <v>355037</v>
      </c>
      <c r="AF28" s="2057">
        <f t="shared" si="3"/>
        <v>1.0082358605752282</v>
      </c>
      <c r="AG28" s="2075"/>
      <c r="AH28" s="2075">
        <v>352136.85</v>
      </c>
      <c r="AI28" s="2097"/>
      <c r="AJ28" s="2084">
        <v>341132.57343749999</v>
      </c>
      <c r="AK28" s="2078">
        <f t="shared" si="0"/>
        <v>339944.98455698858</v>
      </c>
      <c r="AL28" s="485">
        <f t="shared" si="1"/>
        <v>0.9965186881201511</v>
      </c>
    </row>
    <row r="29" spans="1:39" x14ac:dyDescent="0.3">
      <c r="A29" s="854">
        <v>28</v>
      </c>
      <c r="B29" s="2090">
        <v>2011</v>
      </c>
      <c r="C29" s="2075">
        <v>185796</v>
      </c>
      <c r="D29" s="2100" t="b">
        <f>C29='Sockeye Returns Data'!D36</f>
        <v>1</v>
      </c>
      <c r="E29" s="2075"/>
      <c r="F29" s="2075">
        <v>1561</v>
      </c>
      <c r="G29" s="2100" t="b">
        <f>F29='Sockeye Returns Data'!F36</f>
        <v>1</v>
      </c>
      <c r="H29" s="2075"/>
      <c r="I29" s="1103">
        <v>0.88</v>
      </c>
      <c r="J29" s="2102" t="b">
        <f>I29='Sockeye Returns Data'!U36</f>
        <v>1</v>
      </c>
      <c r="K29" s="1103"/>
      <c r="L29" s="2075">
        <v>1873</v>
      </c>
      <c r="M29" s="2100" t="b">
        <f>L29='Sockeye Returns Data'!AI36</f>
        <v>0</v>
      </c>
      <c r="N29" s="2075"/>
      <c r="O29" s="2075">
        <v>194447</v>
      </c>
      <c r="P29" s="2057">
        <f>'Sockeye Returns Data'!E36/O29</f>
        <v>1.0026382510401293</v>
      </c>
      <c r="Q29" s="2075"/>
      <c r="R29" s="1103">
        <v>0.83704072769470605</v>
      </c>
      <c r="S29" s="1103"/>
      <c r="T29" s="1103">
        <v>0.87716097573069296</v>
      </c>
      <c r="U29" s="1103"/>
      <c r="V29" s="2108">
        <v>0.95912263210368898</v>
      </c>
      <c r="W29" s="2111" t="s">
        <v>779</v>
      </c>
      <c r="Y29" s="1103"/>
      <c r="Z29" s="2095">
        <v>194759</v>
      </c>
      <c r="AA29" s="2095">
        <f>'Sockeye Returns Data'!C36</f>
        <v>196529</v>
      </c>
      <c r="AB29" s="2057">
        <f t="shared" si="2"/>
        <v>1.0090881551045139</v>
      </c>
      <c r="AC29" s="2057"/>
      <c r="AD29" s="2075">
        <v>171387.92</v>
      </c>
      <c r="AE29" s="2075">
        <f>'Sockeye Returns Data'!AD36</f>
        <v>171572</v>
      </c>
      <c r="AF29" s="2057">
        <f t="shared" si="3"/>
        <v>1.0010740546941697</v>
      </c>
      <c r="AG29" s="2075"/>
      <c r="AH29" s="2075">
        <v>143458.66927488201</v>
      </c>
      <c r="AI29" s="2097"/>
      <c r="AJ29" s="2092">
        <v>150334.79513565401</v>
      </c>
      <c r="AK29" s="2088" t="s">
        <v>247</v>
      </c>
      <c r="AL29" s="485"/>
      <c r="AM29" s="1068" t="s">
        <v>780</v>
      </c>
    </row>
    <row r="30" spans="1:39" x14ac:dyDescent="0.3">
      <c r="A30" s="854">
        <v>29</v>
      </c>
      <c r="B30" s="2090">
        <v>2012</v>
      </c>
      <c r="C30" s="2075">
        <v>515673</v>
      </c>
      <c r="D30" s="2100" t="b">
        <f>C30='Sockeye Returns Data'!D37</f>
        <v>1</v>
      </c>
      <c r="E30" s="2075"/>
      <c r="F30" s="2075">
        <v>512</v>
      </c>
      <c r="G30" s="2100" t="b">
        <f>F30='Sockeye Returns Data'!F37</f>
        <v>1</v>
      </c>
      <c r="H30" s="2075"/>
      <c r="I30" s="1103">
        <v>0.84</v>
      </c>
      <c r="J30" s="2102" t="b">
        <f>I30='Sockeye Returns Data'!U37</f>
        <v>1</v>
      </c>
      <c r="K30" s="1103"/>
      <c r="L30" s="2075">
        <v>5491</v>
      </c>
      <c r="M30" s="2100" t="b">
        <f>L30='Sockeye Returns Data'!AI37</f>
        <v>0</v>
      </c>
      <c r="N30" s="2075"/>
      <c r="O30" s="2075">
        <v>542730</v>
      </c>
      <c r="P30" s="2057">
        <f>'Sockeye Returns Data'!E37/O30</f>
        <v>1.0053562544911834</v>
      </c>
      <c r="Q30" s="2075"/>
      <c r="R30" s="1103">
        <v>0.895353622800658</v>
      </c>
      <c r="S30" s="1103"/>
      <c r="T30" s="1103">
        <v>0.87759281581394699</v>
      </c>
      <c r="U30" s="1103"/>
      <c r="V30" s="2108">
        <v>0.98016336056009301</v>
      </c>
      <c r="W30" s="2109">
        <f>'Spawning Ground Ratios'!O17</f>
        <v>0.89566814837377096</v>
      </c>
      <c r="X30" s="2074" t="b">
        <f>ROUND(V30,2)=ROUND('Spawning Ground Ratios'!O17,2)</f>
        <v>0</v>
      </c>
      <c r="Y30" s="1103"/>
      <c r="Z30" s="2095">
        <v>547709</v>
      </c>
      <c r="AA30" s="2095">
        <f>'Sockeye Returns Data'!C37</f>
        <v>550232</v>
      </c>
      <c r="AB30" s="2057">
        <f t="shared" si="2"/>
        <v>1.0046064607300591</v>
      </c>
      <c r="AC30" s="2057"/>
      <c r="AD30" s="2075">
        <v>460075.56</v>
      </c>
      <c r="AE30" s="2075">
        <f>'Sockeye Returns Data'!AD37</f>
        <v>461765</v>
      </c>
      <c r="AF30" s="2057">
        <f t="shared" si="3"/>
        <v>1.0036720924710716</v>
      </c>
      <c r="AG30" s="2075"/>
      <c r="AH30" s="2075">
        <v>411930.31940804102</v>
      </c>
      <c r="AI30" s="2097"/>
      <c r="AJ30" s="2084">
        <v>403759.00618757901</v>
      </c>
      <c r="AK30" s="2078">
        <f t="shared" ref="AK30:AK39" si="4">VLOOKUP(B30,SockeyeReturnsData,75)</f>
        <v>401558.28786681773</v>
      </c>
      <c r="AL30" s="485">
        <f t="shared" ref="AL30:AL39" si="5">AK30/AJ30</f>
        <v>0.99454942605109631</v>
      </c>
    </row>
    <row r="31" spans="1:39" x14ac:dyDescent="0.3">
      <c r="A31" s="854">
        <v>30</v>
      </c>
      <c r="B31" s="2090">
        <v>2013</v>
      </c>
      <c r="C31" s="2075">
        <v>185505</v>
      </c>
      <c r="D31" s="2100" t="b">
        <f>C31='Sockeye Returns Data'!D38</f>
        <v>1</v>
      </c>
      <c r="E31" s="2075"/>
      <c r="F31" s="2075">
        <v>1011</v>
      </c>
      <c r="G31" s="2100" t="b">
        <f>F31='Sockeye Returns Data'!F38</f>
        <v>1</v>
      </c>
      <c r="H31" s="2075"/>
      <c r="I31" s="1103">
        <v>0.82</v>
      </c>
      <c r="J31" s="2102" t="b">
        <f>I31='Sockeye Returns Data'!U38</f>
        <v>1</v>
      </c>
      <c r="K31" s="1103"/>
      <c r="L31" s="2075">
        <v>718</v>
      </c>
      <c r="M31" s="2100" t="b">
        <f>L31='Sockeye Returns Data'!AI38</f>
        <v>0</v>
      </c>
      <c r="N31" s="2075"/>
      <c r="O31" s="2075">
        <v>194145</v>
      </c>
      <c r="P31" s="2057">
        <f>'Sockeye Returns Data'!E38/O31</f>
        <v>1.0026062994153855</v>
      </c>
      <c r="Q31" s="2075"/>
      <c r="R31" s="1103">
        <v>0.80138980738915599</v>
      </c>
      <c r="S31" s="1103"/>
      <c r="T31" s="1103">
        <v>0.68690554919070501</v>
      </c>
      <c r="U31" s="1103"/>
      <c r="V31" s="2108">
        <v>0.85714285714285698</v>
      </c>
      <c r="W31" s="2109">
        <f>'Spawning Ground Ratios'!O18</f>
        <v>0.73704050678087085</v>
      </c>
      <c r="X31" s="2074" t="b">
        <f>ROUND(V31,2)=ROUND('Spawning Ground Ratios'!O18,2)</f>
        <v>0</v>
      </c>
      <c r="Y31" s="1103"/>
      <c r="Z31" s="2095">
        <v>193852</v>
      </c>
      <c r="AA31" s="2095">
        <f>'Sockeye Returns Data'!C38</f>
        <v>195327</v>
      </c>
      <c r="AB31" s="2057">
        <f t="shared" si="2"/>
        <v>1.0076088975094402</v>
      </c>
      <c r="AC31" s="2057"/>
      <c r="AD31" s="2075">
        <v>158958.64000000001</v>
      </c>
      <c r="AE31" s="2075">
        <f>'Sockeye Returns Data'!AD38</f>
        <v>159339</v>
      </c>
      <c r="AF31" s="2057">
        <f t="shared" si="3"/>
        <v>1.0023928236930058</v>
      </c>
      <c r="AG31" s="2075"/>
      <c r="AH31" s="2075">
        <v>127387.83389244199</v>
      </c>
      <c r="AI31" s="2097"/>
      <c r="AJ31" s="2084">
        <v>109189.571907808</v>
      </c>
      <c r="AK31" s="2078">
        <f t="shared" si="4"/>
        <v>104583.98942719486</v>
      </c>
      <c r="AL31" s="485">
        <f t="shared" si="5"/>
        <v>0.95782030829370979</v>
      </c>
    </row>
    <row r="32" spans="1:39" x14ac:dyDescent="0.3">
      <c r="A32" s="854">
        <v>31</v>
      </c>
      <c r="B32" s="2090">
        <v>2014</v>
      </c>
      <c r="C32" s="2075">
        <v>614179</v>
      </c>
      <c r="D32" s="2100" t="b">
        <f>C32='Sockeye Returns Data'!D39</f>
        <v>1</v>
      </c>
      <c r="E32" s="2075"/>
      <c r="F32" s="2075">
        <v>2523</v>
      </c>
      <c r="G32" s="2100" t="b">
        <f>F32='Sockeye Returns Data'!F39</f>
        <v>1</v>
      </c>
      <c r="H32" s="2075"/>
      <c r="I32" s="1103">
        <v>0.83</v>
      </c>
      <c r="J32" s="2102" t="b">
        <f>I32='Sockeye Returns Data'!U39</f>
        <v>1</v>
      </c>
      <c r="K32" s="1103"/>
      <c r="L32" s="2075">
        <v>1738</v>
      </c>
      <c r="M32" s="2100" t="b">
        <f>L32='Sockeye Returns Data'!AI39</f>
        <v>0</v>
      </c>
      <c r="N32" s="2075"/>
      <c r="O32" s="2075">
        <v>647102.5</v>
      </c>
      <c r="P32" s="2057">
        <f>'Sockeye Returns Data'!E39/O32</f>
        <v>1.0050247062868711</v>
      </c>
      <c r="Q32" s="2075"/>
      <c r="R32" s="1103">
        <v>0.74679789985359801</v>
      </c>
      <c r="S32" s="1103"/>
      <c r="T32" s="1103">
        <v>0.727337368261322</v>
      </c>
      <c r="U32" s="1103"/>
      <c r="V32" s="2108">
        <v>0.973941368078176</v>
      </c>
      <c r="W32" s="2109">
        <f>'Spawning Ground Ratios'!O19</f>
        <v>0.87683437585353352</v>
      </c>
      <c r="X32" s="2074" t="b">
        <f>ROUND(V32,2)=ROUND('Spawning Ground Ratios'!O19,2)</f>
        <v>0</v>
      </c>
      <c r="Y32" s="1103"/>
      <c r="Z32" s="2095">
        <v>646317.5</v>
      </c>
      <c r="AA32" s="2095">
        <f>'Sockeye Returns Data'!C39</f>
        <v>651702</v>
      </c>
      <c r="AB32" s="2057">
        <f t="shared" si="2"/>
        <v>1.0083310447264695</v>
      </c>
      <c r="AC32" s="2057"/>
      <c r="AD32" s="2075">
        <v>536443.52500000002</v>
      </c>
      <c r="AE32" s="2075">
        <f>'Sockeye Returns Data'!AD39</f>
        <v>538819</v>
      </c>
      <c r="AF32" s="2057">
        <f t="shared" si="3"/>
        <v>1.0044281921382125</v>
      </c>
      <c r="AG32" s="2075"/>
      <c r="AH32" s="2075">
        <v>400614.89786006103</v>
      </c>
      <c r="AI32" s="2097"/>
      <c r="AJ32" s="2084">
        <v>390175.42169432697</v>
      </c>
      <c r="AK32" s="2078">
        <f t="shared" si="4"/>
        <v>391663.6338020282</v>
      </c>
      <c r="AL32" s="485">
        <f t="shared" si="5"/>
        <v>1.0038142128513341</v>
      </c>
    </row>
    <row r="33" spans="1:39" x14ac:dyDescent="0.3">
      <c r="A33" s="854">
        <v>32</v>
      </c>
      <c r="B33" s="2090">
        <v>2015</v>
      </c>
      <c r="C33" s="2075">
        <v>510706</v>
      </c>
      <c r="D33" s="2100" t="b">
        <f>C33='Sockeye Returns Data'!D40</f>
        <v>1</v>
      </c>
      <c r="E33" s="2075"/>
      <c r="F33" s="2075">
        <v>1749</v>
      </c>
      <c r="G33" s="2100" t="b">
        <f>F33='Sockeye Returns Data'!F40</f>
        <v>1</v>
      </c>
      <c r="H33" s="2075"/>
      <c r="I33" s="1103">
        <v>0.81</v>
      </c>
      <c r="J33" s="2102" t="b">
        <f>I33='Sockeye Returns Data'!U40</f>
        <v>1</v>
      </c>
      <c r="K33" s="1103"/>
      <c r="L33" s="2075">
        <v>1547</v>
      </c>
      <c r="M33" s="2100" t="b">
        <f>L33='Sockeye Returns Data'!AI40</f>
        <v>0</v>
      </c>
      <c r="N33" s="2075"/>
      <c r="O33" s="2075">
        <v>537465</v>
      </c>
      <c r="P33" s="2057">
        <f>'Sockeye Returns Data'!E40/O33</f>
        <v>1.0053808154949624</v>
      </c>
      <c r="Q33" s="2075"/>
      <c r="R33" s="1103">
        <v>0.42020197109598001</v>
      </c>
      <c r="S33" s="1103"/>
      <c r="T33" s="1103">
        <v>0.41353209853890099</v>
      </c>
      <c r="U33" s="1103"/>
      <c r="V33" s="2108">
        <v>0.98412698412698396</v>
      </c>
      <c r="W33" s="2109">
        <f>'Spawning Ground Ratios'!O20</f>
        <v>0.99315840309079206</v>
      </c>
      <c r="X33" s="2074" t="b">
        <f>ROUND(V33,2)=ROUND('Spawning Ground Ratios'!O20,2)</f>
        <v>0</v>
      </c>
      <c r="Y33" s="1103"/>
      <c r="Z33" s="2095">
        <v>537263</v>
      </c>
      <c r="AA33" s="2095">
        <f>'Sockeye Returns Data'!C40</f>
        <v>542103</v>
      </c>
      <c r="AB33" s="2057">
        <f t="shared" si="2"/>
        <v>1.0090086233371738</v>
      </c>
      <c r="AC33" s="2057"/>
      <c r="AD33" s="2075">
        <v>435183.03</v>
      </c>
      <c r="AE33" s="2075">
        <f>'Sockeye Returns Data'!AD40</f>
        <v>437687</v>
      </c>
      <c r="AF33" s="2057">
        <f t="shared" si="3"/>
        <v>1.0057538318991897</v>
      </c>
      <c r="AG33" s="2075"/>
      <c r="AH33" s="2075">
        <v>182864.76699352101</v>
      </c>
      <c r="AI33" s="2097"/>
      <c r="AJ33" s="2084">
        <v>179962.151644417</v>
      </c>
      <c r="AK33" s="2078">
        <f t="shared" si="4"/>
        <v>180919.31652446877</v>
      </c>
      <c r="AL33" s="485">
        <f t="shared" si="5"/>
        <v>1.0053187010229963</v>
      </c>
    </row>
    <row r="34" spans="1:39" x14ac:dyDescent="0.3">
      <c r="A34" s="854">
        <v>33</v>
      </c>
      <c r="B34" s="2090">
        <v>2016</v>
      </c>
      <c r="C34" s="2075">
        <v>342498</v>
      </c>
      <c r="D34" s="2100" t="b">
        <f>C34='Sockeye Returns Data'!D41</f>
        <v>1</v>
      </c>
      <c r="E34" s="2075"/>
      <c r="F34" s="2075">
        <v>946</v>
      </c>
      <c r="G34" s="2100" t="b">
        <f>F34='Sockeye Returns Data'!F41</f>
        <v>1</v>
      </c>
      <c r="H34" s="2075"/>
      <c r="I34" s="1103">
        <v>0.76</v>
      </c>
      <c r="J34" s="2102" t="b">
        <f>I34='Sockeye Returns Data'!U41</f>
        <v>1</v>
      </c>
      <c r="K34" s="1103"/>
      <c r="L34" s="2075">
        <v>1197</v>
      </c>
      <c r="M34" s="2100" t="b">
        <f>L34='Sockeye Returns Data'!AI41</f>
        <v>0</v>
      </c>
      <c r="N34" s="2075"/>
      <c r="O34" s="2075">
        <v>359603</v>
      </c>
      <c r="P34" s="2057">
        <f>'Sockeye Returns Data'!E41/O34</f>
        <v>1.0053948381965667</v>
      </c>
      <c r="Q34" s="2075"/>
      <c r="R34" s="1103">
        <v>0.59840946041958198</v>
      </c>
      <c r="S34" s="1103"/>
      <c r="T34" s="1103">
        <v>0.59413510713087003</v>
      </c>
      <c r="U34" s="1103"/>
      <c r="V34" s="2108">
        <v>0.99285714285714299</v>
      </c>
      <c r="W34" s="2109">
        <f>'Spawning Ground Ratios'!O21</f>
        <v>0.98742640175264951</v>
      </c>
      <c r="X34" s="2102" t="b">
        <f>ROUND(V34,2)=ROUND('Spawning Ground Ratios'!O21,2)</f>
        <v>1</v>
      </c>
      <c r="Y34" s="1103"/>
      <c r="Z34" s="2095">
        <v>359854</v>
      </c>
      <c r="AA34" s="2095">
        <f>'Sockeye Returns Data'!C41</f>
        <v>363350</v>
      </c>
      <c r="AB34" s="2057">
        <f t="shared" si="2"/>
        <v>1.0097150511040589</v>
      </c>
      <c r="AC34" s="2057"/>
      <c r="AD34" s="2075">
        <v>273489.03999999998</v>
      </c>
      <c r="AE34" s="2075">
        <f>'Sockeye Returns Data'!AD41</f>
        <v>275427</v>
      </c>
      <c r="AF34" s="2057">
        <f t="shared" si="3"/>
        <v>1.0070860609258785</v>
      </c>
      <c r="AG34" s="2075"/>
      <c r="AH34" s="2075">
        <v>163658.428857069</v>
      </c>
      <c r="AI34" s="2097"/>
      <c r="AJ34" s="2084">
        <v>162489.440079519</v>
      </c>
      <c r="AK34" s="2078">
        <f t="shared" si="4"/>
        <v>162368.05036650912</v>
      </c>
      <c r="AL34" s="485">
        <f t="shared" si="5"/>
        <v>0.9992529378342957</v>
      </c>
    </row>
    <row r="35" spans="1:39" x14ac:dyDescent="0.3">
      <c r="A35" s="854">
        <v>34</v>
      </c>
      <c r="B35" s="2090">
        <v>2017</v>
      </c>
      <c r="C35" s="2075">
        <v>87693</v>
      </c>
      <c r="D35" s="2100" t="b">
        <f>C35='Sockeye Returns Data'!D42</f>
        <v>1</v>
      </c>
      <c r="E35" s="2075"/>
      <c r="F35" s="2075">
        <v>444</v>
      </c>
      <c r="G35" s="2100" t="b">
        <f>F35='Sockeye Returns Data'!F42</f>
        <v>1</v>
      </c>
      <c r="H35" s="2075"/>
      <c r="I35" s="1103">
        <v>0.64</v>
      </c>
      <c r="J35" s="2102" t="b">
        <f>I35='Sockeye Returns Data'!U42</f>
        <v>1</v>
      </c>
      <c r="K35" s="1103"/>
      <c r="L35" s="2075">
        <v>429</v>
      </c>
      <c r="M35" s="2100" t="b">
        <f>L35='Sockeye Returns Data'!AI42</f>
        <v>0</v>
      </c>
      <c r="N35" s="2075"/>
      <c r="O35" s="2075">
        <v>91420.5</v>
      </c>
      <c r="P35" s="2057">
        <f>'Sockeye Returns Data'!E42/O35</f>
        <v>0.99181255845242589</v>
      </c>
      <c r="Q35" s="2075"/>
      <c r="R35" s="1103">
        <v>0.27041660593750599</v>
      </c>
      <c r="S35" s="1103"/>
      <c r="T35" s="1103">
        <v>0.27041660593750599</v>
      </c>
      <c r="U35" s="1103"/>
      <c r="V35" s="2108">
        <v>1</v>
      </c>
      <c r="W35" s="2109">
        <f>'Spawning Ground Ratios'!O22</f>
        <v>0.99768779910738292</v>
      </c>
      <c r="X35" s="2102" t="b">
        <f>ROUND(V35,2)=ROUND('Spawning Ground Ratios'!O22,2)</f>
        <v>1</v>
      </c>
      <c r="Y35" s="1103"/>
      <c r="Z35" s="2095">
        <v>91405.5</v>
      </c>
      <c r="AA35" s="2095">
        <f>'Sockeye Returns Data'!C42</f>
        <v>91242</v>
      </c>
      <c r="AB35" s="2057">
        <f t="shared" si="2"/>
        <v>0.9982112673745015</v>
      </c>
      <c r="AC35" s="2057"/>
      <c r="AD35" s="2075">
        <v>58499.519999999997</v>
      </c>
      <c r="AE35" s="2075">
        <f>'Sockeye Returns Data'!AD42</f>
        <v>58111</v>
      </c>
      <c r="AF35" s="2057">
        <f t="shared" si="3"/>
        <v>0.99335857798491345</v>
      </c>
      <c r="AG35" s="2075"/>
      <c r="AH35" s="2075">
        <v>15819.241647373299</v>
      </c>
      <c r="AI35" s="2097"/>
      <c r="AJ35" s="2084">
        <v>15819.241647373299</v>
      </c>
      <c r="AK35" s="2078">
        <f t="shared" si="4"/>
        <v>15714.374307684035</v>
      </c>
      <c r="AL35" s="485">
        <f t="shared" si="5"/>
        <v>0.99337089969122017</v>
      </c>
    </row>
    <row r="36" spans="1:39" x14ac:dyDescent="0.3">
      <c r="A36" s="854">
        <v>35</v>
      </c>
      <c r="B36" s="2090">
        <v>2018</v>
      </c>
      <c r="C36" s="2075">
        <v>193816</v>
      </c>
      <c r="D36" s="2100" t="b">
        <f>C36='Sockeye Returns Data'!D43</f>
        <v>1</v>
      </c>
      <c r="E36" s="2075"/>
      <c r="F36" s="2075">
        <v>297</v>
      </c>
      <c r="G36" s="2100" t="b">
        <f>F36='Sockeye Returns Data'!F43</f>
        <v>1</v>
      </c>
      <c r="H36" s="2075"/>
      <c r="I36" s="1103">
        <v>0.92</v>
      </c>
      <c r="J36" s="2102" t="b">
        <f>I36='Sockeye Returns Data'!U43</f>
        <v>1</v>
      </c>
      <c r="K36" s="1103"/>
      <c r="L36" s="2075">
        <v>112</v>
      </c>
      <c r="M36" s="2100" t="b">
        <f>L36='Sockeye Returns Data'!AI43</f>
        <v>0</v>
      </c>
      <c r="N36" s="2075"/>
      <c r="O36" s="2075">
        <v>202854.5</v>
      </c>
      <c r="P36" s="2057">
        <f>'Sockeye Returns Data'!E43/O36</f>
        <v>1.0031130687265997</v>
      </c>
      <c r="Q36" s="2075"/>
      <c r="R36" s="1103">
        <v>0.42617970886998102</v>
      </c>
      <c r="S36" s="1103"/>
      <c r="T36" s="1103">
        <v>0.42317844331455901</v>
      </c>
      <c r="U36" s="1103"/>
      <c r="V36" s="2108">
        <v>0.99295774647887303</v>
      </c>
      <c r="W36" s="2109">
        <f>'Spawning Ground Ratios'!O23</f>
        <v>0.93224835397451578</v>
      </c>
      <c r="X36" s="2074" t="b">
        <f>ROUND(V36,2)=ROUND('Spawning Ground Ratios'!O23,2)</f>
        <v>0</v>
      </c>
      <c r="Y36" s="1103"/>
      <c r="Z36" s="2095">
        <v>202669.5</v>
      </c>
      <c r="AA36" s="2095">
        <f>'Sockeye Returns Data'!C43</f>
        <v>203637</v>
      </c>
      <c r="AB36" s="2057">
        <f t="shared" si="2"/>
        <v>1.0047737819454827</v>
      </c>
      <c r="AC36" s="2057"/>
      <c r="AD36" s="2075">
        <v>186455.94</v>
      </c>
      <c r="AE36" s="2075">
        <f>'Sockeye Returns Data'!AD43</f>
        <v>187073</v>
      </c>
      <c r="AF36" s="2057">
        <f t="shared" si="3"/>
        <v>1.0033094145458707</v>
      </c>
      <c r="AG36" s="2075"/>
      <c r="AH36" s="2075">
        <v>79463.7382262787</v>
      </c>
      <c r="AI36" s="2097"/>
      <c r="AJ36" s="2084">
        <v>78904.134435952801</v>
      </c>
      <c r="AK36" s="2078">
        <f t="shared" si="4"/>
        <v>78967.627382958686</v>
      </c>
      <c r="AL36" s="485">
        <f t="shared" si="5"/>
        <v>1.0008046846652556</v>
      </c>
    </row>
    <row r="37" spans="1:39" x14ac:dyDescent="0.3">
      <c r="A37" s="854">
        <v>36</v>
      </c>
      <c r="B37" s="2090">
        <v>2019</v>
      </c>
      <c r="C37" s="2075">
        <v>63046</v>
      </c>
      <c r="D37" s="2100" t="b">
        <f>C37='Sockeye Returns Data'!D44</f>
        <v>1</v>
      </c>
      <c r="E37" s="2075"/>
      <c r="F37" s="2075">
        <v>335</v>
      </c>
      <c r="G37" s="2100" t="b">
        <f>F37='Sockeye Returns Data'!F44</f>
        <v>1</v>
      </c>
      <c r="H37" s="2075"/>
      <c r="I37" s="1103">
        <v>0.85</v>
      </c>
      <c r="J37" s="2102" t="b">
        <f>I37='Sockeye Returns Data'!U44</f>
        <v>1</v>
      </c>
      <c r="K37" s="1103"/>
      <c r="L37" s="2075">
        <v>41</v>
      </c>
      <c r="M37" s="2100" t="b">
        <f>L37='Sockeye Returns Data'!AI44</f>
        <v>1</v>
      </c>
      <c r="N37" s="2075"/>
      <c r="O37" s="2075">
        <v>65631.5</v>
      </c>
      <c r="P37" s="2057">
        <f>'Sockeye Returns Data'!E44/O37</f>
        <v>0.98230270525586039</v>
      </c>
      <c r="Q37" s="2075"/>
      <c r="R37" s="1103">
        <v>0.560312962103515</v>
      </c>
      <c r="S37" s="1103"/>
      <c r="T37" s="1103">
        <v>0.54799714299165903</v>
      </c>
      <c r="U37" s="1103"/>
      <c r="V37" s="2108">
        <v>0.97801974977409001</v>
      </c>
      <c r="W37" s="2111" t="s">
        <v>779</v>
      </c>
      <c r="Y37" s="1103"/>
      <c r="Z37" s="2095">
        <v>65337.5</v>
      </c>
      <c r="AA37" s="2095">
        <f>'Sockeye Returns Data'!C44</f>
        <v>64511</v>
      </c>
      <c r="AB37" s="2057">
        <f t="shared" si="2"/>
        <v>0.98735029653721063</v>
      </c>
      <c r="AC37" s="2057"/>
      <c r="AD37" s="2075">
        <v>55536.875</v>
      </c>
      <c r="AE37" s="2075">
        <f>'Sockeye Returns Data'!AD44</f>
        <v>54550</v>
      </c>
      <c r="AF37" s="2057">
        <f t="shared" si="3"/>
        <v>0.98223027492994519</v>
      </c>
      <c r="AG37" s="2075"/>
      <c r="AH37" s="2075">
        <v>31118.0309372226</v>
      </c>
      <c r="AI37" s="2097"/>
      <c r="AJ37" s="2092">
        <v>30434.0488306849</v>
      </c>
      <c r="AK37" s="2078">
        <f t="shared" si="4"/>
        <v>27808.12446155211</v>
      </c>
      <c r="AL37" s="485">
        <f t="shared" si="5"/>
        <v>0.91371754761445934</v>
      </c>
      <c r="AM37" s="1068" t="s">
        <v>781</v>
      </c>
    </row>
    <row r="38" spans="1:39" x14ac:dyDescent="0.3">
      <c r="A38" s="854">
        <v>37</v>
      </c>
      <c r="B38" s="2090">
        <v>2020</v>
      </c>
      <c r="C38" s="2075">
        <v>341739</v>
      </c>
      <c r="D38" s="2100" t="b">
        <f>C38='Sockeye Returns Data'!D45</f>
        <v>1</v>
      </c>
      <c r="E38" s="2075"/>
      <c r="F38" s="2075">
        <v>750</v>
      </c>
      <c r="G38" s="2100" t="b">
        <f>F38='Sockeye Returns Data'!F45</f>
        <v>1</v>
      </c>
      <c r="H38" s="2075"/>
      <c r="I38" s="1103">
        <v>0.85</v>
      </c>
      <c r="J38" s="2102" t="b">
        <f>I38='Sockeye Returns Data'!U45</f>
        <v>1</v>
      </c>
      <c r="K38" s="1103"/>
      <c r="L38" s="2075">
        <v>3357</v>
      </c>
      <c r="M38" s="2100" t="b">
        <f>L38='Sockeye Returns Data'!AI45</f>
        <v>0</v>
      </c>
      <c r="N38" s="2075"/>
      <c r="O38" s="2075">
        <v>358821.5</v>
      </c>
      <c r="P38" s="2057">
        <f>'Sockeye Returns Data'!E45/O38</f>
        <v>1.0053355219795914</v>
      </c>
      <c r="Q38" s="2075"/>
      <c r="R38" s="1103">
        <v>0.54597116033047199</v>
      </c>
      <c r="S38" s="1103"/>
      <c r="T38" s="1103">
        <v>0.532051215732811</v>
      </c>
      <c r="U38" s="1103"/>
      <c r="V38" s="2108">
        <v>0.97450424929178503</v>
      </c>
      <c r="W38" s="2109">
        <f>'Spawning Ground Ratios'!O25</f>
        <v>0.79110630302340146</v>
      </c>
      <c r="X38" s="2074" t="b">
        <f>ROUND(V38,2)=ROUND('Spawning Ground Ratios'!O25,2)</f>
        <v>0</v>
      </c>
      <c r="Y38" s="1103"/>
      <c r="Z38" s="2095">
        <v>361428.5</v>
      </c>
      <c r="AA38" s="2095">
        <f>'Sockeye Returns Data'!C45</f>
        <v>364015</v>
      </c>
      <c r="AB38" s="2057">
        <f t="shared" si="2"/>
        <v>1.0071563255249656</v>
      </c>
      <c r="AC38" s="2057"/>
      <c r="AD38" s="2075">
        <v>307214.22499999998</v>
      </c>
      <c r="AE38" s="2075">
        <f>'Sockeye Returns Data'!AD45</f>
        <v>308775</v>
      </c>
      <c r="AF38" s="2057">
        <f t="shared" si="3"/>
        <v>1.005080412536236</v>
      </c>
      <c r="AG38" s="2075"/>
      <c r="AH38" s="2075">
        <v>167730.106893277</v>
      </c>
      <c r="AI38" s="2097"/>
      <c r="AJ38" s="2084">
        <v>163453.70190166301</v>
      </c>
      <c r="AK38" s="2078">
        <f t="shared" si="4"/>
        <v>159970.04156710723</v>
      </c>
      <c r="AL38" s="485">
        <f t="shared" si="5"/>
        <v>0.97868717383561232</v>
      </c>
    </row>
    <row r="39" spans="1:39" ht="15" thickBot="1" x14ac:dyDescent="0.35">
      <c r="A39" s="943">
        <v>38</v>
      </c>
      <c r="B39" s="2091">
        <v>2021</v>
      </c>
      <c r="C39" s="2085">
        <v>151765</v>
      </c>
      <c r="D39" s="2101" t="b">
        <f>C39='Sockeye Returns Data'!D46</f>
        <v>1</v>
      </c>
      <c r="E39" s="2085"/>
      <c r="F39" s="2085">
        <v>953</v>
      </c>
      <c r="G39" s="2101" t="b">
        <f>F39='Sockeye Returns Data'!F46</f>
        <v>0</v>
      </c>
      <c r="H39" s="2085"/>
      <c r="I39" s="2086">
        <v>0.72</v>
      </c>
      <c r="J39" s="2103" t="b">
        <f>I39='Sockeye Returns Data'!U46</f>
        <v>1</v>
      </c>
      <c r="K39" s="2086"/>
      <c r="L39" s="2085">
        <v>550</v>
      </c>
      <c r="M39" s="2101" t="b">
        <f>L39='Sockeye Returns Data'!AI46</f>
        <v>0</v>
      </c>
      <c r="N39" s="2085"/>
      <c r="O39" s="2085">
        <v>158636</v>
      </c>
      <c r="P39" s="2057">
        <f>'Sockeye Returns Data'!E46/O39</f>
        <v>1.0009266496885953</v>
      </c>
      <c r="Q39" s="2085"/>
      <c r="R39" s="2086">
        <v>0.54716528701599298</v>
      </c>
      <c r="S39" s="2086"/>
      <c r="T39" s="2086">
        <v>0.51155097839365005</v>
      </c>
      <c r="U39" s="2086"/>
      <c r="V39" s="2110">
        <v>0.93491124260354996</v>
      </c>
      <c r="W39" s="2109">
        <f>'Spawning Ground Ratios'!O26</f>
        <v>0.88307964970809005</v>
      </c>
      <c r="X39" s="2074" t="b">
        <f>ROUND(V39,2)=ROUND('Spawning Ground Ratios'!O26,2)</f>
        <v>0</v>
      </c>
      <c r="Y39" s="2086"/>
      <c r="Z39" s="2096">
        <v>158233</v>
      </c>
      <c r="AA39" s="2096">
        <f>'Sockeye Returns Data'!C46</f>
        <v>159340</v>
      </c>
      <c r="AB39" s="2057">
        <f t="shared" si="2"/>
        <v>1.0069960122098425</v>
      </c>
      <c r="AC39" s="2099"/>
      <c r="AD39" s="2085">
        <v>113927.76</v>
      </c>
      <c r="AE39" s="2075">
        <f>'Sockeye Returns Data'!AD46</f>
        <v>114039</v>
      </c>
      <c r="AF39" s="2057">
        <f t="shared" si="3"/>
        <v>1.0009764082081487</v>
      </c>
      <c r="AG39" s="2085"/>
      <c r="AH39" s="2085">
        <v>62337.315499489101</v>
      </c>
      <c r="AI39" s="2098"/>
      <c r="AJ39" s="2087">
        <v>58279.857094197003</v>
      </c>
      <c r="AK39" s="2079">
        <f t="shared" si="4"/>
        <v>55371.464605909532</v>
      </c>
      <c r="AL39" s="2080">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712"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04" t="s">
        <v>782</v>
      </c>
      <c r="B1" s="2605"/>
      <c r="C1" s="2605"/>
      <c r="D1" s="2605"/>
      <c r="E1" s="2605"/>
      <c r="F1" s="2606"/>
      <c r="G1" s="2607" t="s">
        <v>783</v>
      </c>
      <c r="H1" s="2607" t="s">
        <v>766</v>
      </c>
    </row>
    <row r="2" spans="1:8" ht="15" thickBot="1" x14ac:dyDescent="0.35">
      <c r="A2" s="491" t="s">
        <v>784</v>
      </c>
      <c r="B2" s="2063" t="s">
        <v>759</v>
      </c>
      <c r="C2" s="2063" t="s">
        <v>785</v>
      </c>
      <c r="D2" s="2063" t="s">
        <v>786</v>
      </c>
      <c r="E2" s="2063" t="s">
        <v>787</v>
      </c>
      <c r="F2" s="2064" t="s">
        <v>788</v>
      </c>
      <c r="G2" s="2608"/>
      <c r="H2" s="2608"/>
    </row>
    <row r="3" spans="1:8" x14ac:dyDescent="0.3">
      <c r="A3" s="720">
        <v>1</v>
      </c>
      <c r="B3" s="489">
        <v>1984</v>
      </c>
      <c r="C3" s="2062" t="s">
        <v>789</v>
      </c>
      <c r="D3" s="702">
        <v>140795.67600000001</v>
      </c>
      <c r="E3" s="702">
        <v>142821.98699999999</v>
      </c>
      <c r="F3" s="721">
        <v>141691.62</v>
      </c>
      <c r="G3" s="2065">
        <f t="shared" ref="G3:G40" si="0">VLOOKUP(B3,SockeyeReturnsData,74)</f>
        <v>0</v>
      </c>
      <c r="H3" s="2066">
        <f>1-G3/F3</f>
        <v>1</v>
      </c>
    </row>
    <row r="4" spans="1:8" x14ac:dyDescent="0.3">
      <c r="A4" s="290">
        <v>2</v>
      </c>
      <c r="B4" s="669">
        <v>1985</v>
      </c>
      <c r="C4" s="813" t="s">
        <v>789</v>
      </c>
      <c r="D4" s="701">
        <v>120929.21725</v>
      </c>
      <c r="E4" s="701">
        <v>122485.8585</v>
      </c>
      <c r="F4" s="481">
        <v>121623.78</v>
      </c>
      <c r="G4" s="2060">
        <f t="shared" si="0"/>
        <v>0</v>
      </c>
      <c r="H4" s="2059">
        <f t="shared" ref="H4:H40" si="1">1-G4/F4</f>
        <v>1</v>
      </c>
    </row>
    <row r="5" spans="1:8" x14ac:dyDescent="0.3">
      <c r="A5" s="290">
        <v>3</v>
      </c>
      <c r="B5" s="669">
        <v>1986</v>
      </c>
      <c r="C5" s="813" t="s">
        <v>789</v>
      </c>
      <c r="D5" s="701">
        <v>48859.110249999998</v>
      </c>
      <c r="E5" s="701">
        <v>49638.168749999997</v>
      </c>
      <c r="F5" s="481">
        <v>49213.84</v>
      </c>
      <c r="G5" s="2060">
        <f t="shared" si="0"/>
        <v>0</v>
      </c>
      <c r="H5" s="2059">
        <f t="shared" si="1"/>
        <v>1</v>
      </c>
    </row>
    <row r="6" spans="1:8" x14ac:dyDescent="0.3">
      <c r="A6" s="290">
        <v>4</v>
      </c>
      <c r="B6" s="669">
        <v>1987</v>
      </c>
      <c r="C6" s="813" t="s">
        <v>789</v>
      </c>
      <c r="D6" s="701">
        <v>98883.790500000003</v>
      </c>
      <c r="E6" s="701">
        <v>100088.505</v>
      </c>
      <c r="F6" s="481">
        <v>99433.29</v>
      </c>
      <c r="G6" s="2060">
        <f t="shared" si="0"/>
        <v>0</v>
      </c>
      <c r="H6" s="2059">
        <f t="shared" si="1"/>
        <v>1</v>
      </c>
    </row>
    <row r="7" spans="1:8" x14ac:dyDescent="0.3">
      <c r="A7" s="290">
        <v>5</v>
      </c>
      <c r="B7" s="669">
        <v>1988</v>
      </c>
      <c r="C7" s="813" t="s">
        <v>789</v>
      </c>
      <c r="D7" s="701">
        <v>78062.341499999995</v>
      </c>
      <c r="E7" s="701">
        <v>79063.998000000007</v>
      </c>
      <c r="F7" s="481">
        <v>78515.97</v>
      </c>
      <c r="G7" s="2060">
        <f t="shared" si="0"/>
        <v>0</v>
      </c>
      <c r="H7" s="2059">
        <f t="shared" si="1"/>
        <v>1</v>
      </c>
    </row>
    <row r="8" spans="1:8" x14ac:dyDescent="0.3">
      <c r="A8" s="290">
        <v>6</v>
      </c>
      <c r="B8" s="669">
        <v>1989</v>
      </c>
      <c r="C8" s="813" t="s">
        <v>789</v>
      </c>
      <c r="D8" s="701">
        <v>18142.698</v>
      </c>
      <c r="E8" s="701">
        <v>18473.710500000001</v>
      </c>
      <c r="F8" s="481">
        <v>18294.36</v>
      </c>
      <c r="G8" s="2060">
        <f t="shared" si="0"/>
        <v>0</v>
      </c>
      <c r="H8" s="2059">
        <f t="shared" si="1"/>
        <v>1</v>
      </c>
    </row>
    <row r="9" spans="1:8" x14ac:dyDescent="0.3">
      <c r="A9" s="290">
        <v>7</v>
      </c>
      <c r="B9" s="669">
        <v>1990</v>
      </c>
      <c r="C9" s="813" t="s">
        <v>789</v>
      </c>
      <c r="D9" s="701">
        <v>12320.394</v>
      </c>
      <c r="E9" s="701">
        <v>12534.005999999999</v>
      </c>
      <c r="F9" s="481">
        <v>12415.68</v>
      </c>
      <c r="G9" s="2060">
        <f t="shared" si="0"/>
        <v>0</v>
      </c>
      <c r="H9" s="2059">
        <f t="shared" si="1"/>
        <v>1</v>
      </c>
    </row>
    <row r="10" spans="1:8" x14ac:dyDescent="0.3">
      <c r="A10" s="290">
        <v>8</v>
      </c>
      <c r="B10" s="669">
        <v>1991</v>
      </c>
      <c r="C10" s="813" t="s">
        <v>789</v>
      </c>
      <c r="D10" s="701">
        <v>39566.487500000003</v>
      </c>
      <c r="E10" s="701">
        <v>40166.5</v>
      </c>
      <c r="F10" s="481">
        <v>39845.25</v>
      </c>
      <c r="G10" s="2060">
        <f t="shared" si="0"/>
        <v>0</v>
      </c>
      <c r="H10" s="2059">
        <f t="shared" si="1"/>
        <v>1</v>
      </c>
    </row>
    <row r="11" spans="1:8" x14ac:dyDescent="0.3">
      <c r="A11" s="290">
        <v>9</v>
      </c>
      <c r="B11" s="669">
        <v>1992</v>
      </c>
      <c r="C11" s="813" t="s">
        <v>789</v>
      </c>
      <c r="D11" s="701">
        <v>60677.202749999997</v>
      </c>
      <c r="E11" s="701">
        <v>61606.753499999999</v>
      </c>
      <c r="F11" s="481">
        <v>61112.61</v>
      </c>
      <c r="G11" s="2060">
        <f t="shared" si="0"/>
        <v>0</v>
      </c>
      <c r="H11" s="2059">
        <f t="shared" si="1"/>
        <v>1</v>
      </c>
    </row>
    <row r="12" spans="1:8" x14ac:dyDescent="0.3">
      <c r="A12" s="290">
        <v>10</v>
      </c>
      <c r="B12" s="669">
        <v>1993</v>
      </c>
      <c r="C12" s="813" t="s">
        <v>789</v>
      </c>
      <c r="D12" s="701">
        <v>39849.576000000001</v>
      </c>
      <c r="E12" s="701">
        <v>40460.699999999997</v>
      </c>
      <c r="F12" s="481">
        <v>40130.400000000001</v>
      </c>
      <c r="G12" s="2060">
        <f t="shared" si="0"/>
        <v>0</v>
      </c>
      <c r="H12" s="2059">
        <f t="shared" si="1"/>
        <v>1</v>
      </c>
    </row>
    <row r="13" spans="1:8" x14ac:dyDescent="0.3">
      <c r="A13" s="290">
        <v>11</v>
      </c>
      <c r="B13" s="669">
        <v>1994</v>
      </c>
      <c r="C13" s="813" t="s">
        <v>789</v>
      </c>
      <c r="D13" s="701">
        <v>2200.8200000000002</v>
      </c>
      <c r="E13" s="701">
        <v>2264.9185000000002</v>
      </c>
      <c r="F13" s="481">
        <v>2227.6799999999998</v>
      </c>
      <c r="G13" s="2060">
        <f t="shared" si="0"/>
        <v>0</v>
      </c>
      <c r="H13" s="2059">
        <f t="shared" si="1"/>
        <v>1</v>
      </c>
    </row>
    <row r="14" spans="1:8" x14ac:dyDescent="0.3">
      <c r="A14" s="290">
        <v>12</v>
      </c>
      <c r="B14" s="669">
        <v>1995</v>
      </c>
      <c r="C14" s="813" t="s">
        <v>789</v>
      </c>
      <c r="D14" s="701">
        <v>5272.8005000000003</v>
      </c>
      <c r="E14" s="701">
        <v>5443.93</v>
      </c>
      <c r="F14" s="481">
        <v>5341.5649999999996</v>
      </c>
      <c r="G14" s="2060">
        <f t="shared" si="0"/>
        <v>0</v>
      </c>
      <c r="H14" s="2059">
        <f t="shared" si="1"/>
        <v>1</v>
      </c>
    </row>
    <row r="15" spans="1:8" x14ac:dyDescent="0.3">
      <c r="A15" s="290">
        <v>13</v>
      </c>
      <c r="B15" s="669">
        <v>1996</v>
      </c>
      <c r="C15" s="813" t="s">
        <v>789</v>
      </c>
      <c r="D15" s="701">
        <v>23018.4215</v>
      </c>
      <c r="E15" s="701">
        <v>23493.594000000001</v>
      </c>
      <c r="F15" s="481">
        <v>23233.040000000001</v>
      </c>
      <c r="G15" s="2060">
        <f t="shared" si="0"/>
        <v>0</v>
      </c>
      <c r="H15" s="2059">
        <f t="shared" si="1"/>
        <v>1</v>
      </c>
    </row>
    <row r="16" spans="1:8" x14ac:dyDescent="0.3">
      <c r="A16" s="290">
        <v>14</v>
      </c>
      <c r="B16" s="669">
        <v>1997</v>
      </c>
      <c r="C16" s="813" t="s">
        <v>789</v>
      </c>
      <c r="D16" s="701">
        <v>35868.466</v>
      </c>
      <c r="E16" s="701">
        <v>36527.195500000002</v>
      </c>
      <c r="F16" s="481">
        <v>36169.72</v>
      </c>
      <c r="G16" s="2060">
        <f t="shared" si="0"/>
        <v>0</v>
      </c>
      <c r="H16" s="2059">
        <f t="shared" si="1"/>
        <v>1</v>
      </c>
    </row>
    <row r="17" spans="1:8" x14ac:dyDescent="0.3">
      <c r="A17" s="290">
        <v>15</v>
      </c>
      <c r="B17" s="669">
        <v>1998</v>
      </c>
      <c r="C17" s="813" t="s">
        <v>789</v>
      </c>
      <c r="D17" s="701">
        <v>7696.6957499999999</v>
      </c>
      <c r="E17" s="701">
        <v>7911.6</v>
      </c>
      <c r="F17" s="481">
        <v>7791.33</v>
      </c>
      <c r="G17" s="2060">
        <f t="shared" si="0"/>
        <v>0</v>
      </c>
      <c r="H17" s="2059">
        <f t="shared" si="1"/>
        <v>1</v>
      </c>
    </row>
    <row r="18" spans="1:8" x14ac:dyDescent="0.3">
      <c r="A18" s="290">
        <v>16</v>
      </c>
      <c r="B18" s="669">
        <v>1999</v>
      </c>
      <c r="C18" s="813" t="s">
        <v>789</v>
      </c>
      <c r="D18" s="701">
        <v>16645.697250000001</v>
      </c>
      <c r="E18" s="701">
        <v>17068.915499999999</v>
      </c>
      <c r="F18" s="481">
        <v>16834.09</v>
      </c>
      <c r="G18" s="2060">
        <f t="shared" si="0"/>
        <v>0</v>
      </c>
      <c r="H18" s="2059">
        <f t="shared" si="1"/>
        <v>1</v>
      </c>
    </row>
    <row r="19" spans="1:8" x14ac:dyDescent="0.3">
      <c r="A19" s="290">
        <v>17</v>
      </c>
      <c r="B19" s="669">
        <v>2000</v>
      </c>
      <c r="C19" s="813" t="s">
        <v>789</v>
      </c>
      <c r="D19" s="701">
        <v>73538.36</v>
      </c>
      <c r="E19" s="701">
        <v>74624.418999999994</v>
      </c>
      <c r="F19" s="481">
        <v>74036.92</v>
      </c>
      <c r="G19" s="2060">
        <f t="shared" si="0"/>
        <v>0</v>
      </c>
      <c r="H19" s="2059">
        <f t="shared" si="1"/>
        <v>1</v>
      </c>
    </row>
    <row r="20" spans="1:8" x14ac:dyDescent="0.3">
      <c r="A20" s="290">
        <v>18</v>
      </c>
      <c r="B20" s="669">
        <v>2001</v>
      </c>
      <c r="C20" s="813" t="s">
        <v>789</v>
      </c>
      <c r="D20" s="701">
        <v>83366.438250000007</v>
      </c>
      <c r="E20" s="701">
        <v>84602.486999999994</v>
      </c>
      <c r="F20" s="481">
        <v>83935.05</v>
      </c>
      <c r="G20" s="2060">
        <f t="shared" si="0"/>
        <v>0</v>
      </c>
      <c r="H20" s="2059">
        <f t="shared" si="1"/>
        <v>1</v>
      </c>
    </row>
    <row r="21" spans="1:8" x14ac:dyDescent="0.3">
      <c r="A21" s="290">
        <v>19</v>
      </c>
      <c r="B21" s="669">
        <v>2002</v>
      </c>
      <c r="C21" s="813" t="s">
        <v>789</v>
      </c>
      <c r="D21" s="701">
        <v>14322.266</v>
      </c>
      <c r="E21" s="701">
        <v>14577.402</v>
      </c>
      <c r="F21" s="481">
        <v>14434.56</v>
      </c>
      <c r="G21" s="2060">
        <f t="shared" si="0"/>
        <v>0</v>
      </c>
      <c r="H21" s="2059">
        <f t="shared" si="1"/>
        <v>1</v>
      </c>
    </row>
    <row r="22" spans="1:8" x14ac:dyDescent="0.3">
      <c r="A22" s="290">
        <v>20</v>
      </c>
      <c r="B22" s="669">
        <v>2003</v>
      </c>
      <c r="C22" s="813" t="s">
        <v>789</v>
      </c>
      <c r="D22" s="701">
        <v>34781.818500000001</v>
      </c>
      <c r="E22" s="701">
        <v>35429.506000000001</v>
      </c>
      <c r="F22" s="481">
        <v>35070.370000000003</v>
      </c>
      <c r="G22" s="2060">
        <f t="shared" si="0"/>
        <v>0</v>
      </c>
      <c r="H22" s="2059">
        <f t="shared" si="1"/>
        <v>1</v>
      </c>
    </row>
    <row r="23" spans="1:8" x14ac:dyDescent="0.3">
      <c r="A23" s="290">
        <v>21</v>
      </c>
      <c r="B23" s="669">
        <v>2004</v>
      </c>
      <c r="C23" s="813" t="s">
        <v>789</v>
      </c>
      <c r="D23" s="701">
        <v>91217.906749999995</v>
      </c>
      <c r="E23" s="701">
        <v>92574.965249999994</v>
      </c>
      <c r="F23" s="481">
        <v>91825.72</v>
      </c>
      <c r="G23" s="2060">
        <f t="shared" si="0"/>
        <v>0</v>
      </c>
      <c r="H23" s="2059">
        <f t="shared" si="1"/>
        <v>1</v>
      </c>
    </row>
    <row r="24" spans="1:8" x14ac:dyDescent="0.3">
      <c r="A24" s="290">
        <v>22</v>
      </c>
      <c r="B24" s="669">
        <v>2005</v>
      </c>
      <c r="C24" s="813" t="s">
        <v>789</v>
      </c>
      <c r="D24" s="701">
        <v>58856.4015</v>
      </c>
      <c r="E24" s="701">
        <v>59755.097999999998</v>
      </c>
      <c r="F24" s="481">
        <v>59281.17</v>
      </c>
      <c r="G24" s="2060">
        <f t="shared" si="0"/>
        <v>0</v>
      </c>
      <c r="H24" s="2059">
        <f t="shared" si="1"/>
        <v>1</v>
      </c>
    </row>
    <row r="25" spans="1:8" x14ac:dyDescent="0.3">
      <c r="A25" s="290">
        <v>23</v>
      </c>
      <c r="B25" s="669">
        <v>2006</v>
      </c>
      <c r="C25" s="813" t="s">
        <v>789</v>
      </c>
      <c r="D25" s="701">
        <v>27439.848000000002</v>
      </c>
      <c r="E25" s="701">
        <v>27973.53</v>
      </c>
      <c r="F25" s="481">
        <v>27680.400000000001</v>
      </c>
      <c r="G25" s="2060">
        <f t="shared" si="0"/>
        <v>0</v>
      </c>
      <c r="H25" s="2059">
        <f t="shared" si="1"/>
        <v>1</v>
      </c>
    </row>
    <row r="26" spans="1:8" x14ac:dyDescent="0.3">
      <c r="A26" s="290">
        <v>24</v>
      </c>
      <c r="B26" s="2058">
        <v>2007</v>
      </c>
      <c r="C26" s="813" t="s">
        <v>789</v>
      </c>
      <c r="D26" s="701">
        <v>22214.355500000001</v>
      </c>
      <c r="E26" s="701">
        <v>22710.13</v>
      </c>
      <c r="F26" s="481">
        <v>22441.35</v>
      </c>
      <c r="G26" s="2060">
        <f t="shared" si="0"/>
        <v>0.12001482579688658</v>
      </c>
      <c r="H26" s="2059">
        <f t="shared" si="1"/>
        <v>0.99999465206746485</v>
      </c>
    </row>
    <row r="27" spans="1:8" x14ac:dyDescent="0.3">
      <c r="A27" s="290">
        <v>25</v>
      </c>
      <c r="B27" s="669">
        <v>2008</v>
      </c>
      <c r="C27" s="813" t="s">
        <v>789</v>
      </c>
      <c r="D27" s="701">
        <v>176112.15859040199</v>
      </c>
      <c r="E27" s="701">
        <v>180552.55140819601</v>
      </c>
      <c r="F27" s="481">
        <v>178326.991319925</v>
      </c>
      <c r="G27" s="2060">
        <f t="shared" si="0"/>
        <v>6.2998141322496301E-2</v>
      </c>
      <c r="H27" s="2059">
        <f t="shared" si="1"/>
        <v>0.99999964672683106</v>
      </c>
    </row>
    <row r="28" spans="1:8" x14ac:dyDescent="0.3">
      <c r="A28" s="290">
        <v>26</v>
      </c>
      <c r="B28" s="669">
        <v>2009</v>
      </c>
      <c r="C28" s="813" t="s">
        <v>789</v>
      </c>
      <c r="D28" s="701">
        <v>131131.86593286699</v>
      </c>
      <c r="E28" s="701">
        <v>138760.13447560501</v>
      </c>
      <c r="F28" s="481">
        <v>135026.520659364</v>
      </c>
      <c r="G28" s="2060">
        <f t="shared" si="0"/>
        <v>0.13416013989096734</v>
      </c>
      <c r="H28" s="2059">
        <f t="shared" si="1"/>
        <v>0.99999900641637485</v>
      </c>
    </row>
    <row r="29" spans="1:8" x14ac:dyDescent="0.3">
      <c r="A29" s="290">
        <v>27</v>
      </c>
      <c r="B29" s="669">
        <v>2010</v>
      </c>
      <c r="C29" s="813" t="s">
        <v>789</v>
      </c>
      <c r="D29" s="701">
        <v>336382.80337558198</v>
      </c>
      <c r="E29" s="701">
        <v>344878.27887536603</v>
      </c>
      <c r="F29" s="481">
        <v>340404.648485196</v>
      </c>
      <c r="G29" s="2060">
        <f t="shared" si="0"/>
        <v>4.2508289116377697E-2</v>
      </c>
      <c r="H29" s="2059">
        <f t="shared" si="1"/>
        <v>0.99999987512424016</v>
      </c>
    </row>
    <row r="30" spans="1:8" x14ac:dyDescent="0.3">
      <c r="A30" s="290">
        <v>28</v>
      </c>
      <c r="B30" s="2058">
        <v>2011</v>
      </c>
      <c r="C30" s="813" t="s">
        <v>789</v>
      </c>
      <c r="D30" s="701">
        <v>54445.192725570501</v>
      </c>
      <c r="E30" s="701">
        <v>65835.267789726902</v>
      </c>
      <c r="F30" s="481">
        <v>59807.756344249901</v>
      </c>
      <c r="G30" s="2060">
        <f t="shared" si="0"/>
        <v>0.66803155988857932</v>
      </c>
      <c r="H30" s="2059">
        <f t="shared" si="1"/>
        <v>0.99998883035243713</v>
      </c>
    </row>
    <row r="31" spans="1:8" x14ac:dyDescent="0.3">
      <c r="A31" s="290">
        <v>29</v>
      </c>
      <c r="B31" s="669">
        <v>2012</v>
      </c>
      <c r="C31" s="813" t="s">
        <v>789</v>
      </c>
      <c r="D31" s="701">
        <v>395056.89256703103</v>
      </c>
      <c r="E31" s="701">
        <v>408003.71710846102</v>
      </c>
      <c r="F31" s="481">
        <v>401404.30043268099</v>
      </c>
      <c r="G31" s="2060">
        <f t="shared" si="0"/>
        <v>0.13038387953435687</v>
      </c>
      <c r="H31" s="2059">
        <f t="shared" si="1"/>
        <v>0.99999967518066102</v>
      </c>
    </row>
    <row r="32" spans="1:8" x14ac:dyDescent="0.3">
      <c r="A32" s="290">
        <v>30</v>
      </c>
      <c r="B32" s="2058">
        <v>2013</v>
      </c>
      <c r="C32" s="813" t="s">
        <v>789</v>
      </c>
      <c r="D32" s="701">
        <v>93805.449365146793</v>
      </c>
      <c r="E32" s="701">
        <v>102506.44178617701</v>
      </c>
      <c r="F32" s="481">
        <v>98227.371782964605</v>
      </c>
      <c r="G32" s="2060">
        <f t="shared" si="0"/>
        <v>0.34363847251962881</v>
      </c>
      <c r="H32" s="2059">
        <f t="shared" si="1"/>
        <v>0.99999650160167897</v>
      </c>
    </row>
    <row r="33" spans="1:8" x14ac:dyDescent="0.3">
      <c r="A33" s="290">
        <v>31</v>
      </c>
      <c r="B33" s="669">
        <v>2014</v>
      </c>
      <c r="C33" s="813" t="s">
        <v>789</v>
      </c>
      <c r="D33" s="701">
        <v>383864.17923397</v>
      </c>
      <c r="E33" s="701">
        <v>397184.149914129</v>
      </c>
      <c r="F33" s="481">
        <v>390299.03856947698</v>
      </c>
      <c r="G33" s="2060">
        <f t="shared" si="0"/>
        <v>0.27310723303738699</v>
      </c>
      <c r="H33" s="2059">
        <f t="shared" si="1"/>
        <v>0.99999930026157879</v>
      </c>
    </row>
    <row r="34" spans="1:8" x14ac:dyDescent="0.3">
      <c r="A34" s="290">
        <v>32</v>
      </c>
      <c r="B34" s="669">
        <v>2015</v>
      </c>
      <c r="C34" s="813" t="s">
        <v>789</v>
      </c>
      <c r="D34" s="701">
        <v>165246.22810655</v>
      </c>
      <c r="E34" s="701">
        <v>192762.18856391899</v>
      </c>
      <c r="F34" s="481">
        <v>178618.42287389201</v>
      </c>
      <c r="G34" s="2060">
        <f t="shared" si="0"/>
        <v>0.58664681262073404</v>
      </c>
      <c r="H34" s="2059">
        <f t="shared" si="1"/>
        <v>0.99999671564218751</v>
      </c>
    </row>
    <row r="35" spans="1:8" x14ac:dyDescent="0.3">
      <c r="A35" s="290">
        <v>33</v>
      </c>
      <c r="B35" s="669">
        <v>2016</v>
      </c>
      <c r="C35" s="813" t="s">
        <v>789</v>
      </c>
      <c r="D35" s="701">
        <v>157590.014822839</v>
      </c>
      <c r="E35" s="701">
        <v>167328.185333028</v>
      </c>
      <c r="F35" s="481">
        <v>162530.70636977299</v>
      </c>
      <c r="G35" s="2060">
        <f t="shared" si="0"/>
        <v>0.40618305896894807</v>
      </c>
      <c r="H35" s="2059">
        <f t="shared" si="1"/>
        <v>0.99999750088418338</v>
      </c>
    </row>
    <row r="36" spans="1:8" x14ac:dyDescent="0.3">
      <c r="A36" s="290">
        <v>34</v>
      </c>
      <c r="B36" s="669">
        <v>2017</v>
      </c>
      <c r="C36" s="813" t="s">
        <v>789</v>
      </c>
      <c r="D36" s="701">
        <v>15130.1205333992</v>
      </c>
      <c r="E36" s="701">
        <v>16703.788257264699</v>
      </c>
      <c r="F36" s="481">
        <v>15874.7174467679</v>
      </c>
      <c r="G36" s="2060">
        <f t="shared" si="0"/>
        <v>0.72958003979136421</v>
      </c>
      <c r="H36" s="2059">
        <f t="shared" si="1"/>
        <v>0.99995404138421751</v>
      </c>
    </row>
    <row r="37" spans="1:8" x14ac:dyDescent="0.3">
      <c r="A37" s="290">
        <v>35</v>
      </c>
      <c r="B37" s="669">
        <v>2018</v>
      </c>
      <c r="C37" s="813" t="s">
        <v>789</v>
      </c>
      <c r="D37" s="701">
        <v>77880.8093450288</v>
      </c>
      <c r="E37" s="701">
        <v>80690.236439786895</v>
      </c>
      <c r="F37" s="481">
        <v>79318.770689273006</v>
      </c>
      <c r="G37" s="2060">
        <f t="shared" si="0"/>
        <v>0.57683055903011637</v>
      </c>
      <c r="H37" s="2059">
        <f t="shared" si="1"/>
        <v>0.99999272769164205</v>
      </c>
    </row>
    <row r="38" spans="1:8" x14ac:dyDescent="0.3">
      <c r="A38" s="290">
        <v>36</v>
      </c>
      <c r="B38" s="669">
        <v>2019</v>
      </c>
      <c r="C38" s="813" t="s">
        <v>789</v>
      </c>
      <c r="D38" s="701">
        <v>26602.6754000203</v>
      </c>
      <c r="E38" s="701">
        <v>30061.611780394502</v>
      </c>
      <c r="F38" s="481">
        <v>28496.549086613901</v>
      </c>
      <c r="G38" s="2060">
        <f t="shared" si="0"/>
        <v>0.46314024933022213</v>
      </c>
      <c r="H38" s="2059">
        <f t="shared" si="1"/>
        <v>0.99998374749700669</v>
      </c>
    </row>
    <row r="39" spans="1:8" x14ac:dyDescent="0.3">
      <c r="A39" s="290">
        <v>37</v>
      </c>
      <c r="B39" s="669">
        <v>2020</v>
      </c>
      <c r="C39" s="813" t="s">
        <v>789</v>
      </c>
      <c r="D39" s="701">
        <v>163405.196428408</v>
      </c>
      <c r="E39" s="701">
        <v>170916.72303507401</v>
      </c>
      <c r="F39" s="481">
        <v>167374.88164669901</v>
      </c>
      <c r="G39" s="2060">
        <f t="shared" si="0"/>
        <v>0.46816603086033137</v>
      </c>
      <c r="H39" s="2059">
        <f t="shared" si="1"/>
        <v>0.99999720288954796</v>
      </c>
    </row>
    <row r="40" spans="1:8" ht="15" thickBot="1" x14ac:dyDescent="0.35">
      <c r="A40" s="292">
        <v>38</v>
      </c>
      <c r="B40" s="706">
        <v>2021</v>
      </c>
      <c r="C40" s="999" t="s">
        <v>789</v>
      </c>
      <c r="D40" s="718">
        <v>54710.828813947599</v>
      </c>
      <c r="E40" s="718">
        <v>61674.998544116803</v>
      </c>
      <c r="F40" s="719">
        <v>58138.604861915701</v>
      </c>
      <c r="G40" s="2061">
        <f t="shared" si="0"/>
        <v>0.48458861551292742</v>
      </c>
      <c r="H40" s="2059">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3" t="s">
        <v>790</v>
      </c>
      <c r="B1" s="2009" t="s">
        <v>539</v>
      </c>
      <c r="C1" s="2010" t="s">
        <v>791</v>
      </c>
      <c r="D1" s="2009" t="s">
        <v>538</v>
      </c>
      <c r="E1" s="2008" t="s">
        <v>792</v>
      </c>
      <c r="F1" s="2007" t="s">
        <v>793</v>
      </c>
      <c r="G1" s="2006" t="s">
        <v>794</v>
      </c>
      <c r="H1" s="2005" t="s">
        <v>795</v>
      </c>
      <c r="I1" s="2004" t="s">
        <v>796</v>
      </c>
      <c r="J1" s="2003" t="s">
        <v>797</v>
      </c>
      <c r="K1" s="2002" t="s">
        <v>798</v>
      </c>
      <c r="L1" s="2001" t="s">
        <v>799</v>
      </c>
      <c r="M1" s="2009" t="s">
        <v>800</v>
      </c>
      <c r="N1" s="2007" t="s">
        <v>801</v>
      </c>
      <c r="O1" s="2"/>
      <c r="P1" s="2609" t="s">
        <v>802</v>
      </c>
      <c r="Q1" s="2610"/>
      <c r="R1" s="2611"/>
    </row>
    <row r="2" spans="1:18" ht="28.2" customHeight="1" x14ac:dyDescent="0.3">
      <c r="A2" s="2000" t="s">
        <v>803</v>
      </c>
      <c r="B2" s="759">
        <f>D2-4</f>
        <v>2011</v>
      </c>
      <c r="C2" s="2025">
        <v>838</v>
      </c>
      <c r="D2" s="759">
        <v>2015</v>
      </c>
      <c r="E2" s="2024">
        <f>170+0</f>
        <v>170</v>
      </c>
      <c r="F2" s="1997">
        <v>0</v>
      </c>
      <c r="G2" s="1996">
        <v>8</v>
      </c>
      <c r="H2" s="1145">
        <v>8</v>
      </c>
      <c r="I2" s="1995">
        <f>AVERAGE(G2:H2)</f>
        <v>8</v>
      </c>
      <c r="J2" s="1994">
        <v>10000</v>
      </c>
      <c r="K2" s="1993">
        <v>14000</v>
      </c>
      <c r="L2" s="1992">
        <f>SUM(J2:K2)</f>
        <v>24000</v>
      </c>
      <c r="M2" s="2030">
        <v>0.82</v>
      </c>
      <c r="N2" s="2026">
        <v>0.9</v>
      </c>
      <c r="P2" s="2612" t="s">
        <v>804</v>
      </c>
      <c r="Q2" s="2613"/>
      <c r="R2" s="2614"/>
    </row>
    <row r="3" spans="1:18" ht="28.2" customHeight="1" x14ac:dyDescent="0.3">
      <c r="A3" s="2000" t="s">
        <v>803</v>
      </c>
      <c r="B3" s="760">
        <f>D3-4</f>
        <v>2012</v>
      </c>
      <c r="C3" s="2023">
        <v>869</v>
      </c>
      <c r="D3" s="760">
        <v>2016</v>
      </c>
      <c r="E3" s="2022">
        <f>380+241</f>
        <v>621</v>
      </c>
      <c r="F3" s="1997">
        <v>0.39</v>
      </c>
      <c r="G3" s="1996">
        <v>17</v>
      </c>
      <c r="H3" s="1145">
        <v>14</v>
      </c>
      <c r="I3" s="1995">
        <f>AVERAGE(G3:H3)</f>
        <v>15.5</v>
      </c>
      <c r="J3" s="1994">
        <v>55000</v>
      </c>
      <c r="K3" s="1993">
        <v>37000</v>
      </c>
      <c r="L3" s="1992">
        <f>SUM(J3:K3)</f>
        <v>92000</v>
      </c>
      <c r="M3" s="2028">
        <v>0.56000000000000005</v>
      </c>
      <c r="N3" s="2026">
        <v>0.82</v>
      </c>
      <c r="P3" s="2615" t="s">
        <v>805</v>
      </c>
      <c r="Q3" s="2616"/>
      <c r="R3" s="2617"/>
    </row>
    <row r="4" spans="1:18" ht="28.2" customHeight="1" thickBot="1" x14ac:dyDescent="0.35">
      <c r="A4" s="2021" t="s">
        <v>803</v>
      </c>
      <c r="B4" s="762">
        <f>D4-4</f>
        <v>2013</v>
      </c>
      <c r="C4" s="2020">
        <v>0</v>
      </c>
      <c r="D4" s="762">
        <v>2017</v>
      </c>
      <c r="E4" s="2019">
        <f>0+86</f>
        <v>86</v>
      </c>
      <c r="F4" s="2018">
        <v>1</v>
      </c>
      <c r="G4" s="2017">
        <v>19</v>
      </c>
      <c r="H4" s="2016">
        <v>11</v>
      </c>
      <c r="I4" s="2015">
        <f>AVERAGE(G4:H4)</f>
        <v>15</v>
      </c>
      <c r="J4" s="2014">
        <v>10000</v>
      </c>
      <c r="K4" s="2013">
        <v>27000</v>
      </c>
      <c r="L4" s="2012">
        <f>SUM(J4:K4)</f>
        <v>37000</v>
      </c>
      <c r="M4" s="2029">
        <v>0.55000000000000004</v>
      </c>
      <c r="N4" s="2027">
        <v>0.67</v>
      </c>
      <c r="P4" s="2618" t="s">
        <v>806</v>
      </c>
      <c r="Q4" s="2619"/>
      <c r="R4" s="2620"/>
    </row>
    <row r="5" spans="1:18" ht="15" thickBot="1" x14ac:dyDescent="0.35">
      <c r="B5" s="1271"/>
      <c r="C5" s="1271"/>
      <c r="P5" s="318"/>
      <c r="Q5" s="318"/>
      <c r="R5" s="318"/>
    </row>
    <row r="6" spans="1:18" s="664" customFormat="1" ht="43.8" thickBot="1" x14ac:dyDescent="0.35">
      <c r="A6" s="1943" t="s">
        <v>790</v>
      </c>
      <c r="B6" s="2011" t="s">
        <v>807</v>
      </c>
      <c r="C6" s="2010" t="s">
        <v>791</v>
      </c>
      <c r="D6" s="2009" t="s">
        <v>538</v>
      </c>
      <c r="E6" s="2008" t="s">
        <v>792</v>
      </c>
      <c r="F6" s="2007" t="s">
        <v>808</v>
      </c>
      <c r="G6" s="2006" t="s">
        <v>794</v>
      </c>
      <c r="H6" s="2005" t="s">
        <v>795</v>
      </c>
      <c r="I6" s="2004" t="s">
        <v>796</v>
      </c>
      <c r="J6" s="2003" t="s">
        <v>797</v>
      </c>
      <c r="K6" s="2002" t="s">
        <v>798</v>
      </c>
      <c r="L6" s="2001" t="s">
        <v>799</v>
      </c>
      <c r="M6" s="2009" t="s">
        <v>800</v>
      </c>
      <c r="N6" s="2007" t="s">
        <v>801</v>
      </c>
      <c r="O6" s="985"/>
      <c r="P6" s="2609" t="s">
        <v>802</v>
      </c>
      <c r="Q6" s="2610"/>
      <c r="R6" s="2611"/>
    </row>
    <row r="7" spans="1:18" ht="28.2" customHeight="1" x14ac:dyDescent="0.3">
      <c r="A7" s="2000" t="s">
        <v>809</v>
      </c>
      <c r="B7" s="759">
        <f t="shared" ref="B7:B13" si="0">D7-4</f>
        <v>2007</v>
      </c>
      <c r="C7" s="1999">
        <v>886</v>
      </c>
      <c r="D7" s="759">
        <v>2011</v>
      </c>
      <c r="E7" s="1998">
        <f>1103+18303</f>
        <v>19406</v>
      </c>
      <c r="F7" s="1997">
        <v>0.06</v>
      </c>
      <c r="G7" s="1996">
        <v>9</v>
      </c>
      <c r="H7" s="1145">
        <v>10</v>
      </c>
      <c r="I7" s="1995">
        <f t="shared" ref="I7:I13" si="1">AVERAGE(G7:H7)</f>
        <v>9.5</v>
      </c>
      <c r="J7" s="1994">
        <v>13000</v>
      </c>
      <c r="K7" s="1993">
        <v>23000</v>
      </c>
      <c r="L7" s="1992">
        <f t="shared" ref="L7:L13" si="2">SUM(J7:K7)</f>
        <v>36000</v>
      </c>
      <c r="M7" s="2030" t="s">
        <v>247</v>
      </c>
      <c r="N7" s="2026" t="s">
        <v>247</v>
      </c>
      <c r="O7" s="318"/>
      <c r="P7" s="2612" t="s">
        <v>810</v>
      </c>
      <c r="Q7" s="2613"/>
      <c r="R7" s="2614"/>
    </row>
    <row r="8" spans="1:18" ht="28.2" customHeight="1" x14ac:dyDescent="0.3">
      <c r="A8" s="1990" t="s">
        <v>809</v>
      </c>
      <c r="B8" s="760">
        <f t="shared" si="0"/>
        <v>2008</v>
      </c>
      <c r="C8" s="1989">
        <v>1614</v>
      </c>
      <c r="D8" s="760">
        <v>2012</v>
      </c>
      <c r="E8" s="1988">
        <f>6502+5287</f>
        <v>11789</v>
      </c>
      <c r="F8" s="1987">
        <v>0.25</v>
      </c>
      <c r="G8" s="1986">
        <v>15</v>
      </c>
      <c r="H8" s="459">
        <v>10</v>
      </c>
      <c r="I8" s="1985">
        <f t="shared" si="1"/>
        <v>12.5</v>
      </c>
      <c r="J8" s="1984">
        <v>94000</v>
      </c>
      <c r="K8" s="666">
        <v>11000</v>
      </c>
      <c r="L8" s="1983">
        <f t="shared" si="2"/>
        <v>105000</v>
      </c>
      <c r="M8" s="2028">
        <v>0.78</v>
      </c>
      <c r="N8" s="2026" t="s">
        <v>247</v>
      </c>
      <c r="P8" s="2615" t="s">
        <v>811</v>
      </c>
      <c r="Q8" s="2616"/>
      <c r="R8" s="2617"/>
    </row>
    <row r="9" spans="1:18" ht="28.2" customHeight="1" x14ac:dyDescent="0.3">
      <c r="A9" s="1991" t="s">
        <v>809</v>
      </c>
      <c r="B9" s="760">
        <f t="shared" si="0"/>
        <v>2010</v>
      </c>
      <c r="C9" s="1989">
        <v>900</v>
      </c>
      <c r="D9" s="760">
        <v>2014</v>
      </c>
      <c r="E9" s="1988">
        <f>3910+20284</f>
        <v>24194</v>
      </c>
      <c r="F9" s="1987">
        <v>0.16</v>
      </c>
      <c r="G9" s="1986">
        <v>11</v>
      </c>
      <c r="H9" s="459">
        <v>13</v>
      </c>
      <c r="I9" s="1985">
        <f t="shared" si="1"/>
        <v>12</v>
      </c>
      <c r="J9" s="1984">
        <v>147000</v>
      </c>
      <c r="K9" s="666">
        <v>50000</v>
      </c>
      <c r="L9" s="1983">
        <f t="shared" si="2"/>
        <v>197000</v>
      </c>
      <c r="M9" s="2028">
        <v>0.74</v>
      </c>
      <c r="N9" s="2031">
        <v>0.65</v>
      </c>
      <c r="P9" s="2615" t="s">
        <v>812</v>
      </c>
      <c r="Q9" s="2616"/>
      <c r="R9" s="2617"/>
    </row>
    <row r="10" spans="1:18" ht="28.2" customHeight="1" x14ac:dyDescent="0.3">
      <c r="A10" s="1990" t="s">
        <v>809</v>
      </c>
      <c r="B10" s="760">
        <f t="shared" si="0"/>
        <v>2014</v>
      </c>
      <c r="C10" s="1989">
        <v>1762</v>
      </c>
      <c r="D10" s="760">
        <v>2018</v>
      </c>
      <c r="E10" s="1988">
        <f>219+4710</f>
        <v>4929</v>
      </c>
      <c r="F10" s="1987">
        <v>0.04</v>
      </c>
      <c r="G10" s="1986">
        <v>11</v>
      </c>
      <c r="H10" s="459">
        <v>17</v>
      </c>
      <c r="I10" s="1985">
        <f t="shared" si="1"/>
        <v>14</v>
      </c>
      <c r="J10" s="1984">
        <v>31000</v>
      </c>
      <c r="K10" s="666">
        <v>42000</v>
      </c>
      <c r="L10" s="1983">
        <f t="shared" si="2"/>
        <v>73000</v>
      </c>
      <c r="M10" s="2028">
        <v>0.65</v>
      </c>
      <c r="N10" s="2031">
        <v>0.75</v>
      </c>
      <c r="P10" s="2615" t="s">
        <v>813</v>
      </c>
      <c r="Q10" s="2616"/>
      <c r="R10" s="2617"/>
    </row>
    <row r="11" spans="1:18" ht="28.2" customHeight="1" x14ac:dyDescent="0.3">
      <c r="A11" s="1990" t="s">
        <v>814</v>
      </c>
      <c r="B11" s="760">
        <f t="shared" si="0"/>
        <v>2015</v>
      </c>
      <c r="C11" s="1989">
        <v>368</v>
      </c>
      <c r="D11" s="760">
        <v>2019</v>
      </c>
      <c r="E11" s="1988">
        <f>543+4332</f>
        <v>4875</v>
      </c>
      <c r="F11" s="1987">
        <v>0.11</v>
      </c>
      <c r="G11" s="1986">
        <v>12</v>
      </c>
      <c r="H11" s="459">
        <v>12</v>
      </c>
      <c r="I11" s="1985">
        <f t="shared" si="1"/>
        <v>12</v>
      </c>
      <c r="J11" s="1984">
        <v>13000</v>
      </c>
      <c r="K11" s="666">
        <v>10000</v>
      </c>
      <c r="L11" s="1983">
        <f t="shared" si="2"/>
        <v>23000</v>
      </c>
      <c r="M11" s="2028">
        <v>0.59</v>
      </c>
      <c r="N11" s="2031">
        <v>0.4</v>
      </c>
      <c r="P11" s="2615" t="s">
        <v>815</v>
      </c>
      <c r="Q11" s="2616"/>
      <c r="R11" s="2617"/>
    </row>
    <row r="12" spans="1:18" ht="28.2" customHeight="1" x14ac:dyDescent="0.3">
      <c r="A12" s="1990" t="s">
        <v>816</v>
      </c>
      <c r="B12" s="760">
        <f t="shared" si="0"/>
        <v>2016</v>
      </c>
      <c r="C12" s="1989">
        <v>5177</v>
      </c>
      <c r="D12" s="760">
        <v>2020</v>
      </c>
      <c r="E12" s="1988">
        <f>1248+17096</f>
        <v>18344</v>
      </c>
      <c r="F12" s="1987">
        <v>7.0000000000000007E-2</v>
      </c>
      <c r="G12" s="1986">
        <v>18</v>
      </c>
      <c r="H12" s="459">
        <v>14</v>
      </c>
      <c r="I12" s="1985">
        <f t="shared" si="1"/>
        <v>16</v>
      </c>
      <c r="J12" s="1984">
        <v>48000</v>
      </c>
      <c r="K12" s="666">
        <v>40000</v>
      </c>
      <c r="L12" s="1983">
        <f t="shared" si="2"/>
        <v>88000</v>
      </c>
      <c r="M12" s="2028" t="s">
        <v>247</v>
      </c>
      <c r="N12" s="2031">
        <v>0.93</v>
      </c>
      <c r="P12" s="2615" t="s">
        <v>817</v>
      </c>
      <c r="Q12" s="2616"/>
      <c r="R12" s="2617"/>
    </row>
    <row r="13" spans="1:18" ht="28.2" customHeight="1" thickBot="1" x14ac:dyDescent="0.35">
      <c r="A13" s="1982" t="s">
        <v>818</v>
      </c>
      <c r="B13" s="762">
        <f t="shared" si="0"/>
        <v>2017</v>
      </c>
      <c r="C13" s="1981">
        <v>1233</v>
      </c>
      <c r="D13" s="762">
        <v>2021</v>
      </c>
      <c r="E13" s="1980">
        <f>692+1551</f>
        <v>2243</v>
      </c>
      <c r="F13" s="1979">
        <v>0.3</v>
      </c>
      <c r="G13" s="1978">
        <v>11</v>
      </c>
      <c r="H13" s="1977">
        <v>10</v>
      </c>
      <c r="I13" s="1976">
        <f t="shared" si="1"/>
        <v>10.5</v>
      </c>
      <c r="J13" s="1975">
        <v>10000</v>
      </c>
      <c r="K13" s="1974">
        <v>9000</v>
      </c>
      <c r="L13" s="1973">
        <f t="shared" si="2"/>
        <v>19000</v>
      </c>
      <c r="M13" s="2029" t="s">
        <v>247</v>
      </c>
      <c r="N13" s="2032">
        <v>1</v>
      </c>
      <c r="P13" s="2618" t="s">
        <v>819</v>
      </c>
      <c r="Q13" s="2619"/>
      <c r="R13" s="2620"/>
    </row>
  </sheetData>
  <mergeCells count="12">
    <mergeCell ref="P13:R13"/>
    <mergeCell ref="P6:R6"/>
    <mergeCell ref="P8:R8"/>
    <mergeCell ref="P9:R9"/>
    <mergeCell ref="P10:R10"/>
    <mergeCell ref="P11:R11"/>
    <mergeCell ref="P12:R12"/>
    <mergeCell ref="P1:R1"/>
    <mergeCell ref="P2:R2"/>
    <mergeCell ref="P3:R3"/>
    <mergeCell ref="P4:R4"/>
    <mergeCell ref="P7:R7"/>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2" activePane="bottomRight" state="frozen"/>
      <selection pane="topRight" activeCell="C15" sqref="C15"/>
      <selection pane="bottomLeft" activeCell="C15" sqref="C15"/>
      <selection pane="bottomRight" activeCell="C13" sqref="C13"/>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1" customFormat="1" ht="28.8" x14ac:dyDescent="0.3">
      <c r="A1" s="1266" t="s">
        <v>820</v>
      </c>
      <c r="B1" s="1267" t="s">
        <v>821</v>
      </c>
      <c r="C1" s="1268" t="s">
        <v>15</v>
      </c>
      <c r="D1" s="1268" t="s">
        <v>822</v>
      </c>
      <c r="E1" s="1268" t="s">
        <v>823</v>
      </c>
      <c r="F1" s="1268" t="s">
        <v>824</v>
      </c>
      <c r="G1" s="1268" t="s">
        <v>825</v>
      </c>
      <c r="H1" s="1268" t="s">
        <v>826</v>
      </c>
      <c r="I1" s="1567" t="s">
        <v>827</v>
      </c>
      <c r="J1" s="1567" t="s">
        <v>828</v>
      </c>
      <c r="K1" s="1567" t="s">
        <v>829</v>
      </c>
      <c r="L1" s="1567" t="s">
        <v>830</v>
      </c>
      <c r="M1" s="1269" t="s">
        <v>831</v>
      </c>
      <c r="N1" s="1269" t="s">
        <v>832</v>
      </c>
      <c r="O1" s="1269" t="s">
        <v>833</v>
      </c>
      <c r="P1" s="1269" t="s">
        <v>834</v>
      </c>
      <c r="Q1" s="1270" t="s">
        <v>835</v>
      </c>
    </row>
    <row r="2" spans="1:17" s="1271" customFormat="1" x14ac:dyDescent="0.3">
      <c r="A2" s="1844" t="s">
        <v>836</v>
      </c>
      <c r="B2" s="1844" t="s">
        <v>837</v>
      </c>
      <c r="C2" s="1845">
        <v>2000</v>
      </c>
      <c r="D2" s="1786"/>
      <c r="E2" s="1728">
        <v>21926</v>
      </c>
      <c r="F2" s="1786"/>
      <c r="G2" s="1833">
        <v>4.0000000000000001E-3</v>
      </c>
      <c r="H2" s="1841">
        <v>88</v>
      </c>
      <c r="I2" s="1787"/>
      <c r="J2" s="1787"/>
      <c r="K2" s="1787"/>
      <c r="L2" s="1787"/>
      <c r="M2" s="1832">
        <v>21838</v>
      </c>
      <c r="N2" s="1832">
        <v>0</v>
      </c>
      <c r="O2" s="1832">
        <v>21838</v>
      </c>
      <c r="P2" s="1832">
        <v>0</v>
      </c>
      <c r="Q2" s="1833">
        <f t="shared" ref="Q2:Q9" si="0">IF(ISNUMBER(N2),N2/M2,"")</f>
        <v>0</v>
      </c>
    </row>
    <row r="3" spans="1:17" s="1271" customFormat="1" x14ac:dyDescent="0.3">
      <c r="A3" s="1844" t="s">
        <v>836</v>
      </c>
      <c r="B3" s="1844" t="s">
        <v>837</v>
      </c>
      <c r="C3" s="1845">
        <v>2001</v>
      </c>
      <c r="D3" s="1786"/>
      <c r="E3" s="1728">
        <v>39378</v>
      </c>
      <c r="F3" s="1786"/>
      <c r="G3" s="1833">
        <v>8.9999999999999993E-3</v>
      </c>
      <c r="H3" s="1841">
        <v>354</v>
      </c>
      <c r="I3" s="1787"/>
      <c r="J3" s="1787"/>
      <c r="K3" s="1787"/>
      <c r="L3" s="1787"/>
      <c r="M3" s="1832">
        <v>39024</v>
      </c>
      <c r="N3" s="1832">
        <v>0</v>
      </c>
      <c r="O3" s="1832">
        <v>39024</v>
      </c>
      <c r="P3" s="1832">
        <v>0</v>
      </c>
      <c r="Q3" s="1833">
        <f t="shared" si="0"/>
        <v>0</v>
      </c>
    </row>
    <row r="4" spans="1:17" s="1271" customFormat="1" x14ac:dyDescent="0.3">
      <c r="A4" s="1844" t="s">
        <v>836</v>
      </c>
      <c r="B4" s="1844" t="s">
        <v>837</v>
      </c>
      <c r="C4" s="1845">
        <v>2002</v>
      </c>
      <c r="D4" s="1786"/>
      <c r="E4" s="1728">
        <v>4904</v>
      </c>
      <c r="F4" s="1786"/>
      <c r="G4" s="1833">
        <v>0.27400000000000002</v>
      </c>
      <c r="H4" s="1841">
        <v>1344</v>
      </c>
      <c r="I4" s="1787"/>
      <c r="J4" s="1787"/>
      <c r="K4" s="1787"/>
      <c r="L4" s="1787"/>
      <c r="M4" s="1832">
        <v>3560</v>
      </c>
      <c r="N4" s="1832">
        <v>0</v>
      </c>
      <c r="O4" s="1832">
        <v>3560</v>
      </c>
      <c r="P4" s="1832">
        <v>0</v>
      </c>
      <c r="Q4" s="1833">
        <f t="shared" si="0"/>
        <v>0</v>
      </c>
    </row>
    <row r="5" spans="1:17" s="1271" customFormat="1" x14ac:dyDescent="0.3">
      <c r="A5" s="1844" t="s">
        <v>836</v>
      </c>
      <c r="B5" s="1844" t="s">
        <v>837</v>
      </c>
      <c r="C5" s="1845">
        <v>2003</v>
      </c>
      <c r="D5" s="1786"/>
      <c r="E5" s="1728">
        <v>17753</v>
      </c>
      <c r="F5" s="1786"/>
      <c r="G5" s="1833">
        <v>0</v>
      </c>
      <c r="H5" s="1841">
        <v>0</v>
      </c>
      <c r="I5" s="1787"/>
      <c r="J5" s="1787"/>
      <c r="K5" s="1787"/>
      <c r="L5" s="1787"/>
      <c r="M5" s="1832">
        <v>17753</v>
      </c>
      <c r="N5" s="1832">
        <v>0</v>
      </c>
      <c r="O5" s="1832">
        <v>17753</v>
      </c>
      <c r="P5" s="1832">
        <v>0</v>
      </c>
      <c r="Q5" s="1833">
        <f t="shared" si="0"/>
        <v>0</v>
      </c>
    </row>
    <row r="6" spans="1:17" s="1271" customFormat="1" x14ac:dyDescent="0.3">
      <c r="A6" s="1844" t="s">
        <v>836</v>
      </c>
      <c r="B6" s="1844" t="s">
        <v>837</v>
      </c>
      <c r="C6" s="1845">
        <v>2004</v>
      </c>
      <c r="D6" s="1786"/>
      <c r="E6" s="1728">
        <v>41791</v>
      </c>
      <c r="F6" s="1786"/>
      <c r="G6" s="1833">
        <v>0</v>
      </c>
      <c r="H6" s="1841">
        <v>0</v>
      </c>
      <c r="I6" s="1787"/>
      <c r="J6" s="1787"/>
      <c r="K6" s="1787"/>
      <c r="L6" s="1787"/>
      <c r="M6" s="1832">
        <v>41791</v>
      </c>
      <c r="N6" s="1832">
        <v>0</v>
      </c>
      <c r="O6" s="1832">
        <v>41791</v>
      </c>
      <c r="P6" s="1832">
        <v>0</v>
      </c>
      <c r="Q6" s="1833">
        <f t="shared" si="0"/>
        <v>0</v>
      </c>
    </row>
    <row r="7" spans="1:17" s="1271" customFormat="1" x14ac:dyDescent="0.3">
      <c r="A7" s="1844" t="s">
        <v>836</v>
      </c>
      <c r="B7" s="1844" t="s">
        <v>837</v>
      </c>
      <c r="C7" s="1845">
        <v>2005</v>
      </c>
      <c r="D7" s="1786"/>
      <c r="E7" s="1728">
        <v>31260</v>
      </c>
      <c r="F7" s="1786"/>
      <c r="G7" s="1833">
        <v>0</v>
      </c>
      <c r="H7" s="1841">
        <v>0</v>
      </c>
      <c r="I7" s="1787"/>
      <c r="J7" s="1787"/>
      <c r="K7" s="1787"/>
      <c r="L7" s="1787"/>
      <c r="M7" s="1832">
        <v>31260</v>
      </c>
      <c r="N7" s="1832">
        <v>0</v>
      </c>
      <c r="O7" s="1832">
        <v>31260</v>
      </c>
      <c r="P7" s="1832">
        <v>0</v>
      </c>
      <c r="Q7" s="1833">
        <f t="shared" si="0"/>
        <v>0</v>
      </c>
    </row>
    <row r="8" spans="1:17" s="1271" customFormat="1" x14ac:dyDescent="0.3">
      <c r="A8" s="1844" t="s">
        <v>836</v>
      </c>
      <c r="B8" s="1844" t="s">
        <v>837</v>
      </c>
      <c r="C8" s="1845">
        <v>2006</v>
      </c>
      <c r="D8" s="1786"/>
      <c r="E8" s="1728">
        <v>20819</v>
      </c>
      <c r="F8" s="1786"/>
      <c r="G8" s="1833">
        <v>0</v>
      </c>
      <c r="H8" s="1841">
        <v>0</v>
      </c>
      <c r="I8" s="1787"/>
      <c r="J8" s="1787"/>
      <c r="K8" s="1787"/>
      <c r="L8" s="1787"/>
      <c r="M8" s="1832">
        <v>20819</v>
      </c>
      <c r="N8" s="1832">
        <v>0</v>
      </c>
      <c r="O8" s="1832">
        <v>20819</v>
      </c>
      <c r="P8" s="1832">
        <v>0</v>
      </c>
      <c r="Q8" s="1833">
        <f t="shared" si="0"/>
        <v>0</v>
      </c>
    </row>
    <row r="9" spans="1:17" s="1271" customFormat="1" x14ac:dyDescent="0.3">
      <c r="A9" s="1844" t="s">
        <v>836</v>
      </c>
      <c r="B9" s="1844" t="s">
        <v>837</v>
      </c>
      <c r="C9" s="1845">
        <v>2007</v>
      </c>
      <c r="D9" s="1786"/>
      <c r="E9" s="1728">
        <v>13490</v>
      </c>
      <c r="F9" s="1786"/>
      <c r="G9" s="1833">
        <v>0</v>
      </c>
      <c r="H9" s="1841">
        <v>0</v>
      </c>
      <c r="I9" s="1787"/>
      <c r="J9" s="1787"/>
      <c r="K9" s="1787"/>
      <c r="L9" s="1787"/>
      <c r="M9" s="1832">
        <v>13490</v>
      </c>
      <c r="N9" s="1832">
        <v>1619</v>
      </c>
      <c r="O9" s="1832">
        <v>11871</v>
      </c>
      <c r="P9" s="1832">
        <v>1619</v>
      </c>
      <c r="Q9" s="1833">
        <f t="shared" si="0"/>
        <v>0.12001482579688658</v>
      </c>
    </row>
    <row r="10" spans="1:17" ht="28.8" x14ac:dyDescent="0.3">
      <c r="A10" s="1844" t="s">
        <v>836</v>
      </c>
      <c r="B10" s="1844" t="s">
        <v>837</v>
      </c>
      <c r="C10" s="1845">
        <v>2008</v>
      </c>
      <c r="D10" s="1572">
        <v>12396693</v>
      </c>
      <c r="E10" s="1728">
        <v>126972</v>
      </c>
      <c r="F10" s="1572">
        <v>2517</v>
      </c>
      <c r="G10" s="1833">
        <f t="shared" ref="G10:G61" si="1">IF(ISNUMBER(H10),H10/E10,"")</f>
        <v>0</v>
      </c>
      <c r="H10" s="1841">
        <f t="shared" ref="H10:H61" si="2">IF(ISTEXT(I10),_xlfn.NUMBERVALUE((LEFT(I10,FIND("(",I10)-2))),"")</f>
        <v>0</v>
      </c>
      <c r="I10" s="1730" t="s">
        <v>838</v>
      </c>
      <c r="J10" s="1730" t="s">
        <v>839</v>
      </c>
      <c r="K10" s="1730" t="s">
        <v>840</v>
      </c>
      <c r="L10" s="1730" t="s">
        <v>841</v>
      </c>
      <c r="M10" s="1832">
        <f t="shared" ref="M10:O39" si="3">IF(ISTEXT(J10),_xlfn.NUMBERVALUE((LEFT(J10,FIND("(",J10)-2))),"")</f>
        <v>126972</v>
      </c>
      <c r="N10" s="1832">
        <f t="shared" si="3"/>
        <v>7999</v>
      </c>
      <c r="O10" s="1832">
        <f t="shared" si="3"/>
        <v>118973</v>
      </c>
      <c r="P10" s="1832">
        <f t="shared" ref="P10:P24" si="4">N10</f>
        <v>7999</v>
      </c>
      <c r="Q10" s="1833">
        <f t="shared" ref="Q10:Q24" si="5">IF(ISNUMBER(N10),N10/M10,"")</f>
        <v>6.2998141322496301E-2</v>
      </c>
    </row>
    <row r="11" spans="1:17" ht="28.8" x14ac:dyDescent="0.3">
      <c r="A11" s="1846" t="s">
        <v>836</v>
      </c>
      <c r="B11" s="1844" t="s">
        <v>837</v>
      </c>
      <c r="C11" s="1845">
        <v>2009</v>
      </c>
      <c r="D11" s="1572">
        <v>704968</v>
      </c>
      <c r="E11" s="1728">
        <v>64088</v>
      </c>
      <c r="F11" s="1572">
        <v>1762</v>
      </c>
      <c r="G11" s="1833">
        <f t="shared" si="1"/>
        <v>9.9862688802896012E-4</v>
      </c>
      <c r="H11" s="1841">
        <f t="shared" si="2"/>
        <v>64</v>
      </c>
      <c r="I11" s="1730" t="s">
        <v>842</v>
      </c>
      <c r="J11" s="1730" t="s">
        <v>843</v>
      </c>
      <c r="K11" s="1730" t="s">
        <v>844</v>
      </c>
      <c r="L11" s="1730" t="s">
        <v>845</v>
      </c>
      <c r="M11" s="1832">
        <f t="shared" si="3"/>
        <v>64024</v>
      </c>
      <c r="N11" s="1832">
        <f t="shared" si="3"/>
        <v>7107</v>
      </c>
      <c r="O11" s="1832">
        <f t="shared" si="3"/>
        <v>56917</v>
      </c>
      <c r="P11" s="1832">
        <f t="shared" si="4"/>
        <v>7107</v>
      </c>
      <c r="Q11" s="1834">
        <f t="shared" si="5"/>
        <v>0.11100524803198801</v>
      </c>
    </row>
    <row r="12" spans="1:17" ht="28.8" x14ac:dyDescent="0.3">
      <c r="A12" s="1846" t="s">
        <v>836</v>
      </c>
      <c r="B12" s="1844" t="s">
        <v>837</v>
      </c>
      <c r="C12" s="1845">
        <v>2010</v>
      </c>
      <c r="D12" s="1572">
        <v>2007362</v>
      </c>
      <c r="E12" s="1728">
        <v>182487</v>
      </c>
      <c r="F12" s="1572">
        <v>2635</v>
      </c>
      <c r="G12" s="1833">
        <v>2E-3</v>
      </c>
      <c r="H12" s="1841">
        <f t="shared" si="2"/>
        <v>365</v>
      </c>
      <c r="I12" s="1730" t="s">
        <v>846</v>
      </c>
      <c r="J12" s="1730" t="s">
        <v>847</v>
      </c>
      <c r="K12" s="1730" t="s">
        <v>848</v>
      </c>
      <c r="L12" s="1730" t="s">
        <v>849</v>
      </c>
      <c r="M12" s="1832">
        <f t="shared" si="3"/>
        <v>182122</v>
      </c>
      <c r="N12" s="1832">
        <f t="shared" si="3"/>
        <v>5646</v>
      </c>
      <c r="O12" s="1832">
        <f t="shared" si="3"/>
        <v>176476</v>
      </c>
      <c r="P12" s="1832">
        <f t="shared" si="4"/>
        <v>5646</v>
      </c>
      <c r="Q12" s="1834">
        <f t="shared" si="5"/>
        <v>3.100119699981331E-2</v>
      </c>
    </row>
    <row r="13" spans="1:17" ht="28.8" x14ac:dyDescent="0.3">
      <c r="A13" s="1847" t="s">
        <v>836</v>
      </c>
      <c r="B13" s="1848" t="s">
        <v>837</v>
      </c>
      <c r="C13" s="1849">
        <v>2011</v>
      </c>
      <c r="D13" s="1782"/>
      <c r="E13" s="1788">
        <f>M13+H13</f>
        <v>11028.4</v>
      </c>
      <c r="F13" s="1789">
        <v>1966</v>
      </c>
      <c r="G13" s="1842">
        <v>6.0000000000000001E-3</v>
      </c>
      <c r="H13" s="1843">
        <f t="shared" si="2"/>
        <v>215.4</v>
      </c>
      <c r="I13" s="1790" t="s">
        <v>850</v>
      </c>
      <c r="J13" s="1790" t="s">
        <v>851</v>
      </c>
      <c r="K13" s="1790" t="s">
        <v>852</v>
      </c>
      <c r="L13" s="1790" t="s">
        <v>853</v>
      </c>
      <c r="M13" s="1835">
        <f>35900-M41-M28</f>
        <v>10813</v>
      </c>
      <c r="N13" s="1835">
        <f>M13*0.041</f>
        <v>443.33300000000003</v>
      </c>
      <c r="O13" s="1835">
        <f>M13*0.959</f>
        <v>10369.666999999999</v>
      </c>
      <c r="P13" s="1835">
        <f t="shared" si="4"/>
        <v>443.33300000000003</v>
      </c>
      <c r="Q13" s="1836">
        <f t="shared" si="5"/>
        <v>4.1000000000000002E-2</v>
      </c>
    </row>
    <row r="14" spans="1:17" ht="28.8" x14ac:dyDescent="0.3">
      <c r="A14" s="1846" t="s">
        <v>836</v>
      </c>
      <c r="B14" s="1844" t="s">
        <v>837</v>
      </c>
      <c r="C14" s="1845">
        <v>2012</v>
      </c>
      <c r="D14" s="1572">
        <v>999484</v>
      </c>
      <c r="E14" s="1728">
        <v>90862</v>
      </c>
      <c r="F14" s="1572">
        <v>2457</v>
      </c>
      <c r="G14" s="1833">
        <f t="shared" si="1"/>
        <v>0</v>
      </c>
      <c r="H14" s="1841">
        <f t="shared" si="2"/>
        <v>0</v>
      </c>
      <c r="I14" s="1730" t="s">
        <v>838</v>
      </c>
      <c r="J14" s="1730" t="s">
        <v>854</v>
      </c>
      <c r="K14" s="1730" t="s">
        <v>855</v>
      </c>
      <c r="L14" s="1730" t="s">
        <v>856</v>
      </c>
      <c r="M14" s="1832">
        <f t="shared" si="3"/>
        <v>90862</v>
      </c>
      <c r="N14" s="1832">
        <f t="shared" si="3"/>
        <v>1817</v>
      </c>
      <c r="O14" s="1832">
        <f t="shared" si="3"/>
        <v>89045</v>
      </c>
      <c r="P14" s="1832">
        <f t="shared" si="4"/>
        <v>1817</v>
      </c>
      <c r="Q14" s="1834">
        <f t="shared" si="5"/>
        <v>1.9997358631771257E-2</v>
      </c>
    </row>
    <row r="15" spans="1:17" ht="28.8" x14ac:dyDescent="0.3">
      <c r="A15" s="1846" t="s">
        <v>836</v>
      </c>
      <c r="B15" s="1844" t="s">
        <v>837</v>
      </c>
      <c r="C15" s="1845">
        <v>2013</v>
      </c>
      <c r="D15" s="1572">
        <v>378835</v>
      </c>
      <c r="E15" s="1728">
        <v>34440</v>
      </c>
      <c r="F15" s="1572">
        <v>1817</v>
      </c>
      <c r="G15" s="1833">
        <f t="shared" si="1"/>
        <v>1.8002322880371662E-2</v>
      </c>
      <c r="H15" s="1841">
        <f t="shared" si="2"/>
        <v>620</v>
      </c>
      <c r="I15" s="1730" t="s">
        <v>857</v>
      </c>
      <c r="J15" s="1730" t="s">
        <v>858</v>
      </c>
      <c r="K15" s="1730" t="s">
        <v>859</v>
      </c>
      <c r="L15" s="1730" t="s">
        <v>860</v>
      </c>
      <c r="M15" s="1832">
        <f t="shared" si="3"/>
        <v>33820</v>
      </c>
      <c r="N15" s="1832">
        <f t="shared" si="3"/>
        <v>4870</v>
      </c>
      <c r="O15" s="1832">
        <f t="shared" si="3"/>
        <v>28950</v>
      </c>
      <c r="P15" s="1832">
        <f t="shared" si="4"/>
        <v>4870</v>
      </c>
      <c r="Q15" s="1834">
        <f t="shared" si="5"/>
        <v>0.14399763453577766</v>
      </c>
    </row>
    <row r="16" spans="1:17" ht="28.8" x14ac:dyDescent="0.3">
      <c r="A16" s="1846" t="s">
        <v>836</v>
      </c>
      <c r="B16" s="1844" t="s">
        <v>837</v>
      </c>
      <c r="C16" s="1845">
        <v>2014</v>
      </c>
      <c r="D16" s="1572">
        <v>1597267</v>
      </c>
      <c r="E16" s="1728">
        <v>145206</v>
      </c>
      <c r="F16" s="1572">
        <v>3711</v>
      </c>
      <c r="G16" s="1833">
        <f t="shared" si="1"/>
        <v>0</v>
      </c>
      <c r="H16" s="1841">
        <f t="shared" si="2"/>
        <v>0</v>
      </c>
      <c r="I16" s="1730" t="s">
        <v>838</v>
      </c>
      <c r="J16" s="1730" t="s">
        <v>861</v>
      </c>
      <c r="K16" s="1730" t="s">
        <v>862</v>
      </c>
      <c r="L16" s="1730" t="s">
        <v>863</v>
      </c>
      <c r="M16" s="1832">
        <f t="shared" si="3"/>
        <v>145206</v>
      </c>
      <c r="N16" s="1832">
        <f t="shared" si="3"/>
        <v>3775</v>
      </c>
      <c r="O16" s="1832">
        <f t="shared" si="3"/>
        <v>141431</v>
      </c>
      <c r="P16" s="1832">
        <f t="shared" si="4"/>
        <v>3775</v>
      </c>
      <c r="Q16" s="1834">
        <f t="shared" si="5"/>
        <v>2.5997548310675866E-2</v>
      </c>
    </row>
    <row r="17" spans="1:20" ht="28.8" x14ac:dyDescent="0.3">
      <c r="A17" s="1846" t="s">
        <v>836</v>
      </c>
      <c r="B17" s="1844" t="s">
        <v>837</v>
      </c>
      <c r="C17" s="1845">
        <v>2015</v>
      </c>
      <c r="D17" s="1572">
        <v>112809</v>
      </c>
      <c r="E17" s="1728">
        <v>10255</v>
      </c>
      <c r="F17" s="1572">
        <v>528</v>
      </c>
      <c r="G17" s="1833">
        <f t="shared" si="1"/>
        <v>0</v>
      </c>
      <c r="H17" s="1841">
        <f t="shared" si="2"/>
        <v>0</v>
      </c>
      <c r="I17" s="1730" t="s">
        <v>838</v>
      </c>
      <c r="J17" s="1730" t="s">
        <v>864</v>
      </c>
      <c r="K17" s="1730" t="s">
        <v>865</v>
      </c>
      <c r="L17" s="1730" t="s">
        <v>866</v>
      </c>
      <c r="M17" s="1832">
        <f t="shared" si="3"/>
        <v>10255</v>
      </c>
      <c r="N17" s="1832">
        <f t="shared" si="3"/>
        <v>164</v>
      </c>
      <c r="O17" s="1832">
        <f t="shared" si="3"/>
        <v>10091</v>
      </c>
      <c r="P17" s="1832">
        <f t="shared" si="4"/>
        <v>164</v>
      </c>
      <c r="Q17" s="1834">
        <f t="shared" si="5"/>
        <v>1.599219892735251E-2</v>
      </c>
    </row>
    <row r="18" spans="1:20" ht="28.8" x14ac:dyDescent="0.3">
      <c r="A18" s="1846" t="s">
        <v>836</v>
      </c>
      <c r="B18" s="1844" t="s">
        <v>837</v>
      </c>
      <c r="C18" s="1845">
        <v>2016</v>
      </c>
      <c r="D18" s="1572">
        <v>600096</v>
      </c>
      <c r="E18" s="1728">
        <v>54554</v>
      </c>
      <c r="F18" s="1572">
        <v>1202</v>
      </c>
      <c r="G18" s="1833">
        <f t="shared" si="1"/>
        <v>5.0042160061590348E-3</v>
      </c>
      <c r="H18" s="1841">
        <f t="shared" si="2"/>
        <v>273</v>
      </c>
      <c r="I18" s="1730" t="s">
        <v>867</v>
      </c>
      <c r="J18" s="1730" t="s">
        <v>868</v>
      </c>
      <c r="K18" s="1730" t="s">
        <v>869</v>
      </c>
      <c r="L18" s="1730" t="s">
        <v>870</v>
      </c>
      <c r="M18" s="1832">
        <f t="shared" si="3"/>
        <v>54281</v>
      </c>
      <c r="N18" s="1832">
        <f t="shared" si="3"/>
        <v>380</v>
      </c>
      <c r="O18" s="1832">
        <f t="shared" si="3"/>
        <v>53901</v>
      </c>
      <c r="P18" s="1832">
        <f t="shared" si="4"/>
        <v>380</v>
      </c>
      <c r="Q18" s="1834">
        <f t="shared" si="5"/>
        <v>7.000607947532286E-3</v>
      </c>
    </row>
    <row r="19" spans="1:20" ht="28.8" x14ac:dyDescent="0.3">
      <c r="A19" s="1846" t="s">
        <v>836</v>
      </c>
      <c r="B19" s="1844" t="s">
        <v>837</v>
      </c>
      <c r="C19" s="1845">
        <v>2017</v>
      </c>
      <c r="D19" s="1572">
        <v>110361</v>
      </c>
      <c r="E19" s="1728">
        <v>10033</v>
      </c>
      <c r="F19" s="1572">
        <v>899</v>
      </c>
      <c r="G19" s="1833">
        <f t="shared" si="1"/>
        <v>1.3953951958536829E-2</v>
      </c>
      <c r="H19" s="1841">
        <f t="shared" si="2"/>
        <v>140</v>
      </c>
      <c r="I19" s="1730" t="s">
        <v>871</v>
      </c>
      <c r="J19" s="1730" t="s">
        <v>872</v>
      </c>
      <c r="K19" s="1730" t="s">
        <v>838</v>
      </c>
      <c r="L19" s="1730" t="s">
        <v>873</v>
      </c>
      <c r="M19" s="1832">
        <f t="shared" si="3"/>
        <v>9893</v>
      </c>
      <c r="N19" s="1832">
        <f t="shared" si="3"/>
        <v>0</v>
      </c>
      <c r="O19" s="1832">
        <f t="shared" si="3"/>
        <v>9893</v>
      </c>
      <c r="P19" s="1832">
        <f t="shared" si="4"/>
        <v>0</v>
      </c>
      <c r="Q19" s="1834">
        <v>0</v>
      </c>
    </row>
    <row r="20" spans="1:20" ht="28.8" x14ac:dyDescent="0.3">
      <c r="A20" s="1846" t="s">
        <v>836</v>
      </c>
      <c r="B20" s="1844" t="s">
        <v>837</v>
      </c>
      <c r="C20" s="1845">
        <v>2018</v>
      </c>
      <c r="D20" s="1572">
        <v>338305</v>
      </c>
      <c r="E20" s="1728">
        <v>30755</v>
      </c>
      <c r="F20" s="1572">
        <v>1238</v>
      </c>
      <c r="G20" s="1833">
        <f t="shared" si="1"/>
        <v>0</v>
      </c>
      <c r="H20" s="1841">
        <f t="shared" si="2"/>
        <v>0</v>
      </c>
      <c r="I20" s="1730" t="s">
        <v>838</v>
      </c>
      <c r="J20" s="1730" t="s">
        <v>874</v>
      </c>
      <c r="K20" s="1730" t="s">
        <v>875</v>
      </c>
      <c r="L20" s="1730" t="s">
        <v>876</v>
      </c>
      <c r="M20" s="1832">
        <f t="shared" si="3"/>
        <v>30755</v>
      </c>
      <c r="N20" s="1832">
        <f t="shared" si="3"/>
        <v>215</v>
      </c>
      <c r="O20" s="1832">
        <f t="shared" si="3"/>
        <v>30540</v>
      </c>
      <c r="P20" s="1832">
        <f t="shared" si="4"/>
        <v>215</v>
      </c>
      <c r="Q20" s="1834">
        <f t="shared" si="5"/>
        <v>6.990733214111527E-3</v>
      </c>
    </row>
    <row r="21" spans="1:20" ht="28.8" x14ac:dyDescent="0.3">
      <c r="A21" s="1846" t="s">
        <v>836</v>
      </c>
      <c r="B21" s="1844" t="s">
        <v>837</v>
      </c>
      <c r="C21" s="1845">
        <v>2019</v>
      </c>
      <c r="D21" s="1572">
        <v>143627</v>
      </c>
      <c r="E21" s="1728">
        <v>13057</v>
      </c>
      <c r="F21" s="1572">
        <v>487</v>
      </c>
      <c r="G21" s="1833">
        <f t="shared" si="1"/>
        <v>1.1028567052155932E-2</v>
      </c>
      <c r="H21" s="1841">
        <f t="shared" si="2"/>
        <v>144</v>
      </c>
      <c r="I21" s="1730" t="s">
        <v>877</v>
      </c>
      <c r="J21" s="1730" t="s">
        <v>878</v>
      </c>
      <c r="K21" s="1730"/>
      <c r="L21" s="1730"/>
      <c r="M21" s="1832">
        <f t="shared" si="3"/>
        <v>12913</v>
      </c>
      <c r="N21" s="1837">
        <f>M21*Q21</f>
        <v>542.99164999999994</v>
      </c>
      <c r="O21" s="1837">
        <f>M21-N21</f>
        <v>12370.00835</v>
      </c>
      <c r="P21" s="1837">
        <f t="shared" si="4"/>
        <v>542.99164999999994</v>
      </c>
      <c r="Q21" s="1838">
        <v>4.2049999999999997E-2</v>
      </c>
      <c r="R21" s="1732" t="s">
        <v>879</v>
      </c>
    </row>
    <row r="22" spans="1:20" ht="28.8" x14ac:dyDescent="0.3">
      <c r="A22" s="1846" t="s">
        <v>836</v>
      </c>
      <c r="B22" s="1844" t="s">
        <v>837</v>
      </c>
      <c r="C22" s="1845">
        <v>2020</v>
      </c>
      <c r="D22" s="1709">
        <v>513667</v>
      </c>
      <c r="E22" s="1729">
        <v>46697</v>
      </c>
      <c r="F22" s="1709">
        <v>1364</v>
      </c>
      <c r="G22" s="1833">
        <f t="shared" si="1"/>
        <v>4.0045399062038243E-3</v>
      </c>
      <c r="H22" s="1841">
        <f t="shared" si="2"/>
        <v>187</v>
      </c>
      <c r="I22" s="1731" t="s">
        <v>880</v>
      </c>
      <c r="J22" s="1731" t="s">
        <v>881</v>
      </c>
      <c r="K22" s="1731" t="s">
        <v>882</v>
      </c>
      <c r="L22" s="1731" t="s">
        <v>883</v>
      </c>
      <c r="M22" s="1832">
        <f t="shared" si="3"/>
        <v>46510</v>
      </c>
      <c r="N22" s="1832">
        <f t="shared" si="3"/>
        <v>1209</v>
      </c>
      <c r="O22" s="1832">
        <f t="shared" si="3"/>
        <v>45301</v>
      </c>
      <c r="P22" s="1832">
        <f t="shared" si="4"/>
        <v>1209</v>
      </c>
      <c r="Q22" s="1834">
        <f t="shared" si="5"/>
        <v>2.5994409804343151E-2</v>
      </c>
    </row>
    <row r="23" spans="1:20" ht="28.8" x14ac:dyDescent="0.3">
      <c r="A23" s="1846" t="s">
        <v>836</v>
      </c>
      <c r="B23" s="1844" t="s">
        <v>837</v>
      </c>
      <c r="C23" s="1845">
        <v>2021</v>
      </c>
      <c r="D23" s="1572">
        <v>117260</v>
      </c>
      <c r="E23" s="1728">
        <v>10660</v>
      </c>
      <c r="F23" s="1572">
        <v>806</v>
      </c>
      <c r="G23" s="1833">
        <f t="shared" si="1"/>
        <v>1.9043151969981239E-2</v>
      </c>
      <c r="H23" s="1841">
        <f t="shared" si="2"/>
        <v>203</v>
      </c>
      <c r="I23" s="1730" t="s">
        <v>884</v>
      </c>
      <c r="J23" s="1730" t="s">
        <v>885</v>
      </c>
      <c r="K23" s="1730" t="s">
        <v>886</v>
      </c>
      <c r="L23" s="1730" t="s">
        <v>887</v>
      </c>
      <c r="M23" s="1832">
        <f t="shared" si="3"/>
        <v>10457</v>
      </c>
      <c r="N23" s="1832">
        <f t="shared" si="3"/>
        <v>690</v>
      </c>
      <c r="O23" s="1832">
        <f t="shared" si="3"/>
        <v>9767</v>
      </c>
      <c r="P23" s="1832">
        <f t="shared" si="4"/>
        <v>690</v>
      </c>
      <c r="Q23" s="1834">
        <f t="shared" si="5"/>
        <v>6.5984507985081764E-2</v>
      </c>
    </row>
    <row r="24" spans="1:20" ht="28.5" customHeight="1" thickBot="1" x14ac:dyDescent="0.35">
      <c r="A24" s="1844" t="s">
        <v>836</v>
      </c>
      <c r="B24" s="1844" t="s">
        <v>837</v>
      </c>
      <c r="C24" s="1845">
        <v>2022</v>
      </c>
      <c r="D24" s="1572">
        <v>821695</v>
      </c>
      <c r="E24" s="1572">
        <v>74700</v>
      </c>
      <c r="F24" s="1572"/>
      <c r="G24" s="2244" t="str">
        <f t="shared" si="1"/>
        <v/>
      </c>
      <c r="H24" s="2245" t="str">
        <f t="shared" si="2"/>
        <v/>
      </c>
      <c r="I24" s="2246"/>
      <c r="J24" s="2246"/>
      <c r="K24" s="2246"/>
      <c r="L24" s="2246"/>
      <c r="M24" s="2247" t="str">
        <f t="shared" si="3"/>
        <v/>
      </c>
      <c r="N24" s="2247" t="str">
        <f t="shared" si="3"/>
        <v/>
      </c>
      <c r="O24" s="2247" t="str">
        <f t="shared" si="3"/>
        <v/>
      </c>
      <c r="P24" s="1839" t="str">
        <f t="shared" si="4"/>
        <v/>
      </c>
      <c r="Q24" s="1840" t="str">
        <f t="shared" si="5"/>
        <v/>
      </c>
      <c r="T24" t="s">
        <v>888</v>
      </c>
    </row>
    <row r="25" spans="1:20" ht="28.5" customHeight="1" thickBot="1" x14ac:dyDescent="0.35">
      <c r="A25" s="1844" t="s">
        <v>836</v>
      </c>
      <c r="B25" s="1844" t="s">
        <v>837</v>
      </c>
      <c r="C25" s="1845">
        <v>2023</v>
      </c>
      <c r="D25" s="1572"/>
      <c r="E25" s="1572"/>
      <c r="F25" s="1572"/>
      <c r="G25" s="2244"/>
      <c r="H25" s="2245"/>
      <c r="I25" s="2246"/>
      <c r="J25" s="2246"/>
      <c r="K25" s="2246"/>
      <c r="L25" s="2246"/>
      <c r="M25" s="2247"/>
      <c r="N25" s="2247"/>
      <c r="O25" s="2247"/>
      <c r="P25" s="2234"/>
      <c r="Q25" s="2235"/>
    </row>
    <row r="26" spans="1:20" ht="28.8" x14ac:dyDescent="0.3">
      <c r="A26" s="2236" t="s">
        <v>836</v>
      </c>
      <c r="B26" s="2237" t="s">
        <v>889</v>
      </c>
      <c r="C26" s="2238">
        <v>2009</v>
      </c>
      <c r="D26" s="2239">
        <v>44448</v>
      </c>
      <c r="E26" s="2240">
        <v>4041</v>
      </c>
      <c r="F26" s="2239">
        <v>352</v>
      </c>
      <c r="G26" s="2241">
        <v>3.0000000000000001E-3</v>
      </c>
      <c r="H26" s="2242">
        <f t="shared" ref="H26:H32" si="6">G26*E26</f>
        <v>12.123000000000001</v>
      </c>
      <c r="I26" s="2243"/>
      <c r="J26" s="2243"/>
      <c r="K26" s="2243"/>
      <c r="L26" s="2243"/>
      <c r="M26" s="1792">
        <v>4029</v>
      </c>
      <c r="N26" s="1785">
        <v>2023</v>
      </c>
      <c r="O26" s="1785">
        <v>2006</v>
      </c>
      <c r="P26" s="1574">
        <f>M26*Q26</f>
        <v>2023</v>
      </c>
      <c r="Q26" s="1795">
        <f>N26/M26</f>
        <v>0.50210970464135019</v>
      </c>
    </row>
    <row r="27" spans="1:20" ht="28.8" x14ac:dyDescent="0.3">
      <c r="A27" s="1292" t="s">
        <v>836</v>
      </c>
      <c r="B27" s="1293" t="s">
        <v>889</v>
      </c>
      <c r="C27" s="1291">
        <v>2010</v>
      </c>
      <c r="D27" s="1572">
        <v>196425</v>
      </c>
      <c r="E27" s="1728">
        <v>17857</v>
      </c>
      <c r="F27" s="1572">
        <v>283</v>
      </c>
      <c r="G27" s="1294">
        <v>1E-3</v>
      </c>
      <c r="H27" s="1387">
        <f t="shared" si="6"/>
        <v>17.856999999999999</v>
      </c>
      <c r="I27" s="1569"/>
      <c r="J27" s="1569"/>
      <c r="K27" s="1569"/>
      <c r="L27" s="1569"/>
      <c r="M27" s="1792">
        <v>17839</v>
      </c>
      <c r="N27" s="1792">
        <v>2854</v>
      </c>
      <c r="O27" s="1792">
        <v>14985</v>
      </c>
      <c r="P27" s="1296">
        <f t="shared" ref="P27:P35" si="7">M27*Q27</f>
        <v>2854</v>
      </c>
      <c r="Q27" s="1796">
        <f t="shared" ref="Q27:Q38" si="8">N27/M27</f>
        <v>0.15998654633107237</v>
      </c>
    </row>
    <row r="28" spans="1:20" ht="28.8" x14ac:dyDescent="0.3">
      <c r="A28" s="1641" t="s">
        <v>836</v>
      </c>
      <c r="B28" s="1293" t="s">
        <v>889</v>
      </c>
      <c r="C28" s="1642">
        <v>2011</v>
      </c>
      <c r="D28" s="1572">
        <v>23520</v>
      </c>
      <c r="E28" s="1575">
        <v>2138</v>
      </c>
      <c r="F28" s="1572">
        <v>449</v>
      </c>
      <c r="G28" s="1294">
        <v>1.2999999999999999E-2</v>
      </c>
      <c r="H28" s="1387">
        <f t="shared" si="6"/>
        <v>27.794</v>
      </c>
      <c r="I28" s="1569"/>
      <c r="J28" s="1569"/>
      <c r="K28" s="1569"/>
      <c r="L28" s="1569"/>
      <c r="M28" s="1643">
        <v>2208</v>
      </c>
      <c r="N28" s="1643">
        <v>660</v>
      </c>
      <c r="O28" s="1643">
        <v>1548</v>
      </c>
      <c r="P28" s="1643">
        <f t="shared" si="7"/>
        <v>660</v>
      </c>
      <c r="Q28" s="1797">
        <f t="shared" si="8"/>
        <v>0.29891304347826086</v>
      </c>
    </row>
    <row r="29" spans="1:20" ht="28.8" x14ac:dyDescent="0.3">
      <c r="A29" s="1292" t="s">
        <v>836</v>
      </c>
      <c r="B29" s="1293" t="s">
        <v>889</v>
      </c>
      <c r="C29" s="1291">
        <v>2012</v>
      </c>
      <c r="D29" s="1572">
        <v>35301</v>
      </c>
      <c r="E29" s="1728">
        <v>3209</v>
      </c>
      <c r="F29" s="1572">
        <v>372</v>
      </c>
      <c r="G29" s="1294">
        <v>2E-3</v>
      </c>
      <c r="H29" s="1387">
        <f t="shared" si="6"/>
        <v>6.4180000000000001</v>
      </c>
      <c r="I29" s="1569"/>
      <c r="J29" s="1569"/>
      <c r="K29" s="1569"/>
      <c r="L29" s="1569"/>
      <c r="M29" s="1792">
        <v>3203</v>
      </c>
      <c r="N29" s="1793">
        <v>887</v>
      </c>
      <c r="O29" s="1792">
        <v>2316</v>
      </c>
      <c r="P29" s="1296">
        <f t="shared" si="7"/>
        <v>886.99999999999989</v>
      </c>
      <c r="Q29" s="1796">
        <f t="shared" si="8"/>
        <v>0.27692788011239461</v>
      </c>
    </row>
    <row r="30" spans="1:20" s="1272" customFormat="1" ht="28.8" x14ac:dyDescent="0.3">
      <c r="A30" s="1292" t="s">
        <v>836</v>
      </c>
      <c r="B30" s="1293" t="s">
        <v>889</v>
      </c>
      <c r="C30" s="1291">
        <v>2013</v>
      </c>
      <c r="D30" s="1572">
        <v>23273</v>
      </c>
      <c r="E30" s="1728">
        <v>2116</v>
      </c>
      <c r="F30" s="1572">
        <v>254</v>
      </c>
      <c r="G30" s="1294">
        <v>4.0000000000000001E-3</v>
      </c>
      <c r="H30" s="1387">
        <f t="shared" si="6"/>
        <v>8.4640000000000004</v>
      </c>
      <c r="I30" s="1569"/>
      <c r="J30" s="1569"/>
      <c r="K30" s="1569"/>
      <c r="L30" s="1569"/>
      <c r="M30" s="1792">
        <v>2108</v>
      </c>
      <c r="N30" s="1792">
        <v>1632</v>
      </c>
      <c r="O30" s="1793">
        <v>476</v>
      </c>
      <c r="P30" s="1296">
        <f t="shared" si="7"/>
        <v>1632</v>
      </c>
      <c r="Q30" s="1796">
        <f t="shared" si="8"/>
        <v>0.77419354838709675</v>
      </c>
    </row>
    <row r="31" spans="1:20" s="1272" customFormat="1" ht="28.8" x14ac:dyDescent="0.3">
      <c r="A31" s="1292" t="s">
        <v>836</v>
      </c>
      <c r="B31" s="1293" t="s">
        <v>889</v>
      </c>
      <c r="C31" s="1291">
        <v>2014</v>
      </c>
      <c r="D31" s="1572">
        <v>16443</v>
      </c>
      <c r="E31" s="1728">
        <v>1495</v>
      </c>
      <c r="F31" s="1572">
        <v>263</v>
      </c>
      <c r="G31" s="1294">
        <v>4.0000000000000001E-3</v>
      </c>
      <c r="H31" s="1387">
        <f t="shared" si="6"/>
        <v>5.98</v>
      </c>
      <c r="I31" s="1569"/>
      <c r="J31" s="1569"/>
      <c r="K31" s="1569"/>
      <c r="L31" s="1569"/>
      <c r="M31" s="1792">
        <v>1489</v>
      </c>
      <c r="N31" s="1793">
        <v>135</v>
      </c>
      <c r="O31" s="1792">
        <v>1354</v>
      </c>
      <c r="P31" s="1296">
        <f t="shared" si="7"/>
        <v>135</v>
      </c>
      <c r="Q31" s="1796">
        <f t="shared" si="8"/>
        <v>9.0664875755540636E-2</v>
      </c>
    </row>
    <row r="32" spans="1:20" s="1272" customFormat="1" ht="28.8" x14ac:dyDescent="0.3">
      <c r="A32" s="1292" t="s">
        <v>836</v>
      </c>
      <c r="B32" s="1293" t="s">
        <v>889</v>
      </c>
      <c r="C32" s="1291">
        <v>2015</v>
      </c>
      <c r="D32" s="1572">
        <v>2065</v>
      </c>
      <c r="E32" s="1728">
        <v>188</v>
      </c>
      <c r="F32" s="1572">
        <v>26</v>
      </c>
      <c r="G32" s="1294">
        <v>8.9999999999999993E-3</v>
      </c>
      <c r="H32" s="1387">
        <f t="shared" si="6"/>
        <v>1.6919999999999999</v>
      </c>
      <c r="I32" s="1569"/>
      <c r="J32" s="1570"/>
      <c r="K32" s="1570"/>
      <c r="L32" s="1570"/>
      <c r="M32" s="1793">
        <v>186</v>
      </c>
      <c r="N32" s="1793">
        <v>6</v>
      </c>
      <c r="O32" s="1793">
        <v>180</v>
      </c>
      <c r="P32" s="1387">
        <f t="shared" si="7"/>
        <v>6</v>
      </c>
      <c r="Q32" s="1796">
        <f t="shared" si="8"/>
        <v>3.2258064516129031E-2</v>
      </c>
      <c r="R32" s="1388" t="s">
        <v>890</v>
      </c>
    </row>
    <row r="33" spans="1:19" s="1272" customFormat="1" ht="28.8" x14ac:dyDescent="0.3">
      <c r="A33" s="1292" t="s">
        <v>836</v>
      </c>
      <c r="B33" s="1293" t="s">
        <v>889</v>
      </c>
      <c r="C33" s="1291">
        <v>2016</v>
      </c>
      <c r="D33" s="1572">
        <v>7035</v>
      </c>
      <c r="E33" s="1728">
        <v>640</v>
      </c>
      <c r="F33" s="1572"/>
      <c r="G33" s="1879">
        <v>0.01</v>
      </c>
      <c r="H33" s="1387">
        <f>G33*E33</f>
        <v>6.4</v>
      </c>
      <c r="I33" s="1569"/>
      <c r="J33" s="1570"/>
      <c r="K33" s="1570"/>
      <c r="L33" s="1570"/>
      <c r="M33" s="1387">
        <f>IF(ISTEXT(J33),_xlfn.NUMBERVALUE((LEFT(J33,FIND("(",J33)-2))),E33*1.0084-113.81)</f>
        <v>531.56600000000003</v>
      </c>
      <c r="N33" s="1387" t="str">
        <f>IF(ISTEXT(K33),_xlfn.NUMBERVALUE((LEFT(K33,FIND("(",K33)-2))),"")</f>
        <v/>
      </c>
      <c r="O33" s="1387" t="str">
        <f>IF(ISTEXT(L33),_xlfn.NUMBERVALUE((LEFT(L33,FIND("(",L33)-2))),"")</f>
        <v/>
      </c>
      <c r="P33" s="1387">
        <f t="shared" si="7"/>
        <v>53.156600000000005</v>
      </c>
      <c r="Q33" s="1798">
        <v>0.1</v>
      </c>
      <c r="R33" s="1388" t="s">
        <v>890</v>
      </c>
    </row>
    <row r="34" spans="1:19" s="1272" customFormat="1" ht="28.8" x14ac:dyDescent="0.3">
      <c r="A34" s="1292" t="s">
        <v>836</v>
      </c>
      <c r="B34" s="1293" t="s">
        <v>889</v>
      </c>
      <c r="C34" s="1291">
        <v>2017</v>
      </c>
      <c r="D34" s="1572">
        <v>1841</v>
      </c>
      <c r="E34" s="1728">
        <v>167</v>
      </c>
      <c r="F34" s="1572">
        <v>11</v>
      </c>
      <c r="G34" s="1294">
        <v>1.2999999999999999E-2</v>
      </c>
      <c r="H34" s="1387">
        <f>G34*E34</f>
        <v>2.1709999999999998</v>
      </c>
      <c r="I34" s="1569"/>
      <c r="J34" s="1569"/>
      <c r="K34" s="1569"/>
      <c r="L34" s="1569"/>
      <c r="M34" s="1793">
        <v>165</v>
      </c>
      <c r="N34" s="1793">
        <v>0</v>
      </c>
      <c r="O34" s="1793">
        <v>165</v>
      </c>
      <c r="P34" s="1296">
        <f t="shared" si="7"/>
        <v>0</v>
      </c>
      <c r="Q34" s="1796">
        <f t="shared" si="8"/>
        <v>0</v>
      </c>
    </row>
    <row r="35" spans="1:19" s="1272" customFormat="1" ht="28.8" x14ac:dyDescent="0.3">
      <c r="A35" s="1292" t="s">
        <v>836</v>
      </c>
      <c r="B35" s="1293" t="s">
        <v>889</v>
      </c>
      <c r="C35" s="1291">
        <v>2018</v>
      </c>
      <c r="D35" s="1572">
        <v>2746</v>
      </c>
      <c r="E35" s="1728">
        <v>250</v>
      </c>
      <c r="F35" s="1572">
        <v>19</v>
      </c>
      <c r="G35" s="1294">
        <v>0</v>
      </c>
      <c r="H35" s="1295" t="str">
        <f t="shared" si="2"/>
        <v/>
      </c>
      <c r="I35" s="1569"/>
      <c r="J35" s="1569"/>
      <c r="K35" s="1569"/>
      <c r="L35" s="1569"/>
      <c r="M35" s="1793">
        <v>250</v>
      </c>
      <c r="N35" s="1793">
        <v>4</v>
      </c>
      <c r="O35" s="1793">
        <v>246</v>
      </c>
      <c r="P35" s="1296">
        <f t="shared" si="7"/>
        <v>4</v>
      </c>
      <c r="Q35" s="1796">
        <f t="shared" si="8"/>
        <v>1.6E-2</v>
      </c>
    </row>
    <row r="36" spans="1:19" s="1272" customFormat="1" ht="28.8" x14ac:dyDescent="0.3">
      <c r="A36" s="1292" t="s">
        <v>836</v>
      </c>
      <c r="B36" s="1293" t="s">
        <v>889</v>
      </c>
      <c r="C36" s="1291">
        <v>2019</v>
      </c>
      <c r="D36" s="1572">
        <v>590</v>
      </c>
      <c r="E36" s="1728">
        <v>54</v>
      </c>
      <c r="F36" s="1572"/>
      <c r="G36" s="1879">
        <v>0.01</v>
      </c>
      <c r="H36" s="1387">
        <f t="shared" ref="H36:H39" si="9">G36*E36</f>
        <v>0.54</v>
      </c>
      <c r="I36" s="1569"/>
      <c r="J36" s="1569"/>
      <c r="K36" s="1569"/>
      <c r="L36" s="1569"/>
      <c r="M36" s="1793">
        <v>54</v>
      </c>
      <c r="N36" s="1794">
        <v>0</v>
      </c>
      <c r="O36" s="1794">
        <v>0</v>
      </c>
      <c r="P36" s="1296">
        <f t="shared" ref="P36:P61" si="10">M36</f>
        <v>54</v>
      </c>
      <c r="Q36" s="1796">
        <f t="shared" si="8"/>
        <v>0</v>
      </c>
    </row>
    <row r="37" spans="1:19" s="1272" customFormat="1" ht="28.8" x14ac:dyDescent="0.3">
      <c r="A37" s="1292" t="s">
        <v>836</v>
      </c>
      <c r="B37" s="1293" t="s">
        <v>889</v>
      </c>
      <c r="C37" s="1291">
        <v>2020</v>
      </c>
      <c r="D37" s="1709">
        <v>15848</v>
      </c>
      <c r="E37" s="1728">
        <v>1441</v>
      </c>
      <c r="F37" s="1572"/>
      <c r="G37" s="1879">
        <v>0.01</v>
      </c>
      <c r="H37" s="1387">
        <f t="shared" si="9"/>
        <v>14.41</v>
      </c>
      <c r="I37" s="1296"/>
      <c r="J37" s="1296"/>
      <c r="K37" s="1296"/>
      <c r="L37" s="1296"/>
      <c r="M37" s="1792">
        <v>1441</v>
      </c>
      <c r="N37" s="1793">
        <v>39</v>
      </c>
      <c r="O37" s="1792">
        <v>1402</v>
      </c>
      <c r="P37" s="1296">
        <f t="shared" si="10"/>
        <v>1441</v>
      </c>
      <c r="Q37" s="1796">
        <f t="shared" si="8"/>
        <v>2.7064538514920196E-2</v>
      </c>
    </row>
    <row r="38" spans="1:19" s="1272" customFormat="1" ht="28.8" x14ac:dyDescent="0.3">
      <c r="A38" s="1292" t="s">
        <v>836</v>
      </c>
      <c r="B38" s="1293" t="s">
        <v>889</v>
      </c>
      <c r="C38" s="1291">
        <v>2021</v>
      </c>
      <c r="D38" s="1572">
        <v>438</v>
      </c>
      <c r="E38" s="1728">
        <v>40</v>
      </c>
      <c r="F38" s="1572"/>
      <c r="G38" s="1879">
        <v>0.01</v>
      </c>
      <c r="H38" s="1387">
        <f t="shared" si="9"/>
        <v>0.4</v>
      </c>
      <c r="I38" s="1569"/>
      <c r="J38" s="1569"/>
      <c r="K38" s="1569"/>
      <c r="L38" s="1569"/>
      <c r="M38" s="1793">
        <v>40</v>
      </c>
      <c r="N38" s="1793">
        <v>2</v>
      </c>
      <c r="O38" s="1793">
        <v>38</v>
      </c>
      <c r="P38" s="1296">
        <f t="shared" si="10"/>
        <v>40</v>
      </c>
      <c r="Q38" s="1796">
        <f t="shared" si="8"/>
        <v>0.05</v>
      </c>
    </row>
    <row r="39" spans="1:19" s="1272" customFormat="1" ht="28.8" x14ac:dyDescent="0.3">
      <c r="A39" s="1293" t="s">
        <v>836</v>
      </c>
      <c r="B39" s="1293" t="s">
        <v>889</v>
      </c>
      <c r="C39" s="1291">
        <v>2022</v>
      </c>
      <c r="D39" s="1572">
        <v>6170</v>
      </c>
      <c r="E39" s="1728">
        <v>561</v>
      </c>
      <c r="F39" s="1572"/>
      <c r="G39" s="1879">
        <v>0.01</v>
      </c>
      <c r="H39" s="1387">
        <f t="shared" si="9"/>
        <v>5.61</v>
      </c>
      <c r="I39" s="1569"/>
      <c r="J39" s="1569"/>
      <c r="K39" s="1569"/>
      <c r="L39" s="1569"/>
      <c r="M39" s="1296" t="str">
        <f t="shared" si="3"/>
        <v/>
      </c>
      <c r="N39" s="1296" t="str">
        <f t="shared" si="3"/>
        <v/>
      </c>
      <c r="O39" s="1296" t="str">
        <f t="shared" si="3"/>
        <v/>
      </c>
      <c r="P39" s="1576" t="str">
        <f t="shared" si="10"/>
        <v/>
      </c>
      <c r="Q39" s="1577" t="str">
        <f t="shared" ref="Q39:Q61" si="11">IF(ISNUMBER(M39),M39/M39,"")</f>
        <v/>
      </c>
    </row>
    <row r="40" spans="1:19" s="1272" customFormat="1" ht="29.4" thickBot="1" x14ac:dyDescent="0.35">
      <c r="A40" s="1293" t="s">
        <v>836</v>
      </c>
      <c r="B40" s="1293" t="s">
        <v>889</v>
      </c>
      <c r="C40" s="1291">
        <v>2023</v>
      </c>
      <c r="D40" s="1572"/>
      <c r="E40" s="1728"/>
      <c r="F40" s="1572"/>
      <c r="G40" s="1879"/>
      <c r="H40" s="1387"/>
      <c r="I40" s="1569"/>
      <c r="J40" s="1569"/>
      <c r="K40" s="1569"/>
      <c r="L40" s="1569"/>
      <c r="M40" s="1296"/>
      <c r="N40" s="1296"/>
      <c r="O40" s="1296"/>
      <c r="P40" s="2248"/>
      <c r="Q40" s="2249"/>
    </row>
    <row r="41" spans="1:19" s="1272" customFormat="1" ht="28.8" x14ac:dyDescent="0.3">
      <c r="A41" s="2250" t="s">
        <v>891</v>
      </c>
      <c r="B41" s="2251" t="s">
        <v>892</v>
      </c>
      <c r="C41" s="2251">
        <v>2011</v>
      </c>
      <c r="D41" s="2239"/>
      <c r="E41" s="1791">
        <v>49635</v>
      </c>
      <c r="F41" s="2239">
        <v>203</v>
      </c>
      <c r="G41" s="2252">
        <f>H41/E41</f>
        <v>0.53905510224639874</v>
      </c>
      <c r="H41" s="2253">
        <f>E41-M41</f>
        <v>26756</v>
      </c>
      <c r="I41" s="2254"/>
      <c r="J41" s="2255" t="s">
        <v>893</v>
      </c>
      <c r="K41" s="2254"/>
      <c r="L41" s="2254"/>
      <c r="M41" s="2256">
        <f t="shared" ref="M41:O60" si="12">IF(ISTEXT(J41),_xlfn.NUMBERVALUE((LEFT(J41,FIND("(",J41)-2))),"")</f>
        <v>22879</v>
      </c>
      <c r="N41" s="2257">
        <f>M41*0.8</f>
        <v>18303.2</v>
      </c>
      <c r="O41" s="2257">
        <f>M41-N41</f>
        <v>4575.7999999999993</v>
      </c>
      <c r="P41" s="1803">
        <f t="shared" si="10"/>
        <v>22879</v>
      </c>
      <c r="Q41" s="1804">
        <f t="shared" si="11"/>
        <v>1</v>
      </c>
      <c r="R41" s="1735" t="s">
        <v>894</v>
      </c>
      <c r="S41" s="1883" t="s">
        <v>895</v>
      </c>
    </row>
    <row r="42" spans="1:19" s="1272" customFormat="1" ht="28.8" x14ac:dyDescent="0.3">
      <c r="A42" s="1297" t="s">
        <v>891</v>
      </c>
      <c r="B42" s="1298" t="s">
        <v>892</v>
      </c>
      <c r="C42" s="1298">
        <v>2012</v>
      </c>
      <c r="D42" s="1572">
        <v>403132</v>
      </c>
      <c r="E42" s="1733">
        <v>36648</v>
      </c>
      <c r="F42" s="1572">
        <v>1229</v>
      </c>
      <c r="G42" s="1299">
        <f t="shared" si="1"/>
        <v>0.70001091464745691</v>
      </c>
      <c r="H42" s="1300">
        <f t="shared" si="2"/>
        <v>25654</v>
      </c>
      <c r="I42" s="1736" t="s">
        <v>896</v>
      </c>
      <c r="J42" s="1736" t="s">
        <v>897</v>
      </c>
      <c r="K42" s="1736" t="s">
        <v>898</v>
      </c>
      <c r="L42" s="1736" t="s">
        <v>899</v>
      </c>
      <c r="M42" s="1739">
        <f t="shared" si="12"/>
        <v>10994</v>
      </c>
      <c r="N42" s="1739">
        <f t="shared" si="12"/>
        <v>8257</v>
      </c>
      <c r="O42" s="1739">
        <f>M42-N42</f>
        <v>2737</v>
      </c>
      <c r="P42" s="1738">
        <f t="shared" si="10"/>
        <v>10994</v>
      </c>
      <c r="Q42" s="1741">
        <f t="shared" si="11"/>
        <v>1</v>
      </c>
      <c r="R42" s="1735" t="s">
        <v>900</v>
      </c>
      <c r="S42" s="1882">
        <f>N42/M42</f>
        <v>0.7510460251046025</v>
      </c>
    </row>
    <row r="43" spans="1:19" s="1272" customFormat="1" ht="28.8" x14ac:dyDescent="0.3">
      <c r="A43" s="1297" t="s">
        <v>891</v>
      </c>
      <c r="B43" s="1298" t="s">
        <v>892</v>
      </c>
      <c r="C43" s="1298">
        <v>2013</v>
      </c>
      <c r="D43" s="1572">
        <v>323257</v>
      </c>
      <c r="E43" s="1733">
        <v>29387</v>
      </c>
      <c r="F43" s="1572">
        <v>1746</v>
      </c>
      <c r="G43" s="1299">
        <f t="shared" si="1"/>
        <v>0.69700888147820461</v>
      </c>
      <c r="H43" s="1727">
        <f t="shared" si="2"/>
        <v>20483</v>
      </c>
      <c r="I43" s="1736" t="s">
        <v>901</v>
      </c>
      <c r="J43" s="1736" t="s">
        <v>902</v>
      </c>
      <c r="K43" s="1740" t="s">
        <v>903</v>
      </c>
      <c r="L43" s="1740" t="s">
        <v>904</v>
      </c>
      <c r="M43" s="1739">
        <f t="shared" si="12"/>
        <v>8904</v>
      </c>
      <c r="N43" s="1739">
        <f t="shared" si="12"/>
        <v>5287</v>
      </c>
      <c r="O43" s="1739">
        <f t="shared" si="12"/>
        <v>3617</v>
      </c>
      <c r="P43" s="1737">
        <f t="shared" si="10"/>
        <v>8904</v>
      </c>
      <c r="Q43" s="1741">
        <f t="shared" si="11"/>
        <v>1</v>
      </c>
      <c r="S43" s="1882">
        <f t="shared" ref="S43:S51" si="13">N43/M43</f>
        <v>0.59377807726864329</v>
      </c>
    </row>
    <row r="44" spans="1:19" s="1272" customFormat="1" ht="28.8" x14ac:dyDescent="0.3">
      <c r="A44" s="1297" t="s">
        <v>891</v>
      </c>
      <c r="B44" s="1298" t="s">
        <v>892</v>
      </c>
      <c r="C44" s="1298">
        <v>2014</v>
      </c>
      <c r="D44" s="1572">
        <v>667117</v>
      </c>
      <c r="E44" s="1733">
        <v>60647</v>
      </c>
      <c r="F44" s="1572">
        <v>3215</v>
      </c>
      <c r="G44" s="1299">
        <f t="shared" si="1"/>
        <v>0.18299338796642867</v>
      </c>
      <c r="H44" s="1300">
        <f t="shared" si="2"/>
        <v>11098</v>
      </c>
      <c r="I44" s="1736" t="s">
        <v>905</v>
      </c>
      <c r="J44" s="1736" t="s">
        <v>906</v>
      </c>
      <c r="K44" s="1736" t="s">
        <v>907</v>
      </c>
      <c r="L44" s="1736" t="s">
        <v>908</v>
      </c>
      <c r="M44" s="1739">
        <f t="shared" si="12"/>
        <v>49549</v>
      </c>
      <c r="N44" s="1739">
        <f t="shared" si="12"/>
        <v>20207</v>
      </c>
      <c r="O44" s="1739">
        <f t="shared" si="12"/>
        <v>29342</v>
      </c>
      <c r="P44" s="1737">
        <f t="shared" si="10"/>
        <v>49549</v>
      </c>
      <c r="Q44" s="1741">
        <f t="shared" si="11"/>
        <v>1</v>
      </c>
      <c r="S44" s="1882">
        <f t="shared" si="13"/>
        <v>0.40781852307816507</v>
      </c>
    </row>
    <row r="45" spans="1:19" s="1272" customFormat="1" ht="28.8" x14ac:dyDescent="0.3">
      <c r="A45" s="1297" t="s">
        <v>891</v>
      </c>
      <c r="B45" s="1298" t="s">
        <v>892</v>
      </c>
      <c r="C45" s="1298">
        <v>2015</v>
      </c>
      <c r="D45" s="1572">
        <v>653466</v>
      </c>
      <c r="E45" s="1733">
        <v>59405</v>
      </c>
      <c r="F45" s="1572">
        <v>703</v>
      </c>
      <c r="G45" s="1299">
        <f t="shared" si="1"/>
        <v>0.76000336671997304</v>
      </c>
      <c r="H45" s="1300">
        <f t="shared" si="2"/>
        <v>45148</v>
      </c>
      <c r="I45" s="1736" t="s">
        <v>909</v>
      </c>
      <c r="J45" s="1736" t="s">
        <v>910</v>
      </c>
      <c r="K45" s="1578" t="s">
        <v>911</v>
      </c>
      <c r="L45" s="1578" t="s">
        <v>912</v>
      </c>
      <c r="M45" s="1739">
        <f t="shared" si="12"/>
        <v>14257</v>
      </c>
      <c r="N45" s="1880">
        <f t="shared" si="12"/>
        <v>0</v>
      </c>
      <c r="O45" s="1880">
        <f t="shared" si="12"/>
        <v>14257</v>
      </c>
      <c r="P45" s="1737">
        <f t="shared" si="10"/>
        <v>14257</v>
      </c>
      <c r="Q45" s="1741">
        <f t="shared" si="11"/>
        <v>1</v>
      </c>
      <c r="R45" s="1881" t="s">
        <v>913</v>
      </c>
      <c r="S45" s="1223">
        <f t="shared" si="13"/>
        <v>0</v>
      </c>
    </row>
    <row r="46" spans="1:19" s="1149" customFormat="1" ht="28.8" x14ac:dyDescent="0.3">
      <c r="A46" s="1297" t="s">
        <v>891</v>
      </c>
      <c r="B46" s="1298" t="s">
        <v>892</v>
      </c>
      <c r="C46" s="1298">
        <v>2016</v>
      </c>
      <c r="D46" s="1572">
        <v>873659</v>
      </c>
      <c r="E46" s="1733">
        <v>79424</v>
      </c>
      <c r="F46" s="1572">
        <v>985</v>
      </c>
      <c r="G46" s="1299">
        <f t="shared" si="1"/>
        <v>0.53599667606768731</v>
      </c>
      <c r="H46" s="1300">
        <f t="shared" si="2"/>
        <v>42571</v>
      </c>
      <c r="I46" s="1736" t="s">
        <v>914</v>
      </c>
      <c r="J46" s="1736" t="s">
        <v>915</v>
      </c>
      <c r="K46" s="1736" t="s">
        <v>916</v>
      </c>
      <c r="L46" s="1736" t="s">
        <v>917</v>
      </c>
      <c r="M46" s="1739">
        <f t="shared" si="12"/>
        <v>36853</v>
      </c>
      <c r="N46" s="1739">
        <f t="shared" si="12"/>
        <v>241</v>
      </c>
      <c r="O46" s="1739">
        <f t="shared" si="12"/>
        <v>36612</v>
      </c>
      <c r="P46" s="1737">
        <f t="shared" si="10"/>
        <v>36853</v>
      </c>
      <c r="Q46" s="1741">
        <f t="shared" si="11"/>
        <v>1</v>
      </c>
      <c r="S46" s="1223">
        <f t="shared" si="13"/>
        <v>6.5394947494098171E-3</v>
      </c>
    </row>
    <row r="47" spans="1:19" s="1149" customFormat="1" ht="28.8" x14ac:dyDescent="0.3">
      <c r="A47" s="1297" t="s">
        <v>891</v>
      </c>
      <c r="B47" s="1298" t="s">
        <v>892</v>
      </c>
      <c r="C47" s="1298">
        <v>2017</v>
      </c>
      <c r="D47" s="1572">
        <v>508522</v>
      </c>
      <c r="E47" s="1733">
        <v>46229</v>
      </c>
      <c r="F47" s="1572">
        <v>704</v>
      </c>
      <c r="G47" s="1299">
        <f t="shared" si="1"/>
        <v>0.4130091501005862</v>
      </c>
      <c r="H47" s="1300">
        <f t="shared" si="2"/>
        <v>19093</v>
      </c>
      <c r="I47" s="1736" t="s">
        <v>918</v>
      </c>
      <c r="J47" s="1736" t="s">
        <v>919</v>
      </c>
      <c r="K47" s="1736" t="s">
        <v>920</v>
      </c>
      <c r="L47" s="1736" t="s">
        <v>921</v>
      </c>
      <c r="M47" s="1739">
        <f t="shared" si="12"/>
        <v>27136</v>
      </c>
      <c r="N47" s="1739">
        <f t="shared" si="12"/>
        <v>86</v>
      </c>
      <c r="O47" s="1739">
        <f t="shared" si="12"/>
        <v>27050</v>
      </c>
      <c r="P47" s="1737">
        <f t="shared" si="10"/>
        <v>27136</v>
      </c>
      <c r="Q47" s="1741">
        <f t="shared" si="11"/>
        <v>1</v>
      </c>
      <c r="S47" s="1223">
        <f t="shared" si="13"/>
        <v>3.1692216981132077E-3</v>
      </c>
    </row>
    <row r="48" spans="1:19" s="1149" customFormat="1" ht="28.8" x14ac:dyDescent="0.3">
      <c r="A48" s="1297" t="s">
        <v>891</v>
      </c>
      <c r="B48" s="1298" t="s">
        <v>892</v>
      </c>
      <c r="C48" s="1298">
        <v>2018</v>
      </c>
      <c r="D48" s="1572">
        <v>664468</v>
      </c>
      <c r="E48" s="1733">
        <v>60406</v>
      </c>
      <c r="F48" s="1572">
        <v>3816</v>
      </c>
      <c r="G48" s="1299">
        <f t="shared" si="1"/>
        <v>0.31700493328477303</v>
      </c>
      <c r="H48" s="1300">
        <f t="shared" si="2"/>
        <v>19149</v>
      </c>
      <c r="I48" s="1736" t="s">
        <v>922</v>
      </c>
      <c r="J48" s="1736" t="s">
        <v>923</v>
      </c>
      <c r="K48" s="1736" t="s">
        <v>924</v>
      </c>
      <c r="L48" s="1736" t="s">
        <v>925</v>
      </c>
      <c r="M48" s="1739">
        <f t="shared" si="12"/>
        <v>41257</v>
      </c>
      <c r="N48" s="1739">
        <f t="shared" si="12"/>
        <v>4597</v>
      </c>
      <c r="O48" s="1739">
        <f t="shared" si="12"/>
        <v>36660</v>
      </c>
      <c r="P48" s="1737">
        <f t="shared" si="10"/>
        <v>41257</v>
      </c>
      <c r="Q48" s="1741">
        <f t="shared" si="11"/>
        <v>1</v>
      </c>
      <c r="S48" s="1882">
        <f t="shared" si="13"/>
        <v>0.11142351600940446</v>
      </c>
    </row>
    <row r="49" spans="1:19" s="1149" customFormat="1" ht="28.8" x14ac:dyDescent="0.3">
      <c r="A49" s="1297" t="s">
        <v>891</v>
      </c>
      <c r="B49" s="1298" t="s">
        <v>892</v>
      </c>
      <c r="C49" s="1298">
        <v>2019</v>
      </c>
      <c r="D49" s="1572">
        <v>482452</v>
      </c>
      <c r="E49" s="1733">
        <v>43859</v>
      </c>
      <c r="F49" s="1572">
        <v>980</v>
      </c>
      <c r="G49" s="1299">
        <f t="shared" si="1"/>
        <v>0.76800656649718413</v>
      </c>
      <c r="H49" s="1300">
        <f t="shared" si="2"/>
        <v>33684</v>
      </c>
      <c r="I49" s="1736" t="s">
        <v>926</v>
      </c>
      <c r="J49" s="1736" t="s">
        <v>927</v>
      </c>
      <c r="K49" s="1736" t="s">
        <v>928</v>
      </c>
      <c r="L49" s="1736" t="s">
        <v>929</v>
      </c>
      <c r="M49" s="1739">
        <f t="shared" si="12"/>
        <v>10175</v>
      </c>
      <c r="N49" s="1739">
        <f t="shared" si="12"/>
        <v>4332</v>
      </c>
      <c r="O49" s="1739">
        <f t="shared" si="12"/>
        <v>5843</v>
      </c>
      <c r="P49" s="1737">
        <f t="shared" si="10"/>
        <v>10175</v>
      </c>
      <c r="Q49" s="1741">
        <f t="shared" si="11"/>
        <v>1</v>
      </c>
      <c r="S49" s="1882">
        <f t="shared" si="13"/>
        <v>0.42574938574938576</v>
      </c>
    </row>
    <row r="50" spans="1:19" s="1149" customFormat="1" ht="28.8" x14ac:dyDescent="0.3">
      <c r="A50" s="1297" t="s">
        <v>891</v>
      </c>
      <c r="B50" s="1298" t="s">
        <v>892</v>
      </c>
      <c r="C50" s="1298">
        <v>2020</v>
      </c>
      <c r="D50" s="1572">
        <v>675540</v>
      </c>
      <c r="E50" s="1734">
        <v>61140</v>
      </c>
      <c r="F50" s="1709">
        <v>4184</v>
      </c>
      <c r="G50" s="1299">
        <f t="shared" si="1"/>
        <v>0.53599934576382069</v>
      </c>
      <c r="H50" s="1300">
        <f t="shared" si="2"/>
        <v>32771</v>
      </c>
      <c r="I50" s="1736" t="s">
        <v>930</v>
      </c>
      <c r="J50" s="1736" t="s">
        <v>931</v>
      </c>
      <c r="K50" s="1736" t="s">
        <v>932</v>
      </c>
      <c r="L50" s="1736" t="s">
        <v>933</v>
      </c>
      <c r="M50" s="1739">
        <f t="shared" si="12"/>
        <v>28369</v>
      </c>
      <c r="N50" s="1739">
        <f t="shared" si="12"/>
        <v>5762</v>
      </c>
      <c r="O50" s="1739">
        <f t="shared" si="12"/>
        <v>22607</v>
      </c>
      <c r="P50" s="1737">
        <f t="shared" si="10"/>
        <v>28369</v>
      </c>
      <c r="Q50" s="1741">
        <f t="shared" si="11"/>
        <v>1</v>
      </c>
      <c r="S50" s="1882">
        <f t="shared" si="13"/>
        <v>0.20310902745955092</v>
      </c>
    </row>
    <row r="51" spans="1:19" s="1149" customFormat="1" ht="28.8" x14ac:dyDescent="0.3">
      <c r="A51" s="1297" t="s">
        <v>891</v>
      </c>
      <c r="B51" s="1298" t="s">
        <v>892</v>
      </c>
      <c r="C51" s="1298">
        <v>2021</v>
      </c>
      <c r="D51" s="1572">
        <v>641294</v>
      </c>
      <c r="E51" s="1733">
        <v>58299</v>
      </c>
      <c r="F51" s="1572">
        <v>1643</v>
      </c>
      <c r="G51" s="1299">
        <f t="shared" si="1"/>
        <v>0.85099229832415646</v>
      </c>
      <c r="H51" s="1300">
        <f t="shared" si="2"/>
        <v>49612</v>
      </c>
      <c r="I51" s="1736" t="s">
        <v>934</v>
      </c>
      <c r="J51" s="1736" t="s">
        <v>935</v>
      </c>
      <c r="K51" s="1736" t="s">
        <v>936</v>
      </c>
      <c r="L51" s="1736" t="s">
        <v>937</v>
      </c>
      <c r="M51" s="1739">
        <f t="shared" si="12"/>
        <v>8687</v>
      </c>
      <c r="N51" s="1739">
        <f t="shared" si="12"/>
        <v>1551</v>
      </c>
      <c r="O51" s="1739">
        <f t="shared" si="12"/>
        <v>7136</v>
      </c>
      <c r="P51" s="1737">
        <f t="shared" si="10"/>
        <v>8687</v>
      </c>
      <c r="Q51" s="1741">
        <f t="shared" si="11"/>
        <v>1</v>
      </c>
      <c r="S51" s="1882">
        <f t="shared" si="13"/>
        <v>0.178542649936687</v>
      </c>
    </row>
    <row r="52" spans="1:19" s="1149" customFormat="1" ht="28.8" x14ac:dyDescent="0.3">
      <c r="A52" s="1297" t="s">
        <v>891</v>
      </c>
      <c r="B52" s="1298" t="s">
        <v>892</v>
      </c>
      <c r="C52" s="1298">
        <v>2022</v>
      </c>
      <c r="D52" s="1572">
        <v>573726</v>
      </c>
      <c r="E52" s="1733">
        <v>52157</v>
      </c>
      <c r="F52" s="1572">
        <v>722</v>
      </c>
      <c r="G52" s="1299">
        <f t="shared" ref="G52" si="14">IF(ISNUMBER(H52),H52/E52,"")</f>
        <v>0.43800448645435897</v>
      </c>
      <c r="H52" s="1300">
        <v>22845</v>
      </c>
      <c r="I52" s="1736" t="s">
        <v>938</v>
      </c>
      <c r="J52" s="1736" t="s">
        <v>939</v>
      </c>
      <c r="K52" s="1736"/>
      <c r="L52" s="1570"/>
      <c r="M52" s="1739">
        <f t="shared" si="12"/>
        <v>29312</v>
      </c>
      <c r="N52" s="1739"/>
      <c r="O52" s="1739"/>
      <c r="P52" s="1737">
        <f t="shared" si="10"/>
        <v>29312</v>
      </c>
      <c r="Q52" s="1741">
        <f t="shared" si="11"/>
        <v>1</v>
      </c>
    </row>
    <row r="53" spans="1:19" s="1149" customFormat="1" ht="29.4" thickBot="1" x14ac:dyDescent="0.35">
      <c r="A53" s="1580" t="s">
        <v>891</v>
      </c>
      <c r="B53" s="1581" t="s">
        <v>892</v>
      </c>
      <c r="C53" s="1581">
        <v>2023</v>
      </c>
      <c r="D53" s="1575"/>
      <c r="E53" s="1575"/>
      <c r="F53" s="1575"/>
      <c r="G53" s="1582"/>
      <c r="H53" s="1583"/>
      <c r="I53" s="1584"/>
      <c r="J53" s="1584"/>
      <c r="K53" s="1584"/>
      <c r="L53" s="1584"/>
      <c r="M53" s="1583"/>
      <c r="N53" s="1583"/>
      <c r="O53" s="1583"/>
      <c r="P53" s="1583"/>
      <c r="Q53" s="1585"/>
    </row>
    <row r="54" spans="1:19" s="1149" customFormat="1" ht="27" thickBot="1" x14ac:dyDescent="0.35">
      <c r="A54" s="1586" t="s">
        <v>891</v>
      </c>
      <c r="B54" s="1587" t="s">
        <v>940</v>
      </c>
      <c r="C54" s="1587">
        <v>2014</v>
      </c>
      <c r="D54" s="1573">
        <v>2805</v>
      </c>
      <c r="E54" s="1573">
        <v>255</v>
      </c>
      <c r="F54" s="1573">
        <v>57</v>
      </c>
      <c r="G54" s="1588">
        <f t="shared" si="1"/>
        <v>0.2627450980392157</v>
      </c>
      <c r="H54" s="1589">
        <f t="shared" si="2"/>
        <v>67</v>
      </c>
      <c r="I54" s="1579" t="s">
        <v>941</v>
      </c>
      <c r="J54" s="1579" t="s">
        <v>942</v>
      </c>
      <c r="K54" s="1579"/>
      <c r="L54" s="1579"/>
      <c r="M54" s="1589">
        <f t="shared" si="12"/>
        <v>188</v>
      </c>
      <c r="N54" s="1884">
        <f>M54*S44</f>
        <v>76.669882338695032</v>
      </c>
      <c r="O54" s="1884">
        <f>M54*(1-S44)</f>
        <v>111.33011766130498</v>
      </c>
      <c r="P54" s="1589">
        <f t="shared" si="10"/>
        <v>188</v>
      </c>
      <c r="Q54" s="1590">
        <f t="shared" si="11"/>
        <v>1</v>
      </c>
      <c r="R54" s="1732" t="s">
        <v>943</v>
      </c>
    </row>
    <row r="55" spans="1:19" s="1149" customFormat="1" ht="26.4" x14ac:dyDescent="0.3">
      <c r="A55" s="1301" t="s">
        <v>891</v>
      </c>
      <c r="B55" s="1302" t="s">
        <v>940</v>
      </c>
      <c r="C55" s="1302">
        <v>2015</v>
      </c>
      <c r="D55" s="1572">
        <v>6896</v>
      </c>
      <c r="E55" s="1572">
        <v>615</v>
      </c>
      <c r="F55" s="1572">
        <v>78</v>
      </c>
      <c r="G55" s="1303">
        <f t="shared" si="1"/>
        <v>0.75609756097560976</v>
      </c>
      <c r="H55" s="1304">
        <f t="shared" si="2"/>
        <v>465</v>
      </c>
      <c r="I55" s="1571" t="s">
        <v>944</v>
      </c>
      <c r="J55" s="1571" t="s">
        <v>945</v>
      </c>
      <c r="K55" s="1571"/>
      <c r="L55" s="1571"/>
      <c r="M55" s="1304">
        <f t="shared" si="12"/>
        <v>150</v>
      </c>
      <c r="N55" s="1884">
        <f>M55*S45</f>
        <v>0</v>
      </c>
      <c r="O55" s="1884">
        <f>M55*(1-S45)</f>
        <v>150</v>
      </c>
      <c r="P55" s="1304">
        <f t="shared" si="10"/>
        <v>150</v>
      </c>
      <c r="Q55" s="1305">
        <f t="shared" si="11"/>
        <v>1</v>
      </c>
      <c r="R55" s="1732" t="s">
        <v>943</v>
      </c>
    </row>
    <row r="56" spans="1:19" s="1149" customFormat="1" x14ac:dyDescent="0.3">
      <c r="A56" s="1301" t="s">
        <v>891</v>
      </c>
      <c r="B56" s="1302" t="s">
        <v>940</v>
      </c>
      <c r="C56" s="1302">
        <v>2016</v>
      </c>
      <c r="D56" s="1572"/>
      <c r="E56" s="1572"/>
      <c r="F56" s="1572"/>
      <c r="G56" s="1303" t="str">
        <f t="shared" si="1"/>
        <v/>
      </c>
      <c r="H56" s="1304" t="str">
        <f t="shared" si="2"/>
        <v/>
      </c>
      <c r="I56" s="1571"/>
      <c r="J56" s="1571"/>
      <c r="K56" s="1571"/>
      <c r="L56" s="1571"/>
      <c r="M56" s="1304"/>
      <c r="N56" s="1304"/>
      <c r="O56" s="1304"/>
      <c r="P56" s="1304">
        <f t="shared" si="10"/>
        <v>0</v>
      </c>
      <c r="Q56" s="1305" t="str">
        <f t="shared" si="11"/>
        <v/>
      </c>
    </row>
    <row r="57" spans="1:19" s="1149" customFormat="1" x14ac:dyDescent="0.3">
      <c r="A57" s="1301" t="s">
        <v>891</v>
      </c>
      <c r="B57" s="1302" t="s">
        <v>940</v>
      </c>
      <c r="C57" s="1302">
        <v>2017</v>
      </c>
      <c r="D57" s="1572"/>
      <c r="E57" s="1572"/>
      <c r="F57" s="1572"/>
      <c r="G57" s="1303" t="str">
        <f t="shared" si="1"/>
        <v/>
      </c>
      <c r="H57" s="1304" t="str">
        <f t="shared" si="2"/>
        <v/>
      </c>
      <c r="I57" s="1571"/>
      <c r="J57" s="1571"/>
      <c r="K57" s="1571"/>
      <c r="L57" s="1571"/>
      <c r="M57" s="1304"/>
      <c r="N57" s="1304"/>
      <c r="O57" s="1304"/>
      <c r="P57" s="1304">
        <f t="shared" si="10"/>
        <v>0</v>
      </c>
      <c r="Q57" s="1305" t="str">
        <f t="shared" si="11"/>
        <v/>
      </c>
    </row>
    <row r="58" spans="1:19" s="1149" customFormat="1" ht="26.4" x14ac:dyDescent="0.3">
      <c r="A58" s="1301" t="s">
        <v>891</v>
      </c>
      <c r="B58" s="1302" t="s">
        <v>940</v>
      </c>
      <c r="C58" s="1302">
        <v>2018</v>
      </c>
      <c r="D58" s="1572">
        <v>9083</v>
      </c>
      <c r="E58" s="1572">
        <v>830</v>
      </c>
      <c r="F58" s="1572">
        <v>73</v>
      </c>
      <c r="G58" s="1303">
        <f t="shared" si="1"/>
        <v>0.41084337349397593</v>
      </c>
      <c r="H58" s="1304">
        <f t="shared" si="2"/>
        <v>341</v>
      </c>
      <c r="I58" s="1571" t="s">
        <v>946</v>
      </c>
      <c r="J58" s="1571" t="s">
        <v>947</v>
      </c>
      <c r="K58" s="1571" t="s">
        <v>948</v>
      </c>
      <c r="L58" s="1571" t="s">
        <v>949</v>
      </c>
      <c r="M58" s="1304">
        <f t="shared" si="12"/>
        <v>489</v>
      </c>
      <c r="N58" s="1304">
        <f t="shared" si="12"/>
        <v>113</v>
      </c>
      <c r="O58" s="1304">
        <f t="shared" si="12"/>
        <v>376</v>
      </c>
      <c r="P58" s="1304">
        <f t="shared" si="10"/>
        <v>489</v>
      </c>
      <c r="Q58" s="1305">
        <f t="shared" si="11"/>
        <v>1</v>
      </c>
    </row>
    <row r="59" spans="1:19" s="1149" customFormat="1" ht="26.4" x14ac:dyDescent="0.3">
      <c r="A59" s="1301" t="s">
        <v>891</v>
      </c>
      <c r="B59" s="1302" t="s">
        <v>940</v>
      </c>
      <c r="C59" s="1302">
        <v>2019</v>
      </c>
      <c r="D59" s="1572">
        <v>12182</v>
      </c>
      <c r="E59" s="1572"/>
      <c r="F59" s="1572">
        <v>60</v>
      </c>
      <c r="G59" s="1303">
        <v>8.3000000000000004E-2</v>
      </c>
      <c r="H59" s="1304"/>
      <c r="I59" s="1571" t="s">
        <v>950</v>
      </c>
      <c r="J59" s="1571" t="s">
        <v>951</v>
      </c>
      <c r="K59" s="1571" t="s">
        <v>952</v>
      </c>
      <c r="L59" s="1571" t="s">
        <v>953</v>
      </c>
      <c r="M59" s="1304"/>
      <c r="N59" s="1304"/>
      <c r="O59" s="1304"/>
      <c r="P59" s="1304">
        <f t="shared" si="10"/>
        <v>0</v>
      </c>
      <c r="Q59" s="1305" t="str">
        <f t="shared" si="11"/>
        <v/>
      </c>
    </row>
    <row r="60" spans="1:19" s="1149" customFormat="1" ht="26.4" x14ac:dyDescent="0.3">
      <c r="A60" s="1301" t="s">
        <v>891</v>
      </c>
      <c r="B60" s="1302" t="s">
        <v>940</v>
      </c>
      <c r="C60" s="1302">
        <v>2020</v>
      </c>
      <c r="D60" s="1709">
        <v>122698</v>
      </c>
      <c r="E60" s="1709">
        <v>11611</v>
      </c>
      <c r="F60" s="1709">
        <v>498</v>
      </c>
      <c r="G60" s="1303">
        <f t="shared" si="1"/>
        <v>9.9905262251313402E-3</v>
      </c>
      <c r="H60" s="1304">
        <f t="shared" si="2"/>
        <v>116</v>
      </c>
      <c r="I60" s="1304" t="s">
        <v>954</v>
      </c>
      <c r="J60" s="1304" t="s">
        <v>955</v>
      </c>
      <c r="K60" s="1304" t="s">
        <v>956</v>
      </c>
      <c r="L60" s="1304" t="s">
        <v>957</v>
      </c>
      <c r="M60" s="1304">
        <f t="shared" si="12"/>
        <v>11495</v>
      </c>
      <c r="N60" s="1304">
        <f t="shared" si="12"/>
        <v>11334</v>
      </c>
      <c r="O60" s="1304">
        <f t="shared" si="12"/>
        <v>161</v>
      </c>
      <c r="P60" s="1304">
        <f t="shared" si="10"/>
        <v>11495</v>
      </c>
      <c r="Q60" s="1305">
        <f t="shared" si="11"/>
        <v>1</v>
      </c>
    </row>
    <row r="61" spans="1:19" s="1149" customFormat="1" x14ac:dyDescent="0.3">
      <c r="A61" s="1301" t="s">
        <v>891</v>
      </c>
      <c r="B61" s="1302" t="s">
        <v>940</v>
      </c>
      <c r="C61" s="1302">
        <v>2021</v>
      </c>
      <c r="D61" s="1572">
        <v>8789</v>
      </c>
      <c r="E61" s="1572">
        <v>799</v>
      </c>
      <c r="F61" s="1572"/>
      <c r="G61" s="1303" t="str">
        <f t="shared" si="1"/>
        <v/>
      </c>
      <c r="H61" s="1304" t="str">
        <f t="shared" si="2"/>
        <v/>
      </c>
      <c r="I61" s="1571"/>
      <c r="J61" s="1571"/>
      <c r="K61" s="1571"/>
      <c r="L61" s="1571"/>
      <c r="M61" s="1304"/>
      <c r="N61" s="1304"/>
      <c r="O61" s="1304"/>
      <c r="P61" s="1304">
        <f t="shared" si="10"/>
        <v>0</v>
      </c>
      <c r="Q61" s="1305" t="str">
        <f t="shared" si="11"/>
        <v/>
      </c>
    </row>
    <row r="62" spans="1:19" x14ac:dyDescent="0.3">
      <c r="A62" s="1301" t="s">
        <v>891</v>
      </c>
      <c r="B62" s="1302" t="s">
        <v>940</v>
      </c>
      <c r="C62" s="1302">
        <v>2022</v>
      </c>
      <c r="D62" s="813"/>
      <c r="E62" s="813"/>
      <c r="F62" s="813"/>
      <c r="G62" s="813"/>
      <c r="H62" s="707"/>
      <c r="I62" s="813"/>
      <c r="J62" s="813"/>
      <c r="K62" s="813"/>
      <c r="L62" s="813"/>
      <c r="M62" s="707"/>
      <c r="N62" s="707"/>
      <c r="O62" s="707"/>
      <c r="P62" s="813"/>
      <c r="Q62" s="291"/>
    </row>
    <row r="63" spans="1:19" ht="15" thickBot="1" x14ac:dyDescent="0.35">
      <c r="A63" s="1306" t="s">
        <v>891</v>
      </c>
      <c r="B63" s="1307" t="s">
        <v>940</v>
      </c>
      <c r="C63" s="1307">
        <v>2023</v>
      </c>
      <c r="D63" s="999"/>
      <c r="E63" s="999"/>
      <c r="F63" s="999"/>
      <c r="G63" s="999"/>
      <c r="H63" s="1604"/>
      <c r="I63" s="999"/>
      <c r="J63" s="999"/>
      <c r="K63" s="999"/>
      <c r="L63" s="999"/>
      <c r="M63" s="1604"/>
      <c r="N63" s="1604"/>
      <c r="O63" s="1604"/>
      <c r="P63" s="999"/>
      <c r="Q63" s="293"/>
    </row>
    <row r="64" spans="1:19" x14ac:dyDescent="0.3">
      <c r="C64" s="1274"/>
      <c r="M64" s="1631"/>
      <c r="N64" s="1631"/>
      <c r="O64" s="1631"/>
    </row>
    <row r="65" spans="3:18" x14ac:dyDescent="0.3">
      <c r="C65" s="1275"/>
      <c r="M65" s="1631"/>
      <c r="N65" s="1631"/>
      <c r="O65" s="1631"/>
      <c r="P65" s="1631"/>
      <c r="Q65" s="1648"/>
      <c r="R65" s="1649"/>
    </row>
    <row r="66" spans="3:18" x14ac:dyDescent="0.3">
      <c r="C66" s="1273"/>
    </row>
    <row r="71" spans="3:18" x14ac:dyDescent="0.3">
      <c r="E71" s="1783"/>
      <c r="M71" s="1783"/>
      <c r="N71" s="1783"/>
      <c r="O71" s="1783"/>
      <c r="P71" s="1783"/>
    </row>
    <row r="73" spans="3:18" x14ac:dyDescent="0.3">
      <c r="O73" s="1784"/>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5546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21" t="s">
        <v>958</v>
      </c>
      <c r="B2" s="2622"/>
      <c r="C2" s="2622"/>
      <c r="D2" s="2622"/>
      <c r="E2" s="2622"/>
      <c r="F2" s="2622"/>
      <c r="G2" s="2622"/>
      <c r="H2" s="2622"/>
      <c r="I2" s="2622"/>
      <c r="J2" s="2622"/>
      <c r="K2" s="2622"/>
      <c r="L2" s="2622"/>
      <c r="M2" s="2622"/>
      <c r="N2" s="2622"/>
      <c r="O2" s="2622"/>
      <c r="P2" s="2622"/>
      <c r="Q2" s="2622"/>
      <c r="R2" s="2622"/>
      <c r="S2" s="2622"/>
      <c r="T2" s="2622"/>
      <c r="U2" s="2622"/>
      <c r="V2" s="2622"/>
    </row>
    <row r="3" spans="1:28" s="1" customFormat="1" ht="32.4" thickBot="1" x14ac:dyDescent="0.4">
      <c r="A3" s="1279"/>
      <c r="B3" s="1392" t="s">
        <v>820</v>
      </c>
      <c r="C3" s="1396" t="s">
        <v>821</v>
      </c>
      <c r="D3" s="1285" t="s">
        <v>959</v>
      </c>
      <c r="E3" s="1276"/>
      <c r="F3" s="1277"/>
      <c r="G3" s="1277"/>
      <c r="H3" s="1277"/>
      <c r="I3" s="1277"/>
      <c r="J3" s="1277"/>
      <c r="K3" s="1277"/>
      <c r="L3" s="1277"/>
      <c r="M3" s="1277"/>
      <c r="N3" s="1277"/>
      <c r="O3" s="1277"/>
      <c r="P3" s="1277"/>
      <c r="Q3" s="1277"/>
      <c r="R3" s="1277"/>
      <c r="S3" s="1277"/>
      <c r="T3" s="1277"/>
      <c r="U3" s="1277"/>
      <c r="V3" s="1277"/>
      <c r="W3" s="1277"/>
      <c r="X3" s="1277"/>
      <c r="Y3" s="1277"/>
      <c r="Z3" s="1277"/>
      <c r="AA3" s="1277"/>
      <c r="AB3" s="1858"/>
    </row>
    <row r="4" spans="1:28" s="1" customFormat="1" ht="44.4" thickBot="1" x14ac:dyDescent="0.4">
      <c r="A4" s="1278"/>
      <c r="B4" s="1288" t="s">
        <v>836</v>
      </c>
      <c r="C4" s="1287"/>
      <c r="D4" s="1287"/>
      <c r="E4" s="1287"/>
      <c r="F4" s="1287"/>
      <c r="G4" s="1393"/>
      <c r="H4" s="1864" t="s">
        <v>960</v>
      </c>
      <c r="I4" s="1857" t="s">
        <v>961</v>
      </c>
      <c r="J4" s="1864" t="s">
        <v>962</v>
      </c>
      <c r="K4" s="1288" t="s">
        <v>891</v>
      </c>
      <c r="L4" s="1287"/>
      <c r="M4" s="1287"/>
      <c r="N4" s="1287"/>
      <c r="O4" s="1287"/>
      <c r="P4" s="1393"/>
      <c r="Q4" s="1864" t="s">
        <v>963</v>
      </c>
      <c r="R4" s="1857" t="s">
        <v>964</v>
      </c>
      <c r="S4" s="1864" t="s">
        <v>965</v>
      </c>
      <c r="T4" s="2136" t="s">
        <v>966</v>
      </c>
      <c r="U4" s="2137"/>
      <c r="V4" s="2137"/>
      <c r="W4" s="2141" t="s">
        <v>967</v>
      </c>
      <c r="X4" s="2138" t="s">
        <v>968</v>
      </c>
      <c r="Y4" s="1864" t="s">
        <v>969</v>
      </c>
      <c r="Z4" s="1886" t="s">
        <v>970</v>
      </c>
      <c r="AA4" s="1886" t="s">
        <v>971</v>
      </c>
      <c r="AB4" s="1886" t="s">
        <v>972</v>
      </c>
    </row>
    <row r="5" spans="1:28" s="1" customFormat="1" ht="31.8" thickBot="1" x14ac:dyDescent="0.35">
      <c r="A5" s="1286"/>
      <c r="B5" s="1394" t="s">
        <v>837</v>
      </c>
      <c r="C5" s="1652"/>
      <c r="D5" s="1395"/>
      <c r="E5" s="1394" t="s">
        <v>889</v>
      </c>
      <c r="F5" s="1652"/>
      <c r="G5" s="1395"/>
      <c r="H5" s="2117"/>
      <c r="I5" s="1860"/>
      <c r="J5" s="2117"/>
      <c r="K5" s="1394" t="s">
        <v>892</v>
      </c>
      <c r="L5" s="1652"/>
      <c r="M5" s="1395"/>
      <c r="N5" s="1394" t="s">
        <v>940</v>
      </c>
      <c r="O5" s="1652"/>
      <c r="P5" s="1395"/>
      <c r="Q5" s="2117"/>
      <c r="R5" s="1860"/>
      <c r="S5" s="2117"/>
      <c r="T5" s="2337" t="s">
        <v>966</v>
      </c>
      <c r="U5" s="2337"/>
      <c r="V5" s="2337"/>
      <c r="W5" s="2142"/>
      <c r="X5" s="2139"/>
      <c r="Y5" s="2117"/>
      <c r="Z5" s="1886"/>
      <c r="AA5" s="1886"/>
      <c r="AB5" s="1886"/>
    </row>
    <row r="6" spans="1:28" s="1" customFormat="1" ht="15" thickBot="1" x14ac:dyDescent="0.35">
      <c r="A6" s="1285" t="s">
        <v>15</v>
      </c>
      <c r="B6" s="2327" t="s">
        <v>973</v>
      </c>
      <c r="C6" s="1277" t="s">
        <v>974</v>
      </c>
      <c r="D6" s="1290" t="s">
        <v>975</v>
      </c>
      <c r="E6" s="984" t="s">
        <v>973</v>
      </c>
      <c r="F6" s="950" t="s">
        <v>974</v>
      </c>
      <c r="G6" s="1855" t="s">
        <v>975</v>
      </c>
      <c r="H6" s="1865"/>
      <c r="I6" s="1861"/>
      <c r="J6" s="1865"/>
      <c r="K6" s="984" t="s">
        <v>973</v>
      </c>
      <c r="L6" s="950" t="s">
        <v>974</v>
      </c>
      <c r="M6" s="1855" t="s">
        <v>975</v>
      </c>
      <c r="N6" s="1289" t="s">
        <v>973</v>
      </c>
      <c r="O6" s="950" t="s">
        <v>974</v>
      </c>
      <c r="P6" s="1855" t="s">
        <v>975</v>
      </c>
      <c r="Q6" s="1865"/>
      <c r="R6" s="1861"/>
      <c r="S6" s="1865"/>
      <c r="T6" s="2337" t="s">
        <v>973</v>
      </c>
      <c r="U6" s="2337" t="s">
        <v>974</v>
      </c>
      <c r="V6" s="2337" t="s">
        <v>975</v>
      </c>
      <c r="W6" s="2143"/>
      <c r="X6" s="2140"/>
      <c r="Y6" s="1865"/>
      <c r="Z6" s="1885"/>
      <c r="AA6" s="1885"/>
      <c r="AB6" s="1885"/>
    </row>
    <row r="7" spans="1:28" x14ac:dyDescent="0.3">
      <c r="A7" s="669">
        <v>2000</v>
      </c>
      <c r="B7" s="701">
        <v>21838</v>
      </c>
      <c r="C7" s="701">
        <v>0</v>
      </c>
      <c r="D7" s="1107">
        <v>21838</v>
      </c>
      <c r="E7" s="701"/>
      <c r="F7" s="701"/>
      <c r="G7" s="1107"/>
      <c r="H7" s="701">
        <v>21838</v>
      </c>
      <c r="I7" s="2342">
        <v>0</v>
      </c>
      <c r="J7" s="1107">
        <v>21838</v>
      </c>
      <c r="K7" s="701"/>
      <c r="L7" s="701"/>
      <c r="M7" s="1107"/>
      <c r="N7" s="701"/>
      <c r="O7" s="701"/>
      <c r="P7" s="1107"/>
      <c r="Q7" s="701"/>
      <c r="R7" s="2342"/>
      <c r="S7" s="1107"/>
      <c r="T7" s="701"/>
      <c r="U7" s="701"/>
      <c r="V7" s="1107"/>
      <c r="W7" s="701"/>
      <c r="X7" s="2342"/>
      <c r="Y7" s="1107"/>
      <c r="Z7" s="701">
        <v>21838</v>
      </c>
      <c r="AA7" s="701">
        <v>0</v>
      </c>
      <c r="AB7" s="1107">
        <v>21838</v>
      </c>
    </row>
    <row r="8" spans="1:28" x14ac:dyDescent="0.3">
      <c r="A8" s="669">
        <v>2001</v>
      </c>
      <c r="B8" s="701">
        <v>39024</v>
      </c>
      <c r="C8" s="701">
        <v>0</v>
      </c>
      <c r="D8" s="1107">
        <v>39024</v>
      </c>
      <c r="E8" s="701"/>
      <c r="F8" s="701"/>
      <c r="G8" s="1107"/>
      <c r="H8" s="701">
        <v>39024</v>
      </c>
      <c r="I8" s="2342">
        <v>0</v>
      </c>
      <c r="J8" s="1107">
        <v>39024</v>
      </c>
      <c r="K8" s="701"/>
      <c r="L8" s="701"/>
      <c r="M8" s="1107"/>
      <c r="N8" s="701"/>
      <c r="O8" s="701"/>
      <c r="P8" s="1107"/>
      <c r="Q8" s="701"/>
      <c r="R8" s="2342"/>
      <c r="S8" s="1107"/>
      <c r="T8" s="701"/>
      <c r="U8" s="701"/>
      <c r="V8" s="1107"/>
      <c r="W8" s="701"/>
      <c r="X8" s="2342"/>
      <c r="Y8" s="1107"/>
      <c r="Z8" s="701">
        <v>39024</v>
      </c>
      <c r="AA8" s="701">
        <v>0</v>
      </c>
      <c r="AB8" s="1107">
        <v>39024</v>
      </c>
    </row>
    <row r="9" spans="1:28" x14ac:dyDescent="0.3">
      <c r="A9" s="669">
        <v>2002</v>
      </c>
      <c r="B9" s="701">
        <v>3560</v>
      </c>
      <c r="C9" s="701">
        <v>0</v>
      </c>
      <c r="D9" s="1107">
        <v>3560</v>
      </c>
      <c r="E9" s="701"/>
      <c r="F9" s="701"/>
      <c r="G9" s="1107"/>
      <c r="H9" s="701">
        <v>3560</v>
      </c>
      <c r="I9" s="2342">
        <v>0</v>
      </c>
      <c r="J9" s="1107">
        <v>3560</v>
      </c>
      <c r="K9" s="701"/>
      <c r="L9" s="701"/>
      <c r="M9" s="1107"/>
      <c r="N9" s="701"/>
      <c r="O9" s="701"/>
      <c r="P9" s="1107"/>
      <c r="Q9" s="701"/>
      <c r="R9" s="2342"/>
      <c r="S9" s="1107"/>
      <c r="T9" s="701"/>
      <c r="U9" s="701"/>
      <c r="V9" s="1107"/>
      <c r="W9" s="701"/>
      <c r="X9" s="2342"/>
      <c r="Y9" s="1107"/>
      <c r="Z9" s="701">
        <v>3560</v>
      </c>
      <c r="AA9" s="701">
        <v>0</v>
      </c>
      <c r="AB9" s="1107">
        <v>3560</v>
      </c>
    </row>
    <row r="10" spans="1:28" x14ac:dyDescent="0.3">
      <c r="A10" s="669">
        <v>2003</v>
      </c>
      <c r="B10" s="701">
        <v>17753</v>
      </c>
      <c r="C10" s="701">
        <v>0</v>
      </c>
      <c r="D10" s="1107">
        <v>17753</v>
      </c>
      <c r="E10" s="701"/>
      <c r="F10" s="701"/>
      <c r="G10" s="1107"/>
      <c r="H10" s="701">
        <v>17753</v>
      </c>
      <c r="I10" s="2342">
        <v>0</v>
      </c>
      <c r="J10" s="1107">
        <v>17753</v>
      </c>
      <c r="K10" s="701"/>
      <c r="L10" s="701"/>
      <c r="M10" s="1107"/>
      <c r="N10" s="701"/>
      <c r="O10" s="701"/>
      <c r="P10" s="1107"/>
      <c r="Q10" s="701"/>
      <c r="R10" s="2342"/>
      <c r="S10" s="1107"/>
      <c r="T10" s="701"/>
      <c r="U10" s="701"/>
      <c r="V10" s="1107"/>
      <c r="W10" s="701"/>
      <c r="X10" s="2342"/>
      <c r="Y10" s="1107"/>
      <c r="Z10" s="701">
        <v>17753</v>
      </c>
      <c r="AA10" s="701">
        <v>0</v>
      </c>
      <c r="AB10" s="1107">
        <v>17753</v>
      </c>
    </row>
    <row r="11" spans="1:28" x14ac:dyDescent="0.3">
      <c r="A11" s="669">
        <v>2004</v>
      </c>
      <c r="B11" s="701">
        <v>41791</v>
      </c>
      <c r="C11" s="701">
        <v>0</v>
      </c>
      <c r="D11" s="1107">
        <v>41791</v>
      </c>
      <c r="E11" s="701"/>
      <c r="F11" s="701"/>
      <c r="G11" s="1107"/>
      <c r="H11" s="701">
        <v>41791</v>
      </c>
      <c r="I11" s="2342">
        <v>0</v>
      </c>
      <c r="J11" s="1107">
        <v>41791</v>
      </c>
      <c r="K11" s="701"/>
      <c r="L11" s="701"/>
      <c r="M11" s="1107"/>
      <c r="N11" s="701"/>
      <c r="O11" s="701"/>
      <c r="P11" s="1107"/>
      <c r="Q11" s="701"/>
      <c r="R11" s="2342"/>
      <c r="S11" s="1107"/>
      <c r="T11" s="701"/>
      <c r="U11" s="701"/>
      <c r="V11" s="1107"/>
      <c r="W11" s="701"/>
      <c r="X11" s="2342"/>
      <c r="Y11" s="1107"/>
      <c r="Z11" s="701">
        <v>41791</v>
      </c>
      <c r="AA11" s="701">
        <v>0</v>
      </c>
      <c r="AB11" s="1107">
        <v>41791</v>
      </c>
    </row>
    <row r="12" spans="1:28" x14ac:dyDescent="0.3">
      <c r="A12" s="669">
        <v>2005</v>
      </c>
      <c r="B12" s="701">
        <v>31260</v>
      </c>
      <c r="C12" s="701">
        <v>0</v>
      </c>
      <c r="D12" s="1107">
        <v>31260</v>
      </c>
      <c r="E12" s="701"/>
      <c r="F12" s="701"/>
      <c r="G12" s="1107"/>
      <c r="H12" s="701">
        <v>31260</v>
      </c>
      <c r="I12" s="2342">
        <v>0</v>
      </c>
      <c r="J12" s="1107">
        <v>31260</v>
      </c>
      <c r="K12" s="701"/>
      <c r="L12" s="701"/>
      <c r="M12" s="1107"/>
      <c r="N12" s="701"/>
      <c r="O12" s="701"/>
      <c r="P12" s="1107"/>
      <c r="Q12" s="701"/>
      <c r="R12" s="2342"/>
      <c r="S12" s="1107"/>
      <c r="T12" s="701"/>
      <c r="U12" s="701"/>
      <c r="V12" s="1107"/>
      <c r="W12" s="701"/>
      <c r="X12" s="2342"/>
      <c r="Y12" s="1107"/>
      <c r="Z12" s="701">
        <v>31260</v>
      </c>
      <c r="AA12" s="701">
        <v>0</v>
      </c>
      <c r="AB12" s="1107">
        <v>31260</v>
      </c>
    </row>
    <row r="13" spans="1:28" x14ac:dyDescent="0.3">
      <c r="A13" s="669">
        <v>2006</v>
      </c>
      <c r="B13" s="701">
        <v>20819</v>
      </c>
      <c r="C13" s="701">
        <v>0</v>
      </c>
      <c r="D13" s="1107">
        <v>20819</v>
      </c>
      <c r="E13" s="701"/>
      <c r="F13" s="701"/>
      <c r="G13" s="1107"/>
      <c r="H13" s="701">
        <v>20819</v>
      </c>
      <c r="I13" s="2342">
        <v>0</v>
      </c>
      <c r="J13" s="1107">
        <v>20819</v>
      </c>
      <c r="K13" s="701"/>
      <c r="L13" s="701"/>
      <c r="M13" s="1107"/>
      <c r="N13" s="701"/>
      <c r="O13" s="701"/>
      <c r="P13" s="1107"/>
      <c r="Q13" s="701"/>
      <c r="R13" s="2342"/>
      <c r="S13" s="1107"/>
      <c r="T13" s="701"/>
      <c r="U13" s="701"/>
      <c r="V13" s="1107"/>
      <c r="W13" s="701"/>
      <c r="X13" s="2342"/>
      <c r="Y13" s="1107"/>
      <c r="Z13" s="701">
        <v>20819</v>
      </c>
      <c r="AA13" s="701">
        <v>0</v>
      </c>
      <c r="AB13" s="1107">
        <v>20819</v>
      </c>
    </row>
    <row r="14" spans="1:28" x14ac:dyDescent="0.3">
      <c r="A14" s="669">
        <v>2007</v>
      </c>
      <c r="B14" s="2105">
        <v>11871</v>
      </c>
      <c r="C14" s="701">
        <v>1619</v>
      </c>
      <c r="D14" s="1107">
        <v>13490</v>
      </c>
      <c r="E14" s="701"/>
      <c r="F14" s="701"/>
      <c r="G14" s="1107"/>
      <c r="H14" s="701">
        <v>11871</v>
      </c>
      <c r="I14" s="2342">
        <v>1619</v>
      </c>
      <c r="J14" s="1107">
        <v>13490</v>
      </c>
      <c r="K14" s="701"/>
      <c r="L14" s="701"/>
      <c r="M14" s="1107"/>
      <c r="N14" s="701"/>
      <c r="O14" s="701"/>
      <c r="P14" s="1107"/>
      <c r="Q14" s="701"/>
      <c r="R14" s="2342"/>
      <c r="S14" s="1107"/>
      <c r="T14" s="701"/>
      <c r="U14" s="701"/>
      <c r="V14" s="1107"/>
      <c r="W14" s="701"/>
      <c r="X14" s="2342"/>
      <c r="Y14" s="1107"/>
      <c r="Z14" s="701">
        <v>11871</v>
      </c>
      <c r="AA14" s="701">
        <v>1619</v>
      </c>
      <c r="AB14" s="1107">
        <v>13490</v>
      </c>
    </row>
    <row r="15" spans="1:28" x14ac:dyDescent="0.3">
      <c r="A15" s="669">
        <v>2008</v>
      </c>
      <c r="B15" s="2105">
        <v>118973</v>
      </c>
      <c r="C15" s="701">
        <v>7999</v>
      </c>
      <c r="D15" s="1107">
        <v>126972</v>
      </c>
      <c r="E15" s="701"/>
      <c r="F15" s="701"/>
      <c r="G15" s="1107"/>
      <c r="H15" s="701">
        <v>118973</v>
      </c>
      <c r="I15" s="2342">
        <v>7999</v>
      </c>
      <c r="J15" s="1107">
        <v>126972</v>
      </c>
      <c r="K15" s="701"/>
      <c r="L15" s="701"/>
      <c r="M15" s="1107"/>
      <c r="N15" s="701"/>
      <c r="O15" s="701"/>
      <c r="P15" s="1107"/>
      <c r="Q15" s="701"/>
      <c r="R15" s="2342"/>
      <c r="S15" s="1107"/>
      <c r="T15" s="701"/>
      <c r="U15" s="701"/>
      <c r="V15" s="1107"/>
      <c r="W15" s="701"/>
      <c r="X15" s="2342"/>
      <c r="Y15" s="1107"/>
      <c r="Z15" s="701">
        <v>118973</v>
      </c>
      <c r="AA15" s="701">
        <v>7999</v>
      </c>
      <c r="AB15" s="1107">
        <v>126972</v>
      </c>
    </row>
    <row r="16" spans="1:28" x14ac:dyDescent="0.3">
      <c r="A16" s="669">
        <v>2009</v>
      </c>
      <c r="B16" s="2105">
        <v>56917</v>
      </c>
      <c r="C16" s="701">
        <v>7107</v>
      </c>
      <c r="D16" s="1107">
        <v>64024</v>
      </c>
      <c r="E16" s="2105">
        <v>2006</v>
      </c>
      <c r="F16" s="701">
        <v>2023</v>
      </c>
      <c r="G16" s="1107">
        <v>4029</v>
      </c>
      <c r="H16" s="701">
        <v>58923</v>
      </c>
      <c r="I16" s="2342">
        <v>9130</v>
      </c>
      <c r="J16" s="1107">
        <v>68053</v>
      </c>
      <c r="K16" s="701"/>
      <c r="L16" s="701"/>
      <c r="M16" s="1107"/>
      <c r="N16" s="701"/>
      <c r="O16" s="701"/>
      <c r="P16" s="1107"/>
      <c r="Q16" s="701"/>
      <c r="R16" s="2342"/>
      <c r="S16" s="1107"/>
      <c r="T16" s="701"/>
      <c r="U16" s="701"/>
      <c r="V16" s="1107"/>
      <c r="W16" s="701"/>
      <c r="X16" s="2342"/>
      <c r="Y16" s="1107"/>
      <c r="Z16" s="701">
        <v>58923</v>
      </c>
      <c r="AA16" s="701">
        <v>9130</v>
      </c>
      <c r="AB16" s="1107">
        <v>68053</v>
      </c>
    </row>
    <row r="17" spans="1:28" x14ac:dyDescent="0.3">
      <c r="A17" s="669">
        <v>2010</v>
      </c>
      <c r="B17" s="2105">
        <v>176476</v>
      </c>
      <c r="C17" s="701">
        <v>5646</v>
      </c>
      <c r="D17" s="1107">
        <v>182122</v>
      </c>
      <c r="E17" s="2105">
        <v>14985</v>
      </c>
      <c r="F17" s="701">
        <v>2854</v>
      </c>
      <c r="G17" s="1107">
        <v>17839</v>
      </c>
      <c r="H17" s="701">
        <v>191461</v>
      </c>
      <c r="I17" s="2342">
        <v>8500</v>
      </c>
      <c r="J17" s="1107">
        <v>199961</v>
      </c>
      <c r="K17" s="701"/>
      <c r="L17" s="701"/>
      <c r="M17" s="1107"/>
      <c r="N17" s="701"/>
      <c r="O17" s="701"/>
      <c r="P17" s="1107"/>
      <c r="Q17" s="701"/>
      <c r="R17" s="2342"/>
      <c r="S17" s="1107"/>
      <c r="T17" s="701"/>
      <c r="U17" s="701"/>
      <c r="V17" s="1107"/>
      <c r="W17" s="701"/>
      <c r="X17" s="2342"/>
      <c r="Y17" s="1107"/>
      <c r="Z17" s="701">
        <v>191461</v>
      </c>
      <c r="AA17" s="701">
        <v>8500</v>
      </c>
      <c r="AB17" s="1107">
        <v>199961</v>
      </c>
    </row>
    <row r="18" spans="1:28" x14ac:dyDescent="0.3">
      <c r="A18" s="1799">
        <v>2011</v>
      </c>
      <c r="B18" s="2105">
        <v>10369.666999999999</v>
      </c>
      <c r="C18" s="1632">
        <v>443.33300000000003</v>
      </c>
      <c r="D18" s="1633">
        <v>10813</v>
      </c>
      <c r="E18" s="2105">
        <v>1548</v>
      </c>
      <c r="F18" s="1632">
        <v>660</v>
      </c>
      <c r="G18" s="1633">
        <v>2208</v>
      </c>
      <c r="H18" s="1632">
        <v>11917.666999999999</v>
      </c>
      <c r="I18" s="2343">
        <v>1103.3330000000001</v>
      </c>
      <c r="J18" s="1633">
        <v>13021</v>
      </c>
      <c r="K18" s="2118">
        <v>4575.7999999999993</v>
      </c>
      <c r="L18" s="1632">
        <v>18303.2</v>
      </c>
      <c r="M18" s="1633">
        <v>22879</v>
      </c>
      <c r="N18" s="1632"/>
      <c r="O18" s="1632"/>
      <c r="P18" s="1633"/>
      <c r="Q18" s="1632">
        <v>4575.7999999999993</v>
      </c>
      <c r="R18" s="2343">
        <v>18303.2</v>
      </c>
      <c r="S18" s="1633">
        <v>22879</v>
      </c>
      <c r="T18" s="1632"/>
      <c r="U18" s="1632"/>
      <c r="V18" s="1633"/>
      <c r="W18" s="1632"/>
      <c r="X18" s="2343"/>
      <c r="Y18" s="1633"/>
      <c r="Z18" s="1632">
        <v>16493.466999999997</v>
      </c>
      <c r="AA18" s="1632">
        <v>19406.532999999999</v>
      </c>
      <c r="AB18" s="1633">
        <v>35900</v>
      </c>
    </row>
    <row r="19" spans="1:28" x14ac:dyDescent="0.3">
      <c r="A19" s="669">
        <v>2012</v>
      </c>
      <c r="B19" s="2105">
        <v>89045</v>
      </c>
      <c r="C19" s="701">
        <v>1817</v>
      </c>
      <c r="D19" s="1107">
        <v>90862</v>
      </c>
      <c r="E19" s="2105">
        <v>2316</v>
      </c>
      <c r="F19" s="701">
        <v>887</v>
      </c>
      <c r="G19" s="1107">
        <v>3203</v>
      </c>
      <c r="H19" s="701">
        <v>91361</v>
      </c>
      <c r="I19" s="2342">
        <v>2704</v>
      </c>
      <c r="J19" s="1107">
        <v>94065</v>
      </c>
      <c r="K19" s="2119">
        <v>2737</v>
      </c>
      <c r="L19" s="701">
        <v>8257</v>
      </c>
      <c r="M19" s="1107">
        <v>10994</v>
      </c>
      <c r="N19" s="701"/>
      <c r="O19" s="701"/>
      <c r="P19" s="1107"/>
      <c r="Q19" s="701">
        <v>2737</v>
      </c>
      <c r="R19" s="2342">
        <v>8257</v>
      </c>
      <c r="S19" s="1107">
        <v>10994</v>
      </c>
      <c r="T19" s="701"/>
      <c r="U19" s="701"/>
      <c r="V19" s="1107"/>
      <c r="W19" s="701"/>
      <c r="X19" s="2342"/>
      <c r="Y19" s="1107"/>
      <c r="Z19" s="701">
        <v>94098</v>
      </c>
      <c r="AA19" s="701">
        <v>10961</v>
      </c>
      <c r="AB19" s="1107">
        <v>105059</v>
      </c>
    </row>
    <row r="20" spans="1:28" x14ac:dyDescent="0.3">
      <c r="A20" s="669">
        <v>2013</v>
      </c>
      <c r="B20" s="2105">
        <v>28950</v>
      </c>
      <c r="C20" s="2112">
        <v>4870</v>
      </c>
      <c r="D20" s="1107">
        <v>33820</v>
      </c>
      <c r="E20" s="701">
        <v>476</v>
      </c>
      <c r="F20" s="2112">
        <v>1632</v>
      </c>
      <c r="G20" s="1107">
        <v>2108</v>
      </c>
      <c r="H20" s="701">
        <v>29426</v>
      </c>
      <c r="I20" s="2342">
        <v>6502</v>
      </c>
      <c r="J20" s="1107">
        <v>35928</v>
      </c>
      <c r="K20" s="701">
        <v>3617</v>
      </c>
      <c r="L20" s="2112">
        <v>5287</v>
      </c>
      <c r="M20" s="1107">
        <v>8904</v>
      </c>
      <c r="N20" s="701"/>
      <c r="O20" s="701"/>
      <c r="P20" s="1107"/>
      <c r="Q20" s="701">
        <v>3617</v>
      </c>
      <c r="R20" s="2342">
        <v>5287</v>
      </c>
      <c r="S20" s="1107">
        <v>8904</v>
      </c>
      <c r="T20" s="701"/>
      <c r="U20" s="701"/>
      <c r="V20" s="1107"/>
      <c r="W20" s="701"/>
      <c r="X20" s="2342"/>
      <c r="Y20" s="1107"/>
      <c r="Z20" s="701">
        <v>33043</v>
      </c>
      <c r="AA20" s="701">
        <v>11789</v>
      </c>
      <c r="AB20" s="1107">
        <v>44832</v>
      </c>
    </row>
    <row r="21" spans="1:28" x14ac:dyDescent="0.3">
      <c r="A21" s="669">
        <v>2014</v>
      </c>
      <c r="B21" s="2105">
        <v>141431</v>
      </c>
      <c r="C21" s="701">
        <v>3775</v>
      </c>
      <c r="D21" s="1107">
        <v>145206</v>
      </c>
      <c r="E21" s="701">
        <v>1354</v>
      </c>
      <c r="F21" s="701">
        <v>135</v>
      </c>
      <c r="G21" s="1107">
        <v>1489</v>
      </c>
      <c r="H21" s="701">
        <v>142785</v>
      </c>
      <c r="I21" s="2342">
        <v>3910</v>
      </c>
      <c r="J21" s="1107">
        <v>146695</v>
      </c>
      <c r="K21" s="701">
        <v>29342</v>
      </c>
      <c r="L21" s="701">
        <v>20207</v>
      </c>
      <c r="M21" s="1107">
        <v>49549</v>
      </c>
      <c r="N21" s="701">
        <v>111.33011766130498</v>
      </c>
      <c r="O21" s="701">
        <v>76.669882338695032</v>
      </c>
      <c r="P21" s="1107">
        <v>188</v>
      </c>
      <c r="Q21" s="701">
        <v>29453.330117661306</v>
      </c>
      <c r="R21" s="2342">
        <v>20283.669882338694</v>
      </c>
      <c r="S21" s="1107">
        <v>49737</v>
      </c>
      <c r="T21" s="701"/>
      <c r="U21" s="701"/>
      <c r="V21" s="1107"/>
      <c r="W21" s="701"/>
      <c r="X21" s="2342"/>
      <c r="Y21" s="1107"/>
      <c r="Z21" s="701">
        <v>172238.3301176613</v>
      </c>
      <c r="AA21" s="701">
        <v>24193.669882338694</v>
      </c>
      <c r="AB21" s="1107">
        <v>196432</v>
      </c>
    </row>
    <row r="22" spans="1:28" x14ac:dyDescent="0.3">
      <c r="A22" s="669">
        <v>2015</v>
      </c>
      <c r="B22" s="2105">
        <v>10091</v>
      </c>
      <c r="C22" s="2113">
        <v>164</v>
      </c>
      <c r="D22" s="1107">
        <v>10255</v>
      </c>
      <c r="E22" s="701">
        <v>180</v>
      </c>
      <c r="F22" s="2113">
        <v>6</v>
      </c>
      <c r="G22" s="1107">
        <v>186</v>
      </c>
      <c r="H22" s="701">
        <v>10271</v>
      </c>
      <c r="I22" s="2342">
        <v>170</v>
      </c>
      <c r="J22" s="1107">
        <v>10441</v>
      </c>
      <c r="K22" s="701">
        <v>14257</v>
      </c>
      <c r="L22" s="2113">
        <v>0</v>
      </c>
      <c r="M22" s="1107">
        <v>14257</v>
      </c>
      <c r="N22" s="701">
        <v>150</v>
      </c>
      <c r="O22" s="2113">
        <v>0</v>
      </c>
      <c r="P22" s="1107">
        <v>150</v>
      </c>
      <c r="Q22" s="701">
        <v>14407</v>
      </c>
      <c r="R22" s="2342">
        <v>0</v>
      </c>
      <c r="S22" s="1107">
        <v>14407</v>
      </c>
      <c r="T22" s="701"/>
      <c r="U22" s="701"/>
      <c r="V22" s="1107"/>
      <c r="W22" s="701"/>
      <c r="X22" s="2342"/>
      <c r="Y22" s="1107"/>
      <c r="Z22" s="701">
        <v>24678</v>
      </c>
      <c r="AA22" s="701">
        <v>170</v>
      </c>
      <c r="AB22" s="1107">
        <v>24848</v>
      </c>
    </row>
    <row r="23" spans="1:28" x14ac:dyDescent="0.3">
      <c r="A23" s="669">
        <v>2016</v>
      </c>
      <c r="B23" s="2105">
        <v>53901</v>
      </c>
      <c r="C23" s="2113">
        <v>380</v>
      </c>
      <c r="D23" s="1107">
        <v>54281</v>
      </c>
      <c r="E23" s="701">
        <v>0</v>
      </c>
      <c r="F23" s="2113">
        <v>0</v>
      </c>
      <c r="G23" s="1107">
        <v>531.56600000000003</v>
      </c>
      <c r="H23" s="701">
        <v>53901</v>
      </c>
      <c r="I23" s="2342">
        <v>380</v>
      </c>
      <c r="J23" s="1107">
        <v>54812.565999999999</v>
      </c>
      <c r="K23" s="701">
        <v>36612</v>
      </c>
      <c r="L23" s="2113">
        <v>241</v>
      </c>
      <c r="M23" s="1107">
        <v>36853</v>
      </c>
      <c r="N23" s="701"/>
      <c r="O23" s="2113"/>
      <c r="P23" s="1107"/>
      <c r="Q23" s="701">
        <v>36612</v>
      </c>
      <c r="R23" s="2342">
        <v>241</v>
      </c>
      <c r="S23" s="1107">
        <v>36853</v>
      </c>
      <c r="T23" s="701"/>
      <c r="U23" s="701"/>
      <c r="V23" s="1107"/>
      <c r="W23" s="701"/>
      <c r="X23" s="2342"/>
      <c r="Y23" s="1107"/>
      <c r="Z23" s="701">
        <v>90513</v>
      </c>
      <c r="AA23" s="701">
        <v>621</v>
      </c>
      <c r="AB23" s="1107">
        <v>91665.565999999992</v>
      </c>
    </row>
    <row r="24" spans="1:28" x14ac:dyDescent="0.3">
      <c r="A24" s="669">
        <v>2017</v>
      </c>
      <c r="B24" s="2105">
        <v>9893</v>
      </c>
      <c r="C24" s="2113">
        <v>0</v>
      </c>
      <c r="D24" s="1107">
        <v>9893</v>
      </c>
      <c r="E24" s="701">
        <v>165</v>
      </c>
      <c r="F24" s="2113">
        <v>0</v>
      </c>
      <c r="G24" s="1107">
        <v>165</v>
      </c>
      <c r="H24" s="701">
        <v>10058</v>
      </c>
      <c r="I24" s="2342">
        <v>0</v>
      </c>
      <c r="J24" s="1107">
        <v>10058</v>
      </c>
      <c r="K24" s="701">
        <v>27050</v>
      </c>
      <c r="L24" s="2113">
        <v>86</v>
      </c>
      <c r="M24" s="1107">
        <v>27136</v>
      </c>
      <c r="N24" s="701"/>
      <c r="O24" s="2113"/>
      <c r="P24" s="1107"/>
      <c r="Q24" s="701">
        <v>27050</v>
      </c>
      <c r="R24" s="2342">
        <v>86</v>
      </c>
      <c r="S24" s="1107">
        <v>27136</v>
      </c>
      <c r="T24" s="701"/>
      <c r="U24" s="701"/>
      <c r="V24" s="1107"/>
      <c r="W24" s="701"/>
      <c r="X24" s="2342"/>
      <c r="Y24" s="1107"/>
      <c r="Z24" s="701">
        <v>37108</v>
      </c>
      <c r="AA24" s="701">
        <v>86</v>
      </c>
      <c r="AB24" s="1107">
        <v>37194</v>
      </c>
    </row>
    <row r="25" spans="1:28" x14ac:dyDescent="0.3">
      <c r="A25" s="669">
        <v>2018</v>
      </c>
      <c r="B25" s="2105">
        <v>30540</v>
      </c>
      <c r="C25" s="701">
        <v>215</v>
      </c>
      <c r="D25" s="1107">
        <v>30755</v>
      </c>
      <c r="E25" s="701">
        <v>246</v>
      </c>
      <c r="F25" s="701">
        <v>4</v>
      </c>
      <c r="G25" s="1107">
        <v>250</v>
      </c>
      <c r="H25" s="701">
        <v>30786</v>
      </c>
      <c r="I25" s="2342">
        <v>219</v>
      </c>
      <c r="J25" s="1107">
        <v>31005</v>
      </c>
      <c r="K25" s="701">
        <v>36660</v>
      </c>
      <c r="L25" s="701">
        <v>4597</v>
      </c>
      <c r="M25" s="1107">
        <v>41257</v>
      </c>
      <c r="N25" s="701">
        <v>376</v>
      </c>
      <c r="O25" s="701">
        <v>113</v>
      </c>
      <c r="P25" s="1107">
        <v>489</v>
      </c>
      <c r="Q25" s="701">
        <v>37036</v>
      </c>
      <c r="R25" s="2342">
        <v>4710</v>
      </c>
      <c r="S25" s="1107">
        <v>41746</v>
      </c>
      <c r="T25" s="701"/>
      <c r="U25" s="701"/>
      <c r="V25" s="1107"/>
      <c r="W25" s="701"/>
      <c r="X25" s="2342"/>
      <c r="Y25" s="1107"/>
      <c r="Z25" s="701">
        <v>67822</v>
      </c>
      <c r="AA25" s="701">
        <v>4929</v>
      </c>
      <c r="AB25" s="1107">
        <v>72751</v>
      </c>
    </row>
    <row r="26" spans="1:28" x14ac:dyDescent="0.3">
      <c r="A26" s="669">
        <v>2019</v>
      </c>
      <c r="B26" s="2105">
        <v>12370.00835</v>
      </c>
      <c r="C26" s="701">
        <v>542.99164999999994</v>
      </c>
      <c r="D26" s="1107">
        <v>12913</v>
      </c>
      <c r="E26" s="701">
        <v>0</v>
      </c>
      <c r="F26" s="701">
        <v>0</v>
      </c>
      <c r="G26" s="1107">
        <v>54</v>
      </c>
      <c r="H26" s="701">
        <v>12370.00835</v>
      </c>
      <c r="I26" s="2342">
        <v>542.99164999999994</v>
      </c>
      <c r="J26" s="1107">
        <v>12967</v>
      </c>
      <c r="K26" s="701">
        <v>5843</v>
      </c>
      <c r="L26" s="701">
        <v>4332</v>
      </c>
      <c r="M26" s="1107">
        <v>10175</v>
      </c>
      <c r="N26" s="701"/>
      <c r="O26" s="701"/>
      <c r="P26" s="1107"/>
      <c r="Q26" s="701">
        <v>5843</v>
      </c>
      <c r="R26" s="2342">
        <v>4332</v>
      </c>
      <c r="S26" s="1107">
        <v>10175</v>
      </c>
      <c r="T26" s="701"/>
      <c r="U26" s="701"/>
      <c r="V26" s="1107"/>
      <c r="W26" s="701"/>
      <c r="X26" s="2342"/>
      <c r="Y26" s="1107"/>
      <c r="Z26" s="701">
        <v>18213.00835</v>
      </c>
      <c r="AA26" s="701">
        <v>4874.9916499999999</v>
      </c>
      <c r="AB26" s="1107">
        <v>23142</v>
      </c>
    </row>
    <row r="27" spans="1:28" x14ac:dyDescent="0.3">
      <c r="A27" s="669">
        <v>2020</v>
      </c>
      <c r="B27" s="2105">
        <v>45301</v>
      </c>
      <c r="C27" s="701">
        <v>1209</v>
      </c>
      <c r="D27" s="1107">
        <v>46510</v>
      </c>
      <c r="E27" s="701">
        <v>1402</v>
      </c>
      <c r="F27" s="701">
        <v>39</v>
      </c>
      <c r="G27" s="1107">
        <v>1441</v>
      </c>
      <c r="H27" s="701">
        <v>46703</v>
      </c>
      <c r="I27" s="2342">
        <v>1248</v>
      </c>
      <c r="J27" s="1107">
        <v>47951</v>
      </c>
      <c r="K27" s="701">
        <v>22607</v>
      </c>
      <c r="L27" s="701">
        <v>5762</v>
      </c>
      <c r="M27" s="1107">
        <v>28369</v>
      </c>
      <c r="N27" s="701">
        <v>161</v>
      </c>
      <c r="O27" s="701">
        <v>11334</v>
      </c>
      <c r="P27" s="1107">
        <v>11495</v>
      </c>
      <c r="Q27" s="701">
        <v>22768</v>
      </c>
      <c r="R27" s="2342">
        <v>17096</v>
      </c>
      <c r="S27" s="1107">
        <v>39864</v>
      </c>
      <c r="T27" s="701"/>
      <c r="U27" s="701"/>
      <c r="V27" s="1107"/>
      <c r="W27" s="701"/>
      <c r="X27" s="2342"/>
      <c r="Y27" s="1107"/>
      <c r="Z27" s="701">
        <v>69471</v>
      </c>
      <c r="AA27" s="701">
        <v>18344</v>
      </c>
      <c r="AB27" s="1107">
        <v>87815</v>
      </c>
    </row>
    <row r="28" spans="1:28" x14ac:dyDescent="0.3">
      <c r="A28" s="669">
        <v>2021</v>
      </c>
      <c r="B28" s="2105">
        <v>9767</v>
      </c>
      <c r="C28" s="701">
        <v>690</v>
      </c>
      <c r="D28" s="1107">
        <v>10457</v>
      </c>
      <c r="E28" s="701">
        <v>38</v>
      </c>
      <c r="F28" s="701">
        <v>2</v>
      </c>
      <c r="G28" s="1107">
        <v>40</v>
      </c>
      <c r="H28" s="701">
        <v>9805</v>
      </c>
      <c r="I28" s="2342">
        <v>692</v>
      </c>
      <c r="J28" s="1107">
        <v>10497</v>
      </c>
      <c r="K28" s="701">
        <v>7136</v>
      </c>
      <c r="L28" s="701">
        <v>1551</v>
      </c>
      <c r="M28" s="1107">
        <v>8687</v>
      </c>
      <c r="N28" s="701"/>
      <c r="O28" s="701"/>
      <c r="P28" s="1107"/>
      <c r="Q28" s="701">
        <v>7136</v>
      </c>
      <c r="R28" s="2342">
        <v>1551</v>
      </c>
      <c r="S28" s="1107">
        <v>8687</v>
      </c>
      <c r="T28" s="701"/>
      <c r="U28" s="701"/>
      <c r="V28" s="1107"/>
      <c r="W28" s="701"/>
      <c r="X28" s="2342"/>
      <c r="Y28" s="1107"/>
      <c r="Z28" s="701">
        <v>16941</v>
      </c>
      <c r="AA28" s="701">
        <v>2243</v>
      </c>
      <c r="AB28" s="1107">
        <v>19184</v>
      </c>
    </row>
    <row r="29" spans="1:28" x14ac:dyDescent="0.3">
      <c r="A29" s="669">
        <v>2022</v>
      </c>
      <c r="B29" s="701">
        <v>0</v>
      </c>
      <c r="C29" s="701">
        <v>0</v>
      </c>
      <c r="D29" s="1107">
        <v>0</v>
      </c>
      <c r="E29" s="701">
        <v>0</v>
      </c>
      <c r="F29" s="701">
        <v>0</v>
      </c>
      <c r="G29" s="1107">
        <v>0</v>
      </c>
      <c r="H29" s="701">
        <v>0</v>
      </c>
      <c r="I29" s="2342">
        <v>0</v>
      </c>
      <c r="J29" s="1107">
        <v>0</v>
      </c>
      <c r="K29" s="701"/>
      <c r="L29" s="701"/>
      <c r="M29" s="1107">
        <v>29312</v>
      </c>
      <c r="N29" s="701"/>
      <c r="O29" s="701"/>
      <c r="P29" s="1107"/>
      <c r="Q29" s="701"/>
      <c r="R29" s="2342"/>
      <c r="S29" s="1107">
        <v>29312</v>
      </c>
      <c r="T29" s="701"/>
      <c r="U29" s="701"/>
      <c r="V29" s="1107"/>
      <c r="W29" s="701"/>
      <c r="X29" s="2342"/>
      <c r="Y29" s="1107"/>
      <c r="Z29" s="701">
        <v>0</v>
      </c>
      <c r="AA29" s="701">
        <v>0</v>
      </c>
      <c r="AB29" s="1107">
        <v>29312</v>
      </c>
    </row>
    <row r="30" spans="1:28" x14ac:dyDescent="0.3">
      <c r="A30" s="669">
        <v>2023</v>
      </c>
      <c r="B30" s="701"/>
      <c r="C30" s="701"/>
      <c r="D30" s="1107"/>
      <c r="E30" s="701"/>
      <c r="F30" s="701"/>
      <c r="G30" s="1107"/>
      <c r="H30" s="701"/>
      <c r="I30" s="2342"/>
      <c r="J30" s="1107"/>
      <c r="K30" s="701"/>
      <c r="L30" s="701"/>
      <c r="M30" s="1107"/>
      <c r="N30" s="701"/>
      <c r="O30" s="701"/>
      <c r="P30" s="1107"/>
      <c r="Q30" s="701"/>
      <c r="R30" s="2342"/>
      <c r="S30" s="1107"/>
      <c r="T30" s="701"/>
      <c r="U30" s="701"/>
      <c r="V30" s="1107"/>
      <c r="W30" s="701"/>
      <c r="X30" s="2342"/>
      <c r="Y30" s="1107"/>
      <c r="Z30" s="701"/>
      <c r="AA30" s="701"/>
      <c r="AB30" s="1107"/>
    </row>
    <row r="31" spans="1:28" ht="15" thickBot="1" x14ac:dyDescent="0.35">
      <c r="A31" s="669" t="s">
        <v>966</v>
      </c>
      <c r="B31" s="701"/>
      <c r="C31" s="701"/>
      <c r="D31" s="1107"/>
      <c r="E31" s="701"/>
      <c r="F31" s="701"/>
      <c r="G31" s="1107"/>
      <c r="H31" s="701"/>
      <c r="I31" s="2342"/>
      <c r="J31" s="1107"/>
      <c r="K31" s="701"/>
      <c r="L31" s="701"/>
      <c r="M31" s="1107"/>
      <c r="N31" s="701"/>
      <c r="O31" s="701"/>
      <c r="P31" s="1107"/>
      <c r="Q31" s="701"/>
      <c r="R31" s="2342"/>
      <c r="S31" s="1107"/>
      <c r="T31" s="701"/>
      <c r="U31" s="701"/>
      <c r="V31" s="1107"/>
      <c r="W31" s="701"/>
      <c r="X31" s="2342"/>
      <c r="Y31" s="1107"/>
      <c r="Z31" s="701"/>
      <c r="AA31" s="701"/>
      <c r="AB31" s="1107"/>
    </row>
    <row r="32" spans="1:28" ht="15" thickBot="1" x14ac:dyDescent="0.35">
      <c r="A32" s="2327" t="s">
        <v>221</v>
      </c>
      <c r="B32" s="1389">
        <v>981940.67535000003</v>
      </c>
      <c r="C32" s="1390">
        <v>36477.324649999995</v>
      </c>
      <c r="D32" s="1854">
        <v>1018418</v>
      </c>
      <c r="E32" s="1391">
        <v>24716</v>
      </c>
      <c r="F32" s="1390">
        <v>8242</v>
      </c>
      <c r="G32" s="1854">
        <v>33543.565999999999</v>
      </c>
      <c r="H32" s="1389">
        <v>1006656.67535</v>
      </c>
      <c r="I32" s="2344">
        <v>44719.324649999995</v>
      </c>
      <c r="J32" s="1854">
        <v>1051961.5660000001</v>
      </c>
      <c r="K32" s="1390">
        <v>190436.8</v>
      </c>
      <c r="L32" s="1390">
        <v>68623.199999999997</v>
      </c>
      <c r="M32" s="1854">
        <v>288372</v>
      </c>
      <c r="N32" s="1390">
        <v>798.33011766130494</v>
      </c>
      <c r="O32" s="1390">
        <v>11523.669882338694</v>
      </c>
      <c r="P32" s="1854">
        <v>12322</v>
      </c>
      <c r="Q32" s="1389">
        <v>191235.13011766132</v>
      </c>
      <c r="R32" s="2344">
        <v>80146.869882338695</v>
      </c>
      <c r="S32" s="1854">
        <v>300694</v>
      </c>
      <c r="T32" s="1390"/>
      <c r="U32" s="1390"/>
      <c r="V32" s="1854"/>
      <c r="W32" s="1390"/>
      <c r="X32" s="2344"/>
      <c r="Y32" s="1854"/>
      <c r="Z32" s="1390">
        <v>1197891.8054676612</v>
      </c>
      <c r="AA32" s="1390">
        <v>124866.19453233869</v>
      </c>
      <c r="AB32" s="1854">
        <v>1352655.5660000001</v>
      </c>
    </row>
    <row r="50" spans="3:7" x14ac:dyDescent="0.3">
      <c r="C50" s="1008"/>
    </row>
    <row r="51" spans="3:7" x14ac:dyDescent="0.3">
      <c r="C51" s="1008"/>
      <c r="G51" s="1008"/>
    </row>
    <row r="52" spans="3:7" ht="15" thickBot="1" x14ac:dyDescent="0.35">
      <c r="C52" s="1008"/>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B14" sqref="B14"/>
    </sheetView>
  </sheetViews>
  <sheetFormatPr defaultRowHeight="14.4" x14ac:dyDescent="0.3"/>
  <cols>
    <col min="4" max="4" width="9.44140625" bestFit="1" customWidth="1"/>
  </cols>
  <sheetData>
    <row r="2" spans="1:17" ht="18" x14ac:dyDescent="0.35">
      <c r="A2" s="2623" t="s">
        <v>976</v>
      </c>
      <c r="B2" s="2623"/>
      <c r="C2" s="2623"/>
      <c r="D2" s="2623"/>
      <c r="E2" s="2623"/>
      <c r="F2" s="2623"/>
      <c r="G2" s="2623"/>
      <c r="H2" s="2623"/>
      <c r="I2" s="2623"/>
      <c r="J2" s="2623" t="s">
        <v>977</v>
      </c>
      <c r="K2" s="2623"/>
      <c r="L2" s="2623"/>
      <c r="M2" s="2623"/>
      <c r="N2" s="2623"/>
      <c r="O2" s="2623"/>
      <c r="P2" s="2623"/>
      <c r="Q2" s="2623"/>
    </row>
    <row r="3" spans="1:17" ht="15" thickBot="1" x14ac:dyDescent="0.35"/>
    <row r="4" spans="1:17" ht="15" thickBot="1" x14ac:dyDescent="0.35">
      <c r="A4" s="1898" t="s">
        <v>383</v>
      </c>
      <c r="B4" s="1890" t="s">
        <v>978</v>
      </c>
      <c r="C4" s="1599" t="s">
        <v>979</v>
      </c>
      <c r="D4" s="1891" t="s">
        <v>980</v>
      </c>
      <c r="E4" s="1890" t="s">
        <v>981</v>
      </c>
      <c r="F4" s="1599" t="s">
        <v>982</v>
      </c>
      <c r="G4" s="1906" t="s">
        <v>983</v>
      </c>
      <c r="H4" s="1890" t="s">
        <v>984</v>
      </c>
      <c r="I4" s="1891" t="s">
        <v>985</v>
      </c>
      <c r="K4" s="1889" t="s">
        <v>383</v>
      </c>
      <c r="L4" s="1890" t="s">
        <v>986</v>
      </c>
      <c r="M4" s="1599" t="s">
        <v>987</v>
      </c>
      <c r="N4" s="1599" t="s">
        <v>988</v>
      </c>
      <c r="O4" s="1599" t="s">
        <v>989</v>
      </c>
      <c r="P4" s="1891" t="s">
        <v>990</v>
      </c>
    </row>
    <row r="5" spans="1:17" x14ac:dyDescent="0.3">
      <c r="A5" s="1899">
        <v>2000</v>
      </c>
      <c r="B5" s="1593">
        <v>21838</v>
      </c>
      <c r="C5" s="702">
        <v>0</v>
      </c>
      <c r="D5" s="1602">
        <v>21838</v>
      </c>
      <c r="E5" s="1593"/>
      <c r="F5" s="702"/>
      <c r="G5" s="1603"/>
      <c r="H5" s="1830">
        <f>D5/(G5+D5)</f>
        <v>1</v>
      </c>
      <c r="I5" s="1595">
        <f t="shared" ref="I5:I27" si="0">G5/(G5+D5)</f>
        <v>0</v>
      </c>
      <c r="K5" s="1743">
        <v>2000</v>
      </c>
      <c r="L5" s="1593">
        <v>21838</v>
      </c>
      <c r="M5" s="702">
        <v>0</v>
      </c>
      <c r="N5" s="1635">
        <v>21838</v>
      </c>
      <c r="O5" s="1767">
        <f>L5/N5</f>
        <v>1</v>
      </c>
      <c r="P5" s="1595">
        <f t="shared" ref="P5:P27" si="1">M5/N5</f>
        <v>0</v>
      </c>
    </row>
    <row r="6" spans="1:17" x14ac:dyDescent="0.3">
      <c r="A6" s="775">
        <v>2001</v>
      </c>
      <c r="B6" s="1280">
        <v>39024</v>
      </c>
      <c r="C6" s="701">
        <v>0</v>
      </c>
      <c r="D6" s="1903">
        <v>39024</v>
      </c>
      <c r="E6" s="1280"/>
      <c r="F6" s="701"/>
      <c r="G6" s="1887"/>
      <c r="H6" s="1828">
        <f t="shared" ref="H6:H27" si="2">D6/(G6+D6)</f>
        <v>1</v>
      </c>
      <c r="I6" s="1283">
        <f t="shared" si="0"/>
        <v>0</v>
      </c>
      <c r="K6" s="1592">
        <v>2001</v>
      </c>
      <c r="L6" s="1280">
        <v>39024</v>
      </c>
      <c r="M6" s="701">
        <v>0</v>
      </c>
      <c r="N6" s="1637">
        <v>39024</v>
      </c>
      <c r="O6" s="1764">
        <f t="shared" ref="O6:O27" si="3">L6/N6</f>
        <v>1</v>
      </c>
      <c r="P6" s="1283">
        <f t="shared" si="1"/>
        <v>0</v>
      </c>
    </row>
    <row r="7" spans="1:17" x14ac:dyDescent="0.3">
      <c r="A7" s="775">
        <v>2002</v>
      </c>
      <c r="B7" s="1280">
        <v>3560</v>
      </c>
      <c r="C7" s="701">
        <v>0</v>
      </c>
      <c r="D7" s="1903">
        <v>3560</v>
      </c>
      <c r="E7" s="1280"/>
      <c r="F7" s="701"/>
      <c r="G7" s="1887"/>
      <c r="H7" s="1828">
        <f t="shared" si="2"/>
        <v>1</v>
      </c>
      <c r="I7" s="1283">
        <f t="shared" si="0"/>
        <v>0</v>
      </c>
      <c r="K7" s="1592">
        <v>2002</v>
      </c>
      <c r="L7" s="1280">
        <v>3560</v>
      </c>
      <c r="M7" s="701">
        <v>0</v>
      </c>
      <c r="N7" s="1637">
        <v>3560</v>
      </c>
      <c r="O7" s="1764">
        <f t="shared" si="3"/>
        <v>1</v>
      </c>
      <c r="P7" s="1283">
        <f t="shared" si="1"/>
        <v>0</v>
      </c>
    </row>
    <row r="8" spans="1:17" x14ac:dyDescent="0.3">
      <c r="A8" s="775">
        <v>2003</v>
      </c>
      <c r="B8" s="1280">
        <v>17753</v>
      </c>
      <c r="C8" s="701">
        <v>0</v>
      </c>
      <c r="D8" s="1903">
        <v>17753</v>
      </c>
      <c r="E8" s="1280"/>
      <c r="F8" s="701"/>
      <c r="G8" s="1887"/>
      <c r="H8" s="1828">
        <f t="shared" si="2"/>
        <v>1</v>
      </c>
      <c r="I8" s="1283">
        <f t="shared" si="0"/>
        <v>0</v>
      </c>
      <c r="K8" s="1592">
        <v>2003</v>
      </c>
      <c r="L8" s="1280">
        <v>17753</v>
      </c>
      <c r="M8" s="701">
        <v>0</v>
      </c>
      <c r="N8" s="1637">
        <v>17753</v>
      </c>
      <c r="O8" s="1764">
        <f t="shared" si="3"/>
        <v>1</v>
      </c>
      <c r="P8" s="1283">
        <f t="shared" si="1"/>
        <v>0</v>
      </c>
    </row>
    <row r="9" spans="1:17" x14ac:dyDescent="0.3">
      <c r="A9" s="775">
        <v>2004</v>
      </c>
      <c r="B9" s="1280">
        <v>41791</v>
      </c>
      <c r="C9" s="701">
        <v>0</v>
      </c>
      <c r="D9" s="1903">
        <v>41791</v>
      </c>
      <c r="E9" s="1280"/>
      <c r="F9" s="701"/>
      <c r="G9" s="1887"/>
      <c r="H9" s="1828">
        <f t="shared" si="2"/>
        <v>1</v>
      </c>
      <c r="I9" s="1283">
        <f t="shared" si="0"/>
        <v>0</v>
      </c>
      <c r="K9" s="1592">
        <v>2004</v>
      </c>
      <c r="L9" s="1280">
        <v>41791</v>
      </c>
      <c r="M9" s="701">
        <v>0</v>
      </c>
      <c r="N9" s="1637">
        <v>41791</v>
      </c>
      <c r="O9" s="1764">
        <f t="shared" si="3"/>
        <v>1</v>
      </c>
      <c r="P9" s="1283">
        <f t="shared" si="1"/>
        <v>0</v>
      </c>
    </row>
    <row r="10" spans="1:17" x14ac:dyDescent="0.3">
      <c r="A10" s="775">
        <v>2005</v>
      </c>
      <c r="B10" s="1280">
        <v>31260</v>
      </c>
      <c r="C10" s="701">
        <v>0</v>
      </c>
      <c r="D10" s="1903">
        <v>31260</v>
      </c>
      <c r="E10" s="1280"/>
      <c r="F10" s="701"/>
      <c r="G10" s="1887"/>
      <c r="H10" s="1828">
        <f t="shared" si="2"/>
        <v>1</v>
      </c>
      <c r="I10" s="1283">
        <f t="shared" si="0"/>
        <v>0</v>
      </c>
      <c r="K10" s="1592">
        <v>2005</v>
      </c>
      <c r="L10" s="1280">
        <v>31260</v>
      </c>
      <c r="M10" s="701">
        <v>0</v>
      </c>
      <c r="N10" s="1637">
        <v>31260</v>
      </c>
      <c r="O10" s="1764">
        <f t="shared" si="3"/>
        <v>1</v>
      </c>
      <c r="P10" s="1283">
        <f t="shared" si="1"/>
        <v>0</v>
      </c>
    </row>
    <row r="11" spans="1:17" x14ac:dyDescent="0.3">
      <c r="A11" s="775">
        <v>2006</v>
      </c>
      <c r="B11" s="1280">
        <v>20819</v>
      </c>
      <c r="C11" s="701">
        <v>0</v>
      </c>
      <c r="D11" s="1903">
        <v>20819</v>
      </c>
      <c r="E11" s="1280"/>
      <c r="F11" s="701"/>
      <c r="G11" s="1887"/>
      <c r="H11" s="1828">
        <f t="shared" si="2"/>
        <v>1</v>
      </c>
      <c r="I11" s="1283">
        <f t="shared" si="0"/>
        <v>0</v>
      </c>
      <c r="K11" s="1592">
        <v>2006</v>
      </c>
      <c r="L11" s="1280">
        <v>20819</v>
      </c>
      <c r="M11" s="701">
        <v>0</v>
      </c>
      <c r="N11" s="1637">
        <v>20819</v>
      </c>
      <c r="O11" s="1764">
        <f t="shared" si="3"/>
        <v>1</v>
      </c>
      <c r="P11" s="1283">
        <f t="shared" si="1"/>
        <v>0</v>
      </c>
    </row>
    <row r="12" spans="1:17" x14ac:dyDescent="0.3">
      <c r="A12" s="775">
        <v>2007</v>
      </c>
      <c r="B12" s="1280">
        <v>11871</v>
      </c>
      <c r="C12" s="701">
        <v>1619</v>
      </c>
      <c r="D12" s="1903">
        <v>13490</v>
      </c>
      <c r="E12" s="1280"/>
      <c r="F12" s="701"/>
      <c r="G12" s="1887"/>
      <c r="H12" s="1828">
        <f t="shared" si="2"/>
        <v>1</v>
      </c>
      <c r="I12" s="1283">
        <f t="shared" si="0"/>
        <v>0</v>
      </c>
      <c r="K12" s="1592">
        <v>2007</v>
      </c>
      <c r="L12" s="1280">
        <v>11871</v>
      </c>
      <c r="M12" s="701">
        <v>1619</v>
      </c>
      <c r="N12" s="1637">
        <v>13490</v>
      </c>
      <c r="O12" s="1040">
        <f t="shared" si="3"/>
        <v>0.8799851742031134</v>
      </c>
      <c r="P12" s="1283">
        <f t="shared" si="1"/>
        <v>0.12001482579688658</v>
      </c>
    </row>
    <row r="13" spans="1:17" x14ac:dyDescent="0.3">
      <c r="A13" s="775">
        <v>2008</v>
      </c>
      <c r="B13" s="1280">
        <v>118973</v>
      </c>
      <c r="C13" s="701">
        <v>7999</v>
      </c>
      <c r="D13" s="1903">
        <v>126972</v>
      </c>
      <c r="E13" s="1280"/>
      <c r="F13" s="701"/>
      <c r="G13" s="1887"/>
      <c r="H13" s="1828">
        <f t="shared" si="2"/>
        <v>1</v>
      </c>
      <c r="I13" s="1283">
        <f t="shared" si="0"/>
        <v>0</v>
      </c>
      <c r="K13" s="1592">
        <v>2008</v>
      </c>
      <c r="L13" s="1280">
        <v>118973</v>
      </c>
      <c r="M13" s="701">
        <v>7999</v>
      </c>
      <c r="N13" s="1637">
        <v>126972</v>
      </c>
      <c r="O13" s="1040">
        <f t="shared" si="3"/>
        <v>0.93700185867750374</v>
      </c>
      <c r="P13" s="1283">
        <f t="shared" si="1"/>
        <v>6.2998141322496301E-2</v>
      </c>
    </row>
    <row r="14" spans="1:17" x14ac:dyDescent="0.3">
      <c r="A14" s="775">
        <v>2009</v>
      </c>
      <c r="B14" s="1280">
        <v>58923</v>
      </c>
      <c r="C14" s="701">
        <v>9130</v>
      </c>
      <c r="D14" s="1903">
        <v>68053</v>
      </c>
      <c r="E14" s="1280"/>
      <c r="F14" s="701"/>
      <c r="G14" s="1887"/>
      <c r="H14" s="1828">
        <f t="shared" si="2"/>
        <v>1</v>
      </c>
      <c r="I14" s="1283">
        <f t="shared" si="0"/>
        <v>0</v>
      </c>
      <c r="K14" s="1592">
        <v>2009</v>
      </c>
      <c r="L14" s="1280">
        <v>58923</v>
      </c>
      <c r="M14" s="701">
        <v>9130</v>
      </c>
      <c r="N14" s="1637">
        <v>68053</v>
      </c>
      <c r="O14" s="1040">
        <f t="shared" si="3"/>
        <v>0.86583986010903269</v>
      </c>
      <c r="P14" s="1283">
        <f t="shared" si="1"/>
        <v>0.13416013989096734</v>
      </c>
    </row>
    <row r="15" spans="1:17" x14ac:dyDescent="0.3">
      <c r="A15" s="775">
        <v>2010</v>
      </c>
      <c r="B15" s="1280">
        <v>191461</v>
      </c>
      <c r="C15" s="701">
        <v>8500</v>
      </c>
      <c r="D15" s="1903">
        <v>199961</v>
      </c>
      <c r="E15" s="1280"/>
      <c r="F15" s="701"/>
      <c r="G15" s="1887"/>
      <c r="H15" s="1828">
        <f t="shared" si="2"/>
        <v>1</v>
      </c>
      <c r="I15" s="1283">
        <f t="shared" si="0"/>
        <v>0</v>
      </c>
      <c r="K15" s="1592">
        <v>2010</v>
      </c>
      <c r="L15" s="1280">
        <v>191461</v>
      </c>
      <c r="M15" s="701">
        <v>8500</v>
      </c>
      <c r="N15" s="1637">
        <v>199961</v>
      </c>
      <c r="O15" s="1040">
        <f t="shared" si="3"/>
        <v>0.95749171088362228</v>
      </c>
      <c r="P15" s="1283">
        <f t="shared" si="1"/>
        <v>4.2508289116377697E-2</v>
      </c>
    </row>
    <row r="16" spans="1:17" x14ac:dyDescent="0.3">
      <c r="A16" s="775">
        <v>2011</v>
      </c>
      <c r="B16" s="1280">
        <v>11917.666999999999</v>
      </c>
      <c r="C16" s="701">
        <v>1103.3330000000001</v>
      </c>
      <c r="D16" s="1903">
        <v>13021</v>
      </c>
      <c r="E16" s="1280">
        <v>4575.7999999999993</v>
      </c>
      <c r="F16" s="701">
        <v>18303.2</v>
      </c>
      <c r="G16" s="1887">
        <v>22879</v>
      </c>
      <c r="H16" s="1828">
        <f t="shared" si="2"/>
        <v>0.36270194986072424</v>
      </c>
      <c r="I16" s="1283">
        <f t="shared" si="0"/>
        <v>0.63729805013927576</v>
      </c>
      <c r="K16" s="1592">
        <v>2011</v>
      </c>
      <c r="L16" s="1280">
        <v>16493.466999999997</v>
      </c>
      <c r="M16" s="701">
        <v>19406.532999999999</v>
      </c>
      <c r="N16" s="1637">
        <v>35900</v>
      </c>
      <c r="O16" s="1040">
        <f t="shared" si="3"/>
        <v>0.45942805013927568</v>
      </c>
      <c r="P16" s="1283">
        <f t="shared" si="1"/>
        <v>0.54057194986072421</v>
      </c>
    </row>
    <row r="17" spans="1:16" x14ac:dyDescent="0.3">
      <c r="A17" s="775">
        <v>2012</v>
      </c>
      <c r="B17" s="1280">
        <v>91361</v>
      </c>
      <c r="C17" s="701">
        <v>2704</v>
      </c>
      <c r="D17" s="1903">
        <v>94065</v>
      </c>
      <c r="E17" s="1280">
        <v>2737</v>
      </c>
      <c r="F17" s="701">
        <v>8257</v>
      </c>
      <c r="G17" s="1887">
        <v>10994</v>
      </c>
      <c r="H17" s="1828">
        <f t="shared" si="2"/>
        <v>0.89535403915894873</v>
      </c>
      <c r="I17" s="1283">
        <f t="shared" si="0"/>
        <v>0.10464596084105122</v>
      </c>
      <c r="K17" s="1592">
        <v>2012</v>
      </c>
      <c r="L17" s="1280">
        <v>94098</v>
      </c>
      <c r="M17" s="701">
        <v>10961</v>
      </c>
      <c r="N17" s="1637">
        <v>105059</v>
      </c>
      <c r="O17" s="1040">
        <f t="shared" si="3"/>
        <v>0.89566814837377096</v>
      </c>
      <c r="P17" s="1283">
        <f t="shared" si="1"/>
        <v>0.10433185162622907</v>
      </c>
    </row>
    <row r="18" spans="1:16" x14ac:dyDescent="0.3">
      <c r="A18" s="775">
        <v>2013</v>
      </c>
      <c r="B18" s="1280">
        <v>29426</v>
      </c>
      <c r="C18" s="701">
        <v>6502</v>
      </c>
      <c r="D18" s="1903">
        <v>35928</v>
      </c>
      <c r="E18" s="1280">
        <v>3617</v>
      </c>
      <c r="F18" s="701">
        <v>5287</v>
      </c>
      <c r="G18" s="1887">
        <v>8904</v>
      </c>
      <c r="H18" s="1828">
        <f t="shared" si="2"/>
        <v>0.80139186295503217</v>
      </c>
      <c r="I18" s="1283">
        <f t="shared" si="0"/>
        <v>0.19860813704496788</v>
      </c>
      <c r="K18" s="1592">
        <v>2013</v>
      </c>
      <c r="L18" s="1280">
        <v>33043</v>
      </c>
      <c r="M18" s="701">
        <v>11789</v>
      </c>
      <c r="N18" s="1637">
        <v>44832</v>
      </c>
      <c r="O18" s="1040">
        <f t="shared" si="3"/>
        <v>0.73704050678087085</v>
      </c>
      <c r="P18" s="1283">
        <f t="shared" si="1"/>
        <v>0.2629594932191292</v>
      </c>
    </row>
    <row r="19" spans="1:16" x14ac:dyDescent="0.3">
      <c r="A19" s="775">
        <v>2014</v>
      </c>
      <c r="B19" s="1280">
        <v>142785</v>
      </c>
      <c r="C19" s="701">
        <v>3910</v>
      </c>
      <c r="D19" s="1903">
        <v>146695</v>
      </c>
      <c r="E19" s="1280">
        <v>29453.330117661306</v>
      </c>
      <c r="F19" s="701">
        <v>20283.669882338694</v>
      </c>
      <c r="G19" s="1887">
        <v>49737</v>
      </c>
      <c r="H19" s="1828">
        <f t="shared" si="2"/>
        <v>0.74679787407347076</v>
      </c>
      <c r="I19" s="1283">
        <f t="shared" si="0"/>
        <v>0.2532021259265293</v>
      </c>
      <c r="K19" s="1592">
        <v>2014</v>
      </c>
      <c r="L19" s="1280">
        <v>172238.3301176613</v>
      </c>
      <c r="M19" s="701">
        <v>24193.669882338694</v>
      </c>
      <c r="N19" s="1637">
        <v>196432</v>
      </c>
      <c r="O19" s="1040">
        <f t="shared" si="3"/>
        <v>0.87683437585353352</v>
      </c>
      <c r="P19" s="1283">
        <f t="shared" si="1"/>
        <v>0.12316562414646644</v>
      </c>
    </row>
    <row r="20" spans="1:16" x14ac:dyDescent="0.3">
      <c r="A20" s="775">
        <v>2015</v>
      </c>
      <c r="B20" s="1280">
        <v>10271</v>
      </c>
      <c r="C20" s="701">
        <v>170</v>
      </c>
      <c r="D20" s="1903">
        <v>10441</v>
      </c>
      <c r="E20" s="1280">
        <v>14407</v>
      </c>
      <c r="F20" s="701">
        <v>0</v>
      </c>
      <c r="G20" s="1887">
        <v>14407</v>
      </c>
      <c r="H20" s="1828">
        <f t="shared" si="2"/>
        <v>0.4201947842884739</v>
      </c>
      <c r="I20" s="1283">
        <f t="shared" si="0"/>
        <v>0.5798052157115261</v>
      </c>
      <c r="K20" s="1592">
        <v>2015</v>
      </c>
      <c r="L20" s="1280">
        <v>24678</v>
      </c>
      <c r="M20" s="701">
        <v>170</v>
      </c>
      <c r="N20" s="1637">
        <v>24848</v>
      </c>
      <c r="O20" s="1040">
        <f t="shared" si="3"/>
        <v>0.99315840309079206</v>
      </c>
      <c r="P20" s="1283">
        <f t="shared" si="1"/>
        <v>6.8415969092079842E-3</v>
      </c>
    </row>
    <row r="21" spans="1:16" x14ac:dyDescent="0.3">
      <c r="A21" s="775">
        <v>2016</v>
      </c>
      <c r="B21" s="1280">
        <v>53901</v>
      </c>
      <c r="C21" s="701">
        <v>380</v>
      </c>
      <c r="D21" s="1903">
        <v>54812.565999999999</v>
      </c>
      <c r="E21" s="1280">
        <v>36612</v>
      </c>
      <c r="F21" s="701">
        <v>241</v>
      </c>
      <c r="G21" s="1887">
        <v>36853</v>
      </c>
      <c r="H21" s="1828">
        <f t="shared" si="2"/>
        <v>0.59796244535270748</v>
      </c>
      <c r="I21" s="1283">
        <f t="shared" si="0"/>
        <v>0.40203755464729257</v>
      </c>
      <c r="K21" s="1592">
        <v>2016</v>
      </c>
      <c r="L21" s="1280">
        <v>90513</v>
      </c>
      <c r="M21" s="701">
        <v>621</v>
      </c>
      <c r="N21" s="1637">
        <v>91665.565999999992</v>
      </c>
      <c r="O21" s="1040">
        <f t="shared" si="3"/>
        <v>0.98742640175264951</v>
      </c>
      <c r="P21" s="1283">
        <f t="shared" si="1"/>
        <v>6.7746267993370607E-3</v>
      </c>
    </row>
    <row r="22" spans="1:16" x14ac:dyDescent="0.3">
      <c r="A22" s="775">
        <v>2017</v>
      </c>
      <c r="B22" s="1280">
        <v>10058</v>
      </c>
      <c r="C22" s="701">
        <v>0</v>
      </c>
      <c r="D22" s="1903">
        <v>10058</v>
      </c>
      <c r="E22" s="1280">
        <v>27050</v>
      </c>
      <c r="F22" s="701">
        <v>86</v>
      </c>
      <c r="G22" s="1887">
        <v>27136</v>
      </c>
      <c r="H22" s="1828">
        <f t="shared" si="2"/>
        <v>0.27041996020863579</v>
      </c>
      <c r="I22" s="1283">
        <f t="shared" si="0"/>
        <v>0.72958003979136421</v>
      </c>
      <c r="K22" s="1592">
        <v>2017</v>
      </c>
      <c r="L22" s="1280">
        <v>37108</v>
      </c>
      <c r="M22" s="701">
        <v>86</v>
      </c>
      <c r="N22" s="1637">
        <v>37194</v>
      </c>
      <c r="O22" s="1040">
        <f t="shared" si="3"/>
        <v>0.99768779910738292</v>
      </c>
      <c r="P22" s="1283">
        <f t="shared" si="1"/>
        <v>2.3122008926170887E-3</v>
      </c>
    </row>
    <row r="23" spans="1:16" x14ac:dyDescent="0.3">
      <c r="A23" s="775">
        <v>2018</v>
      </c>
      <c r="B23" s="1280">
        <v>30786</v>
      </c>
      <c r="C23" s="701">
        <v>219</v>
      </c>
      <c r="D23" s="1903">
        <v>31005</v>
      </c>
      <c r="E23" s="1280">
        <v>37036</v>
      </c>
      <c r="F23" s="701">
        <v>4710</v>
      </c>
      <c r="G23" s="1887">
        <v>41746</v>
      </c>
      <c r="H23" s="1828">
        <f t="shared" si="2"/>
        <v>0.42617970886998119</v>
      </c>
      <c r="I23" s="1283">
        <f t="shared" si="0"/>
        <v>0.57382029113001887</v>
      </c>
      <c r="K23" s="1592">
        <v>2018</v>
      </c>
      <c r="L23" s="1280">
        <v>67822</v>
      </c>
      <c r="M23" s="701">
        <v>4929</v>
      </c>
      <c r="N23" s="1637">
        <v>72751</v>
      </c>
      <c r="O23" s="1040">
        <f t="shared" si="3"/>
        <v>0.93224835397451578</v>
      </c>
      <c r="P23" s="1283">
        <f t="shared" si="1"/>
        <v>6.7751646025484183E-2</v>
      </c>
    </row>
    <row r="24" spans="1:16" x14ac:dyDescent="0.3">
      <c r="A24" s="775">
        <v>2019</v>
      </c>
      <c r="B24" s="1280">
        <v>12370.00835</v>
      </c>
      <c r="C24" s="701">
        <v>542.99164999999994</v>
      </c>
      <c r="D24" s="1903">
        <v>12967</v>
      </c>
      <c r="E24" s="1280">
        <v>5843</v>
      </c>
      <c r="F24" s="701">
        <v>4332</v>
      </c>
      <c r="G24" s="1887">
        <v>10175</v>
      </c>
      <c r="H24" s="1828">
        <f t="shared" si="2"/>
        <v>0.56032322184772276</v>
      </c>
      <c r="I24" s="1283">
        <f t="shared" si="0"/>
        <v>0.43967677815227724</v>
      </c>
      <c r="K24" s="1592">
        <v>2019</v>
      </c>
      <c r="L24" s="1280">
        <v>18213.00835</v>
      </c>
      <c r="M24" s="701">
        <v>4874.9916499999999</v>
      </c>
      <c r="N24" s="1637">
        <v>23142</v>
      </c>
      <c r="O24" s="1040">
        <f t="shared" si="3"/>
        <v>0.78701099083916692</v>
      </c>
      <c r="P24" s="1283">
        <f t="shared" si="1"/>
        <v>0.21065558940454585</v>
      </c>
    </row>
    <row r="25" spans="1:16" x14ac:dyDescent="0.3">
      <c r="A25" s="775">
        <v>2020</v>
      </c>
      <c r="B25" s="1280">
        <v>46703</v>
      </c>
      <c r="C25" s="701">
        <v>1248</v>
      </c>
      <c r="D25" s="1903">
        <v>47951</v>
      </c>
      <c r="E25" s="1280">
        <v>22768</v>
      </c>
      <c r="F25" s="701">
        <v>17096</v>
      </c>
      <c r="G25" s="1887">
        <v>39864</v>
      </c>
      <c r="H25" s="1828">
        <f t="shared" si="2"/>
        <v>0.54604566418037925</v>
      </c>
      <c r="I25" s="1283">
        <f t="shared" si="0"/>
        <v>0.4539543358196208</v>
      </c>
      <c r="K25" s="1592">
        <v>2020</v>
      </c>
      <c r="L25" s="1280">
        <v>69471</v>
      </c>
      <c r="M25" s="701">
        <v>18344</v>
      </c>
      <c r="N25" s="1637">
        <v>87815</v>
      </c>
      <c r="O25" s="1040">
        <f t="shared" si="3"/>
        <v>0.79110630302340146</v>
      </c>
      <c r="P25" s="1283">
        <f t="shared" si="1"/>
        <v>0.20889369697659854</v>
      </c>
    </row>
    <row r="26" spans="1:16" ht="15" thickBot="1" x14ac:dyDescent="0.35">
      <c r="A26" s="1687">
        <v>2021</v>
      </c>
      <c r="B26" s="1893">
        <v>9805</v>
      </c>
      <c r="C26" s="1894">
        <v>692</v>
      </c>
      <c r="D26" s="1904">
        <v>10497</v>
      </c>
      <c r="E26" s="1893">
        <v>7136</v>
      </c>
      <c r="F26" s="1894">
        <v>1551</v>
      </c>
      <c r="G26" s="1907">
        <v>8687</v>
      </c>
      <c r="H26" s="1909">
        <f t="shared" si="2"/>
        <v>0.54717472894078401</v>
      </c>
      <c r="I26" s="1900">
        <f t="shared" si="0"/>
        <v>0.45282527105921599</v>
      </c>
      <c r="K26" s="1892">
        <v>2021</v>
      </c>
      <c r="L26" s="1893">
        <v>16941</v>
      </c>
      <c r="M26" s="1894">
        <v>2243</v>
      </c>
      <c r="N26" s="1639">
        <v>19184</v>
      </c>
      <c r="O26" s="2104">
        <f t="shared" si="3"/>
        <v>0.88307964970809005</v>
      </c>
      <c r="P26" s="1900">
        <f t="shared" si="1"/>
        <v>0.11692035029190992</v>
      </c>
    </row>
    <row r="27" spans="1:16" ht="15" thickBot="1" x14ac:dyDescent="0.35">
      <c r="A27" s="1901" t="s">
        <v>221</v>
      </c>
      <c r="B27" s="1896">
        <f>SUM(B5:B26)</f>
        <v>1006656.67535</v>
      </c>
      <c r="C27" s="1897">
        <f t="shared" ref="C27:G27" si="4">SUM(C5:C26)</f>
        <v>44719.324649999995</v>
      </c>
      <c r="D27" s="1905">
        <f t="shared" si="4"/>
        <v>1051961.5660000001</v>
      </c>
      <c r="E27" s="1896">
        <f t="shared" si="4"/>
        <v>191235.13011766132</v>
      </c>
      <c r="F27" s="1897">
        <f t="shared" si="4"/>
        <v>80146.869882338695</v>
      </c>
      <c r="G27" s="1908">
        <f t="shared" si="4"/>
        <v>271382</v>
      </c>
      <c r="H27" s="1910">
        <f t="shared" si="2"/>
        <v>0.79492702653152136</v>
      </c>
      <c r="I27" s="1902">
        <f t="shared" si="0"/>
        <v>0.20507297346847869</v>
      </c>
      <c r="K27" s="1895" t="s">
        <v>221</v>
      </c>
      <c r="L27" s="1896">
        <f>SUM(L5:L26)</f>
        <v>1197891.8054676612</v>
      </c>
      <c r="M27" s="1897">
        <f t="shared" ref="M27:N27" si="5">SUM(M5:M26)</f>
        <v>124866.19453233869</v>
      </c>
      <c r="N27" s="1897">
        <f t="shared" si="5"/>
        <v>1323343.5660000001</v>
      </c>
      <c r="O27" s="1916">
        <f t="shared" si="3"/>
        <v>0.9052009139912659</v>
      </c>
      <c r="P27" s="1902">
        <f t="shared" si="1"/>
        <v>9.4356596231290918E-2</v>
      </c>
    </row>
    <row r="28" spans="1:16" x14ac:dyDescent="0.3">
      <c r="A28" s="1239"/>
      <c r="B28" s="1913"/>
      <c r="C28" s="1913"/>
      <c r="D28" s="1913"/>
      <c r="E28" s="1913"/>
      <c r="F28" s="1913"/>
      <c r="G28" s="1913"/>
      <c r="H28" s="1914"/>
      <c r="I28" s="1914"/>
      <c r="K28" s="1239"/>
      <c r="L28" s="1913"/>
      <c r="M28" s="1913"/>
      <c r="N28" s="1913"/>
      <c r="O28" s="1915"/>
      <c r="P28" s="1915"/>
    </row>
    <row r="29" spans="1:16" ht="28.8" x14ac:dyDescent="0.3">
      <c r="A29" s="1859" t="s">
        <v>991</v>
      </c>
      <c r="B29" s="666">
        <f>AVERAGE(B12:B26)</f>
        <v>55374.111690000005</v>
      </c>
      <c r="C29" s="666">
        <f t="shared" ref="C29:I29" si="6">AVERAGE(C12:C26)</f>
        <v>2981.2883099999995</v>
      </c>
      <c r="D29" s="666">
        <f t="shared" si="6"/>
        <v>58394.437733333332</v>
      </c>
      <c r="E29" s="666">
        <f t="shared" si="6"/>
        <v>17385.011828878301</v>
      </c>
      <c r="F29" s="666">
        <f t="shared" si="6"/>
        <v>7286.0790802126085</v>
      </c>
      <c r="G29" s="666">
        <f t="shared" si="6"/>
        <v>24671.090909090908</v>
      </c>
      <c r="H29" s="1917">
        <f t="shared" si="6"/>
        <v>0.67830308264912409</v>
      </c>
      <c r="I29" s="1917">
        <f t="shared" si="6"/>
        <v>0.32169691735087602</v>
      </c>
      <c r="K29" s="1859" t="s">
        <v>991</v>
      </c>
      <c r="L29" s="666">
        <f>AVERAGE(L12:L26)</f>
        <v>68123.120364510745</v>
      </c>
      <c r="M29" s="666">
        <f t="shared" ref="M29:P29" si="7">AVERAGE(M12:M26)</f>
        <v>8324.4129688225785</v>
      </c>
      <c r="N29" s="666">
        <f t="shared" si="7"/>
        <v>76486.571066666671</v>
      </c>
      <c r="O29" s="1917">
        <f t="shared" si="7"/>
        <v>0.86540050576778138</v>
      </c>
      <c r="P29" s="1917">
        <f t="shared" si="7"/>
        <v>0.13405733481859852</v>
      </c>
    </row>
    <row r="30" spans="1:16" ht="28.8" x14ac:dyDescent="0.3">
      <c r="A30" s="1859" t="s">
        <v>992</v>
      </c>
      <c r="B30" s="666">
        <f>AVERAGE(B16:B26)</f>
        <v>40853.061395454548</v>
      </c>
      <c r="C30" s="666">
        <f t="shared" ref="C30:I30" si="8">AVERAGE(C16:C26)</f>
        <v>1588.3022409090911</v>
      </c>
      <c r="D30" s="666">
        <f t="shared" si="8"/>
        <v>42494.596909090906</v>
      </c>
      <c r="E30" s="666">
        <f t="shared" si="8"/>
        <v>17385.011828878301</v>
      </c>
      <c r="F30" s="666">
        <f t="shared" si="8"/>
        <v>7286.0790802126085</v>
      </c>
      <c r="G30" s="666">
        <f t="shared" si="8"/>
        <v>24671.090909090908</v>
      </c>
      <c r="H30" s="1917">
        <f t="shared" si="8"/>
        <v>0.56132238543062363</v>
      </c>
      <c r="I30" s="1917">
        <f t="shared" si="8"/>
        <v>0.43867761456937637</v>
      </c>
      <c r="K30" s="1859" t="s">
        <v>992</v>
      </c>
      <c r="L30" s="666">
        <f>AVERAGE(L16:L26)</f>
        <v>58238.073224332853</v>
      </c>
      <c r="M30" s="666">
        <f t="shared" ref="M30:P30" si="9">AVERAGE(M16:M26)</f>
        <v>8874.3813211216984</v>
      </c>
      <c r="N30" s="666">
        <f t="shared" si="9"/>
        <v>67165.687818181817</v>
      </c>
      <c r="O30" s="1917">
        <f t="shared" si="9"/>
        <v>0.84915354387667741</v>
      </c>
      <c r="P30" s="1917">
        <f t="shared" si="9"/>
        <v>0.1501071478320227</v>
      </c>
    </row>
    <row r="31" spans="1:16" x14ac:dyDescent="0.3">
      <c r="A31" s="1"/>
      <c r="B31" s="1911"/>
      <c r="C31" s="1911"/>
      <c r="D31" s="1911"/>
      <c r="E31" s="1912"/>
      <c r="F31" s="1912"/>
      <c r="G31" s="1912"/>
      <c r="H31" s="1912"/>
      <c r="I31" s="1912"/>
    </row>
    <row r="32" spans="1:16" x14ac:dyDescent="0.3">
      <c r="A32" s="1"/>
      <c r="B32" s="1911"/>
      <c r="C32" s="1911"/>
      <c r="D32" s="1911"/>
      <c r="E32" s="1912"/>
      <c r="F32" s="1912"/>
      <c r="G32" s="1912"/>
      <c r="H32" s="1912"/>
      <c r="I32" s="1912"/>
    </row>
    <row r="33" spans="1:9" x14ac:dyDescent="0.3">
      <c r="A33" s="1"/>
      <c r="B33" s="1911"/>
      <c r="C33" s="1911"/>
      <c r="D33" s="1911"/>
      <c r="E33" s="1912"/>
      <c r="F33" s="1912"/>
      <c r="G33" s="1912"/>
      <c r="H33" s="1912"/>
      <c r="I33" s="1912"/>
    </row>
    <row r="34" spans="1:9" x14ac:dyDescent="0.3">
      <c r="A34" s="1068" t="s">
        <v>993</v>
      </c>
    </row>
    <row r="35" spans="1:9" x14ac:dyDescent="0.3">
      <c r="A35" s="1068" t="s">
        <v>994</v>
      </c>
    </row>
  </sheetData>
  <mergeCells count="2">
    <mergeCell ref="J2:Q2"/>
    <mergeCell ref="A2:I2"/>
  </mergeCells>
  <phoneticPr fontId="5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2624" t="s">
        <v>958</v>
      </c>
      <c r="B2" s="2625"/>
      <c r="C2" s="2625"/>
      <c r="D2" s="2625"/>
      <c r="E2" s="2625"/>
      <c r="F2" s="2625"/>
      <c r="G2" s="2625"/>
      <c r="H2" s="2625"/>
      <c r="I2"/>
      <c r="J2"/>
      <c r="K2"/>
      <c r="L2"/>
      <c r="M2"/>
      <c r="N2"/>
      <c r="O2"/>
      <c r="P2"/>
    </row>
    <row r="3" spans="1:28" s="1" customFormat="1" ht="32.4" thickBot="1" x14ac:dyDescent="0.4">
      <c r="A3" s="1866" t="s">
        <v>975</v>
      </c>
      <c r="B3" s="1392" t="s">
        <v>820</v>
      </c>
      <c r="C3" s="1396" t="s">
        <v>821</v>
      </c>
      <c r="D3" s="1276"/>
      <c r="E3" s="1277"/>
      <c r="F3" s="1277"/>
      <c r="G3" s="1277"/>
      <c r="H3" s="1858"/>
      <c r="I3"/>
      <c r="J3"/>
      <c r="K3"/>
      <c r="L3"/>
      <c r="M3"/>
      <c r="N3"/>
      <c r="O3"/>
      <c r="P3"/>
      <c r="Q3"/>
      <c r="R3"/>
      <c r="S3"/>
      <c r="T3"/>
      <c r="U3"/>
      <c r="V3"/>
      <c r="W3"/>
      <c r="X3"/>
      <c r="Y3"/>
      <c r="Z3"/>
      <c r="AA3"/>
      <c r="AB3"/>
    </row>
    <row r="4" spans="1:28" s="1" customFormat="1" ht="18.600000000000001" thickBot="1" x14ac:dyDescent="0.4">
      <c r="A4" s="1286"/>
      <c r="B4" s="1288" t="s">
        <v>891</v>
      </c>
      <c r="C4" s="1393"/>
      <c r="D4" s="1864" t="s">
        <v>996</v>
      </c>
      <c r="E4" s="1288" t="s">
        <v>836</v>
      </c>
      <c r="F4" s="1393"/>
      <c r="G4" s="1864" t="s">
        <v>997</v>
      </c>
      <c r="H4" s="1857" t="s">
        <v>221</v>
      </c>
      <c r="I4"/>
      <c r="J4"/>
      <c r="K4"/>
      <c r="L4"/>
      <c r="M4"/>
      <c r="N4"/>
      <c r="O4"/>
      <c r="P4"/>
      <c r="Q4"/>
      <c r="R4"/>
      <c r="S4"/>
      <c r="T4"/>
      <c r="U4"/>
      <c r="V4"/>
      <c r="W4"/>
      <c r="X4"/>
      <c r="Y4"/>
      <c r="Z4"/>
      <c r="AA4"/>
      <c r="AB4"/>
    </row>
    <row r="5" spans="1:28" s="1" customFormat="1" ht="31.8" thickBot="1" x14ac:dyDescent="0.35">
      <c r="A5" s="1285" t="s">
        <v>15</v>
      </c>
      <c r="B5" s="1867" t="s">
        <v>892</v>
      </c>
      <c r="C5" s="1867" t="s">
        <v>940</v>
      </c>
      <c r="D5" s="1865"/>
      <c r="E5" s="1867" t="s">
        <v>837</v>
      </c>
      <c r="F5" s="1868" t="s">
        <v>889</v>
      </c>
      <c r="G5" s="1865"/>
      <c r="H5" s="1861"/>
      <c r="I5"/>
      <c r="J5"/>
      <c r="K5"/>
      <c r="L5"/>
      <c r="M5"/>
      <c r="N5"/>
      <c r="O5"/>
      <c r="P5"/>
      <c r="Q5"/>
      <c r="R5"/>
      <c r="S5"/>
      <c r="T5"/>
      <c r="U5"/>
      <c r="V5"/>
      <c r="W5"/>
      <c r="X5"/>
      <c r="Y5"/>
      <c r="Z5"/>
      <c r="AA5"/>
      <c r="AB5"/>
    </row>
    <row r="6" spans="1:28" s="1" customFormat="1" x14ac:dyDescent="0.3">
      <c r="A6" s="669">
        <v>2000</v>
      </c>
      <c r="B6" s="701"/>
      <c r="C6" s="701"/>
      <c r="D6" s="481"/>
      <c r="E6" s="701">
        <v>21838</v>
      </c>
      <c r="F6" s="701"/>
      <c r="G6" s="2060">
        <v>21838</v>
      </c>
      <c r="H6" s="1107">
        <v>21838</v>
      </c>
      <c r="I6"/>
      <c r="J6"/>
      <c r="K6"/>
      <c r="L6"/>
      <c r="M6"/>
      <c r="N6"/>
      <c r="O6"/>
      <c r="P6"/>
      <c r="Q6"/>
      <c r="R6"/>
      <c r="S6"/>
      <c r="T6"/>
      <c r="U6"/>
      <c r="V6"/>
      <c r="W6"/>
      <c r="X6"/>
      <c r="Y6"/>
      <c r="Z6"/>
      <c r="AA6"/>
      <c r="AB6"/>
    </row>
    <row r="7" spans="1:28" x14ac:dyDescent="0.3">
      <c r="A7" s="669">
        <v>2001</v>
      </c>
      <c r="B7" s="701"/>
      <c r="C7" s="701"/>
      <c r="D7" s="481"/>
      <c r="E7" s="701">
        <v>39024</v>
      </c>
      <c r="F7" s="701"/>
      <c r="G7" s="2060">
        <v>39024</v>
      </c>
      <c r="H7" s="1107">
        <v>39024</v>
      </c>
    </row>
    <row r="8" spans="1:28" x14ac:dyDescent="0.3">
      <c r="A8" s="669">
        <v>2002</v>
      </c>
      <c r="B8" s="701"/>
      <c r="C8" s="701"/>
      <c r="D8" s="481"/>
      <c r="E8" s="701">
        <v>3560</v>
      </c>
      <c r="F8" s="701"/>
      <c r="G8" s="2060">
        <v>3560</v>
      </c>
      <c r="H8" s="1107">
        <v>3560</v>
      </c>
    </row>
    <row r="9" spans="1:28" x14ac:dyDescent="0.3">
      <c r="A9" s="669">
        <v>2003</v>
      </c>
      <c r="B9" s="701"/>
      <c r="C9" s="701"/>
      <c r="D9" s="481"/>
      <c r="E9" s="701">
        <v>17753</v>
      </c>
      <c r="F9" s="701"/>
      <c r="G9" s="2060">
        <v>17753</v>
      </c>
      <c r="H9" s="1107">
        <v>17753</v>
      </c>
    </row>
    <row r="10" spans="1:28" x14ac:dyDescent="0.3">
      <c r="A10" s="669">
        <v>2004</v>
      </c>
      <c r="B10" s="701"/>
      <c r="C10" s="701"/>
      <c r="D10" s="481"/>
      <c r="E10" s="701">
        <v>41791</v>
      </c>
      <c r="F10" s="701"/>
      <c r="G10" s="2060">
        <v>41791</v>
      </c>
      <c r="H10" s="1107">
        <v>41791</v>
      </c>
    </row>
    <row r="11" spans="1:28" x14ac:dyDescent="0.3">
      <c r="A11" s="669">
        <v>2005</v>
      </c>
      <c r="B11" s="701"/>
      <c r="C11" s="701"/>
      <c r="D11" s="481"/>
      <c r="E11" s="701">
        <v>31260</v>
      </c>
      <c r="F11" s="701"/>
      <c r="G11" s="2060">
        <v>31260</v>
      </c>
      <c r="H11" s="1107">
        <v>31260</v>
      </c>
    </row>
    <row r="12" spans="1:28" x14ac:dyDescent="0.3">
      <c r="A12" s="669">
        <v>2006</v>
      </c>
      <c r="B12" s="701"/>
      <c r="C12" s="701"/>
      <c r="D12" s="481"/>
      <c r="E12" s="701">
        <v>20819</v>
      </c>
      <c r="F12" s="701"/>
      <c r="G12" s="2060">
        <v>20819</v>
      </c>
      <c r="H12" s="1107">
        <v>20819</v>
      </c>
    </row>
    <row r="13" spans="1:28" x14ac:dyDescent="0.3">
      <c r="A13" s="669">
        <v>2007</v>
      </c>
      <c r="B13" s="701"/>
      <c r="C13" s="701"/>
      <c r="D13" s="481"/>
      <c r="E13" s="701">
        <v>13490</v>
      </c>
      <c r="F13" s="701"/>
      <c r="G13" s="2060">
        <v>13490</v>
      </c>
      <c r="H13" s="1107">
        <v>13490</v>
      </c>
    </row>
    <row r="14" spans="1:28" x14ac:dyDescent="0.3">
      <c r="A14" s="669">
        <v>2008</v>
      </c>
      <c r="B14" s="701"/>
      <c r="C14" s="701"/>
      <c r="D14" s="481"/>
      <c r="E14" s="701">
        <v>126972</v>
      </c>
      <c r="F14" s="701"/>
      <c r="G14" s="2060">
        <v>126972</v>
      </c>
      <c r="H14" s="1107">
        <v>126972</v>
      </c>
    </row>
    <row r="15" spans="1:28" x14ac:dyDescent="0.3">
      <c r="A15" s="669">
        <v>2009</v>
      </c>
      <c r="B15" s="701"/>
      <c r="C15" s="701"/>
      <c r="D15" s="481"/>
      <c r="E15" s="701">
        <v>64024</v>
      </c>
      <c r="F15" s="701">
        <v>4029</v>
      </c>
      <c r="G15" s="2060">
        <v>68053</v>
      </c>
      <c r="H15" s="1107">
        <v>68053</v>
      </c>
    </row>
    <row r="16" spans="1:28" x14ac:dyDescent="0.3">
      <c r="A16" s="669">
        <v>2010</v>
      </c>
      <c r="B16" s="701"/>
      <c r="C16" s="701"/>
      <c r="D16" s="481"/>
      <c r="E16" s="701">
        <v>182122</v>
      </c>
      <c r="F16" s="701">
        <v>17839</v>
      </c>
      <c r="G16" s="2060">
        <v>199961</v>
      </c>
      <c r="H16" s="1107">
        <v>199961</v>
      </c>
    </row>
    <row r="17" spans="1:8" x14ac:dyDescent="0.3">
      <c r="A17" s="1799">
        <v>2011</v>
      </c>
      <c r="B17" s="1632">
        <v>22879</v>
      </c>
      <c r="C17" s="1632"/>
      <c r="D17" s="947">
        <v>22879</v>
      </c>
      <c r="E17" s="1632">
        <v>10813</v>
      </c>
      <c r="F17" s="1632">
        <v>2208</v>
      </c>
      <c r="G17" s="2120">
        <v>13021</v>
      </c>
      <c r="H17" s="1633">
        <v>35900</v>
      </c>
    </row>
    <row r="18" spans="1:8" x14ac:dyDescent="0.3">
      <c r="A18" s="669">
        <v>2012</v>
      </c>
      <c r="B18" s="701">
        <v>10994</v>
      </c>
      <c r="C18" s="701"/>
      <c r="D18" s="481">
        <v>10994</v>
      </c>
      <c r="E18" s="701">
        <v>90862</v>
      </c>
      <c r="F18" s="701">
        <v>3203</v>
      </c>
      <c r="G18" s="2060">
        <v>94065</v>
      </c>
      <c r="H18" s="1107">
        <v>105059</v>
      </c>
    </row>
    <row r="19" spans="1:8" x14ac:dyDescent="0.3">
      <c r="A19" s="669">
        <v>2013</v>
      </c>
      <c r="B19" s="701">
        <v>8904</v>
      </c>
      <c r="C19" s="701"/>
      <c r="D19" s="481">
        <v>8904</v>
      </c>
      <c r="E19" s="701">
        <v>33820</v>
      </c>
      <c r="F19" s="701">
        <v>2108</v>
      </c>
      <c r="G19" s="2060">
        <v>35928</v>
      </c>
      <c r="H19" s="1107">
        <v>44832</v>
      </c>
    </row>
    <row r="20" spans="1:8" x14ac:dyDescent="0.3">
      <c r="A20" s="669">
        <v>2014</v>
      </c>
      <c r="B20" s="701">
        <v>49549</v>
      </c>
      <c r="C20" s="701">
        <v>188</v>
      </c>
      <c r="D20" s="481">
        <v>49737</v>
      </c>
      <c r="E20" s="701">
        <v>145206</v>
      </c>
      <c r="F20" s="701">
        <v>1489</v>
      </c>
      <c r="G20" s="2060">
        <v>146695</v>
      </c>
      <c r="H20" s="1107">
        <v>196432</v>
      </c>
    </row>
    <row r="21" spans="1:8" x14ac:dyDescent="0.3">
      <c r="A21" s="669">
        <v>2015</v>
      </c>
      <c r="B21" s="701">
        <v>14257</v>
      </c>
      <c r="C21" s="701">
        <v>150</v>
      </c>
      <c r="D21" s="481">
        <v>14407</v>
      </c>
      <c r="E21" s="701">
        <v>10255</v>
      </c>
      <c r="F21" s="701">
        <v>186</v>
      </c>
      <c r="G21" s="2060">
        <v>10441</v>
      </c>
      <c r="H21" s="1107">
        <v>24848</v>
      </c>
    </row>
    <row r="22" spans="1:8" x14ac:dyDescent="0.3">
      <c r="A22" s="669">
        <v>2016</v>
      </c>
      <c r="B22" s="701">
        <v>36853</v>
      </c>
      <c r="C22" s="701"/>
      <c r="D22" s="481">
        <v>36853</v>
      </c>
      <c r="E22" s="701">
        <v>54281</v>
      </c>
      <c r="F22" s="701">
        <v>531.56600000000003</v>
      </c>
      <c r="G22" s="2060">
        <v>54812.565999999999</v>
      </c>
      <c r="H22" s="1107">
        <v>91665.566000000006</v>
      </c>
    </row>
    <row r="23" spans="1:8" x14ac:dyDescent="0.3">
      <c r="A23" s="669">
        <v>2017</v>
      </c>
      <c r="B23" s="701">
        <v>27136</v>
      </c>
      <c r="C23" s="701"/>
      <c r="D23" s="481">
        <v>27136</v>
      </c>
      <c r="E23" s="701">
        <v>9893</v>
      </c>
      <c r="F23" s="701">
        <v>165</v>
      </c>
      <c r="G23" s="2060">
        <v>10058</v>
      </c>
      <c r="H23" s="1107">
        <v>37194</v>
      </c>
    </row>
    <row r="24" spans="1:8" x14ac:dyDescent="0.3">
      <c r="A24" s="669">
        <v>2018</v>
      </c>
      <c r="B24" s="701">
        <v>41257</v>
      </c>
      <c r="C24" s="701">
        <v>489</v>
      </c>
      <c r="D24" s="481">
        <v>41746</v>
      </c>
      <c r="E24" s="701">
        <v>30755</v>
      </c>
      <c r="F24" s="701">
        <v>250</v>
      </c>
      <c r="G24" s="2060">
        <v>31005</v>
      </c>
      <c r="H24" s="1107">
        <v>72751</v>
      </c>
    </row>
    <row r="25" spans="1:8" x14ac:dyDescent="0.3">
      <c r="A25" s="669">
        <v>2019</v>
      </c>
      <c r="B25" s="701">
        <v>10175</v>
      </c>
      <c r="C25" s="701"/>
      <c r="D25" s="481">
        <v>10175</v>
      </c>
      <c r="E25" s="701">
        <v>12913</v>
      </c>
      <c r="F25" s="701">
        <v>54</v>
      </c>
      <c r="G25" s="2060">
        <v>12967</v>
      </c>
      <c r="H25" s="1107">
        <v>23142</v>
      </c>
    </row>
    <row r="26" spans="1:8" x14ac:dyDescent="0.3">
      <c r="A26" s="669">
        <v>2020</v>
      </c>
      <c r="B26" s="701">
        <v>28369</v>
      </c>
      <c r="C26" s="701">
        <v>11495</v>
      </c>
      <c r="D26" s="481">
        <v>39864</v>
      </c>
      <c r="E26" s="701">
        <v>46510</v>
      </c>
      <c r="F26" s="701">
        <v>1441</v>
      </c>
      <c r="G26" s="2060">
        <v>47951</v>
      </c>
      <c r="H26" s="1107">
        <v>87815</v>
      </c>
    </row>
    <row r="27" spans="1:8" ht="15" thickBot="1" x14ac:dyDescent="0.35">
      <c r="A27" s="669">
        <v>2021</v>
      </c>
      <c r="B27" s="701">
        <v>8687</v>
      </c>
      <c r="C27" s="701"/>
      <c r="D27" s="481">
        <v>8687</v>
      </c>
      <c r="E27" s="701">
        <v>10457</v>
      </c>
      <c r="F27" s="701">
        <v>40</v>
      </c>
      <c r="G27" s="2060">
        <v>10497</v>
      </c>
      <c r="H27" s="1107">
        <v>19184</v>
      </c>
    </row>
    <row r="28" spans="1:8" ht="15" thickBot="1" x14ac:dyDescent="0.35">
      <c r="A28" s="2327" t="s">
        <v>221</v>
      </c>
      <c r="B28" s="1389">
        <v>259060</v>
      </c>
      <c r="C28" s="1390">
        <v>12322</v>
      </c>
      <c r="D28" s="1853">
        <v>271382</v>
      </c>
      <c r="E28" s="1390">
        <v>1018418</v>
      </c>
      <c r="F28" s="1391">
        <v>33543.565999999999</v>
      </c>
      <c r="G28" s="1853">
        <v>1051961.5660000001</v>
      </c>
      <c r="H28" s="1854">
        <v>1323343.5660000001</v>
      </c>
    </row>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40" t="s">
        <v>998</v>
      </c>
      <c r="B1" s="1956" t="s">
        <v>999</v>
      </c>
      <c r="C1" s="1956" t="s">
        <v>1000</v>
      </c>
      <c r="D1" s="1956" t="s">
        <v>1001</v>
      </c>
      <c r="E1" s="1956" t="s">
        <v>1002</v>
      </c>
      <c r="F1" s="1956" t="s">
        <v>1003</v>
      </c>
      <c r="G1" s="1956" t="s">
        <v>1004</v>
      </c>
      <c r="H1" s="1956" t="s">
        <v>1005</v>
      </c>
      <c r="I1" s="1956" t="s">
        <v>1006</v>
      </c>
      <c r="J1" s="1956" t="s">
        <v>1007</v>
      </c>
      <c r="K1" s="1956" t="s">
        <v>1008</v>
      </c>
      <c r="L1" s="1956" t="s">
        <v>1009</v>
      </c>
      <c r="M1" s="1957" t="s">
        <v>1010</v>
      </c>
      <c r="N1" s="1963" t="s">
        <v>1011</v>
      </c>
      <c r="O1" s="1964" t="s">
        <v>1012</v>
      </c>
    </row>
    <row r="2" spans="1:15" x14ac:dyDescent="0.3">
      <c r="A2" s="854">
        <v>1985</v>
      </c>
      <c r="B2" s="701">
        <v>166340</v>
      </c>
      <c r="C2" s="701">
        <v>1</v>
      </c>
      <c r="D2" s="701">
        <v>173308</v>
      </c>
      <c r="E2" s="701">
        <v>32213</v>
      </c>
      <c r="F2" s="701">
        <v>59</v>
      </c>
      <c r="G2" s="701">
        <v>205462</v>
      </c>
      <c r="H2" s="701">
        <v>103200</v>
      </c>
      <c r="I2" s="701">
        <v>60566</v>
      </c>
      <c r="J2" s="1103">
        <v>0.59</v>
      </c>
      <c r="K2" s="1103">
        <v>1</v>
      </c>
      <c r="L2" s="1103">
        <v>1</v>
      </c>
      <c r="M2" s="1958">
        <v>121223</v>
      </c>
      <c r="N2" s="1959">
        <f>G2*J2*K2*L2</f>
        <v>121222.57999999999</v>
      </c>
      <c r="O2" s="1960">
        <f>ROUND(N2,0)-M2</f>
        <v>0</v>
      </c>
    </row>
    <row r="3" spans="1:15" x14ac:dyDescent="0.3">
      <c r="A3" s="854">
        <v>1986</v>
      </c>
      <c r="B3" s="701">
        <v>58123</v>
      </c>
      <c r="C3" s="701">
        <v>1</v>
      </c>
      <c r="D3" s="701">
        <v>60380</v>
      </c>
      <c r="E3" s="701">
        <v>1840</v>
      </c>
      <c r="F3" s="701">
        <v>24</v>
      </c>
      <c r="G3" s="701">
        <v>62196</v>
      </c>
      <c r="H3" s="701">
        <v>49788</v>
      </c>
      <c r="I3" s="701">
        <v>39380</v>
      </c>
      <c r="J3" s="1103">
        <v>0.79</v>
      </c>
      <c r="K3" s="1103">
        <v>1</v>
      </c>
      <c r="L3" s="1103">
        <v>1</v>
      </c>
      <c r="M3" s="1958">
        <v>49135</v>
      </c>
      <c r="N3" s="1959">
        <f t="shared" ref="N3:N38" si="0">G3*J3*K3*L3</f>
        <v>49134.840000000004</v>
      </c>
      <c r="O3" s="1960">
        <f t="shared" ref="O3:O38" si="1">ROUND(N3,0)-M3</f>
        <v>0</v>
      </c>
    </row>
    <row r="4" spans="1:15" x14ac:dyDescent="0.3">
      <c r="A4" s="854">
        <v>1987</v>
      </c>
      <c r="B4" s="701">
        <v>116993</v>
      </c>
      <c r="C4" s="701">
        <v>1</v>
      </c>
      <c r="D4" s="701">
        <v>121813</v>
      </c>
      <c r="E4" s="701">
        <v>28553</v>
      </c>
      <c r="F4" s="701">
        <v>55</v>
      </c>
      <c r="G4" s="701">
        <v>150311</v>
      </c>
      <c r="H4" s="701">
        <v>69868</v>
      </c>
      <c r="I4" s="701">
        <v>46049</v>
      </c>
      <c r="J4" s="1103">
        <v>0.66</v>
      </c>
      <c r="K4" s="1103">
        <v>1</v>
      </c>
      <c r="L4" s="1103">
        <v>1</v>
      </c>
      <c r="M4" s="1958">
        <v>99205</v>
      </c>
      <c r="N4" s="1959">
        <f t="shared" si="0"/>
        <v>99205.260000000009</v>
      </c>
      <c r="O4" s="1960">
        <f t="shared" si="1"/>
        <v>0</v>
      </c>
    </row>
    <row r="5" spans="1:15" x14ac:dyDescent="0.3">
      <c r="A5" s="854">
        <v>1988</v>
      </c>
      <c r="B5" s="701">
        <v>79714</v>
      </c>
      <c r="C5" s="701">
        <v>1</v>
      </c>
      <c r="D5" s="701">
        <v>82911</v>
      </c>
      <c r="E5" s="701">
        <v>17632</v>
      </c>
      <c r="F5" s="701">
        <v>45</v>
      </c>
      <c r="G5" s="701">
        <v>100498</v>
      </c>
      <c r="H5" s="701">
        <v>49177</v>
      </c>
      <c r="I5" s="701">
        <v>38463</v>
      </c>
      <c r="J5" s="1103">
        <v>0.78</v>
      </c>
      <c r="K5" s="1103">
        <v>1</v>
      </c>
      <c r="L5" s="1103">
        <v>1</v>
      </c>
      <c r="M5" s="1958">
        <v>78388</v>
      </c>
      <c r="N5" s="1959">
        <f t="shared" si="0"/>
        <v>78388.44</v>
      </c>
      <c r="O5" s="1960">
        <f t="shared" si="1"/>
        <v>0</v>
      </c>
    </row>
    <row r="6" spans="1:15" x14ac:dyDescent="0.3">
      <c r="A6" s="854">
        <v>1989</v>
      </c>
      <c r="B6" s="701">
        <v>41884</v>
      </c>
      <c r="C6" s="701">
        <v>1</v>
      </c>
      <c r="D6" s="701">
        <v>43434</v>
      </c>
      <c r="E6" s="701">
        <v>36</v>
      </c>
      <c r="F6" s="701">
        <v>4</v>
      </c>
      <c r="G6" s="701">
        <v>43466</v>
      </c>
      <c r="H6" s="701">
        <v>37360</v>
      </c>
      <c r="I6" s="701">
        <v>18116</v>
      </c>
      <c r="J6" s="1103">
        <v>0.42</v>
      </c>
      <c r="K6" s="1103">
        <v>1</v>
      </c>
      <c r="L6" s="1103">
        <v>1</v>
      </c>
      <c r="M6" s="1958">
        <v>18256</v>
      </c>
      <c r="N6" s="1959">
        <f t="shared" si="0"/>
        <v>18255.719999999998</v>
      </c>
      <c r="O6" s="1960">
        <f t="shared" si="1"/>
        <v>0</v>
      </c>
    </row>
    <row r="7" spans="1:15" x14ac:dyDescent="0.3">
      <c r="A7" s="1965">
        <v>1990</v>
      </c>
      <c r="B7" s="701">
        <v>49581</v>
      </c>
      <c r="C7" s="701">
        <v>1</v>
      </c>
      <c r="D7" s="701">
        <v>51466</v>
      </c>
      <c r="E7" s="701">
        <v>173</v>
      </c>
      <c r="F7" s="701">
        <v>1</v>
      </c>
      <c r="G7" s="1967">
        <v>51638</v>
      </c>
      <c r="H7" s="701">
        <v>44143</v>
      </c>
      <c r="I7" s="701">
        <v>10412</v>
      </c>
      <c r="J7" s="1969">
        <v>0.23</v>
      </c>
      <c r="K7" s="1969">
        <v>1</v>
      </c>
      <c r="L7" s="1969">
        <v>1</v>
      </c>
      <c r="M7" s="1970">
        <v>12393</v>
      </c>
      <c r="N7" s="1959">
        <f t="shared" si="0"/>
        <v>11876.74</v>
      </c>
      <c r="O7" s="1960">
        <f t="shared" si="1"/>
        <v>-516</v>
      </c>
    </row>
    <row r="8" spans="1:15" x14ac:dyDescent="0.3">
      <c r="A8" s="1965">
        <v>1991</v>
      </c>
      <c r="B8" s="701">
        <v>76481</v>
      </c>
      <c r="C8" s="701">
        <v>1</v>
      </c>
      <c r="D8" s="701">
        <v>79537</v>
      </c>
      <c r="E8" s="701">
        <v>3</v>
      </c>
      <c r="F8" s="701">
        <v>10</v>
      </c>
      <c r="G8" s="1967">
        <v>79530</v>
      </c>
      <c r="H8" s="701">
        <v>62119</v>
      </c>
      <c r="I8" s="701">
        <v>31119</v>
      </c>
      <c r="J8" s="1969">
        <v>0.47</v>
      </c>
      <c r="K8" s="1969">
        <v>1</v>
      </c>
      <c r="L8" s="1969">
        <v>1</v>
      </c>
      <c r="M8" s="1970">
        <v>39765</v>
      </c>
      <c r="N8" s="1959">
        <f t="shared" si="0"/>
        <v>37379.1</v>
      </c>
      <c r="O8" s="1960">
        <f t="shared" si="1"/>
        <v>-2386</v>
      </c>
    </row>
    <row r="9" spans="1:15" x14ac:dyDescent="0.3">
      <c r="A9" s="854">
        <v>1992</v>
      </c>
      <c r="B9" s="701">
        <v>84992</v>
      </c>
      <c r="C9" s="701">
        <v>1</v>
      </c>
      <c r="D9" s="701">
        <v>88419</v>
      </c>
      <c r="E9" s="701">
        <v>8</v>
      </c>
      <c r="F9" s="701">
        <v>35</v>
      </c>
      <c r="G9" s="701">
        <v>88392</v>
      </c>
      <c r="H9" s="701">
        <v>68359</v>
      </c>
      <c r="I9" s="701">
        <v>47489</v>
      </c>
      <c r="J9" s="1103">
        <v>0.69</v>
      </c>
      <c r="K9" s="1103">
        <v>1</v>
      </c>
      <c r="L9" s="1103">
        <v>1</v>
      </c>
      <c r="M9" s="1958">
        <v>60990</v>
      </c>
      <c r="N9" s="1959">
        <f t="shared" si="0"/>
        <v>60990.479999999996</v>
      </c>
      <c r="O9" s="1960">
        <f t="shared" si="1"/>
        <v>0</v>
      </c>
    </row>
    <row r="10" spans="1:15" x14ac:dyDescent="0.3">
      <c r="A10" s="1965">
        <v>1993</v>
      </c>
      <c r="B10" s="701">
        <v>80178</v>
      </c>
      <c r="C10" s="701">
        <v>1</v>
      </c>
      <c r="D10" s="701">
        <v>83395</v>
      </c>
      <c r="E10" s="701">
        <v>64</v>
      </c>
      <c r="F10" s="701">
        <v>18</v>
      </c>
      <c r="G10" s="1967">
        <v>83441</v>
      </c>
      <c r="H10" s="701">
        <v>65630</v>
      </c>
      <c r="I10" s="701">
        <v>31717</v>
      </c>
      <c r="J10" s="1969">
        <v>0.47</v>
      </c>
      <c r="K10" s="1969">
        <v>1</v>
      </c>
      <c r="L10" s="1969">
        <v>1</v>
      </c>
      <c r="M10" s="1970">
        <v>40052</v>
      </c>
      <c r="N10" s="1959">
        <f t="shared" si="0"/>
        <v>39217.269999999997</v>
      </c>
      <c r="O10" s="1960">
        <f t="shared" si="1"/>
        <v>-835</v>
      </c>
    </row>
    <row r="11" spans="1:15" x14ac:dyDescent="0.3">
      <c r="A11" s="854">
        <v>1994</v>
      </c>
      <c r="B11" s="701">
        <v>12678</v>
      </c>
      <c r="C11" s="701">
        <v>1</v>
      </c>
      <c r="D11" s="701">
        <v>12956</v>
      </c>
      <c r="E11" s="701">
        <v>1</v>
      </c>
      <c r="F11" s="701">
        <v>5</v>
      </c>
      <c r="G11" s="701">
        <v>12952</v>
      </c>
      <c r="H11" s="701">
        <v>11367</v>
      </c>
      <c r="I11" s="701">
        <v>1886</v>
      </c>
      <c r="J11" s="1103">
        <v>0.17</v>
      </c>
      <c r="K11" s="1103">
        <v>1</v>
      </c>
      <c r="L11" s="1103">
        <v>1</v>
      </c>
      <c r="M11" s="1958">
        <v>2202</v>
      </c>
      <c r="N11" s="1959">
        <f t="shared" si="0"/>
        <v>2201.84</v>
      </c>
      <c r="O11" s="1960">
        <f t="shared" si="1"/>
        <v>0</v>
      </c>
    </row>
    <row r="12" spans="1:15" x14ac:dyDescent="0.3">
      <c r="A12" s="1965">
        <v>1995</v>
      </c>
      <c r="B12" s="701">
        <v>8774</v>
      </c>
      <c r="C12" s="701">
        <v>1</v>
      </c>
      <c r="D12" s="701">
        <v>8882</v>
      </c>
      <c r="E12" s="701">
        <v>1</v>
      </c>
      <c r="F12" s="701">
        <v>5</v>
      </c>
      <c r="G12" s="1967">
        <v>8878</v>
      </c>
      <c r="H12" s="701">
        <v>8049</v>
      </c>
      <c r="I12" s="701">
        <v>5538</v>
      </c>
      <c r="J12" s="1969">
        <v>0.69</v>
      </c>
      <c r="K12" s="1969">
        <v>1</v>
      </c>
      <c r="L12" s="1969">
        <v>1</v>
      </c>
      <c r="M12" s="1970">
        <v>5238</v>
      </c>
      <c r="N12" s="1959">
        <f t="shared" si="0"/>
        <v>6125.82</v>
      </c>
      <c r="O12" s="1960">
        <f t="shared" si="1"/>
        <v>888</v>
      </c>
    </row>
    <row r="13" spans="1:15" x14ac:dyDescent="0.3">
      <c r="A13" s="854">
        <v>1996</v>
      </c>
      <c r="B13" s="701">
        <v>30232</v>
      </c>
      <c r="C13" s="701">
        <v>1</v>
      </c>
      <c r="D13" s="701">
        <v>31275</v>
      </c>
      <c r="E13" s="701">
        <v>25</v>
      </c>
      <c r="F13" s="701">
        <v>3</v>
      </c>
      <c r="G13" s="701">
        <v>31297</v>
      </c>
      <c r="H13" s="701">
        <v>29500</v>
      </c>
      <c r="I13" s="701">
        <v>21741</v>
      </c>
      <c r="J13" s="1103">
        <v>0.74</v>
      </c>
      <c r="K13" s="1103">
        <v>1</v>
      </c>
      <c r="L13" s="1103">
        <v>1</v>
      </c>
      <c r="M13" s="1958">
        <v>23159</v>
      </c>
      <c r="N13" s="1959">
        <f t="shared" si="0"/>
        <v>23159.78</v>
      </c>
      <c r="O13" s="1960">
        <f t="shared" si="1"/>
        <v>1</v>
      </c>
    </row>
    <row r="14" spans="1:15" x14ac:dyDescent="0.3">
      <c r="A14" s="854">
        <v>1997</v>
      </c>
      <c r="B14" s="701">
        <v>47008</v>
      </c>
      <c r="C14" s="701">
        <v>1</v>
      </c>
      <c r="D14" s="701">
        <v>48781</v>
      </c>
      <c r="E14" s="701">
        <v>12</v>
      </c>
      <c r="F14" s="701">
        <v>16</v>
      </c>
      <c r="G14" s="701">
        <v>48777</v>
      </c>
      <c r="H14" s="701">
        <v>41504</v>
      </c>
      <c r="I14" s="701">
        <v>30661</v>
      </c>
      <c r="J14" s="1103">
        <v>0.74</v>
      </c>
      <c r="K14" s="1103">
        <v>1</v>
      </c>
      <c r="L14" s="1103">
        <v>1</v>
      </c>
      <c r="M14" s="1958">
        <v>36095</v>
      </c>
      <c r="N14" s="1959">
        <f t="shared" si="0"/>
        <v>36094.980000000003</v>
      </c>
      <c r="O14" s="1960">
        <f t="shared" si="1"/>
        <v>0</v>
      </c>
    </row>
    <row r="15" spans="1:15" x14ac:dyDescent="0.3">
      <c r="A15" s="1965">
        <v>1998</v>
      </c>
      <c r="B15" s="701">
        <v>13218</v>
      </c>
      <c r="C15" s="701">
        <v>1</v>
      </c>
      <c r="D15" s="701">
        <v>13520</v>
      </c>
      <c r="E15" s="701">
        <v>2</v>
      </c>
      <c r="F15" s="701">
        <v>4</v>
      </c>
      <c r="G15" s="1967">
        <v>13518</v>
      </c>
      <c r="H15" s="701">
        <v>9334</v>
      </c>
      <c r="I15" s="701">
        <v>5988</v>
      </c>
      <c r="J15" s="1969">
        <v>0.55000000000000004</v>
      </c>
      <c r="K15" s="1969">
        <v>1</v>
      </c>
      <c r="L15" s="1969">
        <v>1</v>
      </c>
      <c r="M15" s="1970">
        <v>7705</v>
      </c>
      <c r="N15" s="1959">
        <f t="shared" si="0"/>
        <v>7434.9000000000005</v>
      </c>
      <c r="O15" s="1960">
        <f t="shared" si="1"/>
        <v>-270</v>
      </c>
    </row>
    <row r="16" spans="1:15" x14ac:dyDescent="0.3">
      <c r="A16" s="854">
        <v>1999</v>
      </c>
      <c r="B16" s="701">
        <v>17877</v>
      </c>
      <c r="C16" s="701">
        <v>1</v>
      </c>
      <c r="D16" s="701">
        <v>18382</v>
      </c>
      <c r="E16" s="701">
        <v>1</v>
      </c>
      <c r="F16" s="701">
        <v>15</v>
      </c>
      <c r="G16" s="701">
        <v>18368</v>
      </c>
      <c r="H16" s="701">
        <v>15627</v>
      </c>
      <c r="I16" s="701">
        <v>14111</v>
      </c>
      <c r="J16" s="1103">
        <v>0.9</v>
      </c>
      <c r="K16" s="1103">
        <v>1</v>
      </c>
      <c r="L16" s="1103">
        <v>1</v>
      </c>
      <c r="M16" s="1958">
        <v>16531</v>
      </c>
      <c r="N16" s="1959">
        <f t="shared" si="0"/>
        <v>16531.2</v>
      </c>
      <c r="O16" s="1960">
        <f t="shared" si="1"/>
        <v>0</v>
      </c>
    </row>
    <row r="17" spans="1:15" x14ac:dyDescent="0.3">
      <c r="A17" s="1965">
        <v>2000</v>
      </c>
      <c r="B17" s="701">
        <v>93398</v>
      </c>
      <c r="C17" s="701">
        <v>1</v>
      </c>
      <c r="D17" s="701">
        <v>97191</v>
      </c>
      <c r="E17" s="701">
        <v>366</v>
      </c>
      <c r="F17" s="701">
        <v>365</v>
      </c>
      <c r="G17" s="1967">
        <v>97192</v>
      </c>
      <c r="H17" s="701">
        <v>76512</v>
      </c>
      <c r="I17" s="701">
        <v>59944</v>
      </c>
      <c r="J17" s="1969">
        <v>0.74</v>
      </c>
      <c r="K17" s="1969">
        <v>1</v>
      </c>
      <c r="L17" s="1969">
        <v>1</v>
      </c>
      <c r="M17" s="1970">
        <v>73866</v>
      </c>
      <c r="N17" s="1959">
        <f t="shared" si="0"/>
        <v>71922.080000000002</v>
      </c>
      <c r="O17" s="1960">
        <f t="shared" si="1"/>
        <v>-1944</v>
      </c>
    </row>
    <row r="18" spans="1:15" x14ac:dyDescent="0.3">
      <c r="A18" s="1965">
        <v>2001</v>
      </c>
      <c r="B18" s="701">
        <v>114934</v>
      </c>
      <c r="C18" s="701">
        <v>1</v>
      </c>
      <c r="D18" s="701">
        <v>119664</v>
      </c>
      <c r="E18" s="701">
        <v>1691</v>
      </c>
      <c r="F18" s="701">
        <v>41</v>
      </c>
      <c r="G18" s="1967">
        <v>121314</v>
      </c>
      <c r="H18" s="701">
        <v>104840</v>
      </c>
      <c r="I18" s="701">
        <v>74486</v>
      </c>
      <c r="J18" s="1969">
        <v>0.7</v>
      </c>
      <c r="K18" s="1969">
        <v>1</v>
      </c>
      <c r="L18" s="1969">
        <v>1</v>
      </c>
      <c r="M18" s="1970">
        <v>83707</v>
      </c>
      <c r="N18" s="1959">
        <f t="shared" si="0"/>
        <v>84919.799999999988</v>
      </c>
      <c r="O18" s="1960">
        <f t="shared" si="1"/>
        <v>1213</v>
      </c>
    </row>
    <row r="19" spans="1:15" x14ac:dyDescent="0.3">
      <c r="A19" s="854">
        <v>2002</v>
      </c>
      <c r="B19" s="701">
        <v>49610</v>
      </c>
      <c r="C19" s="701">
        <v>1</v>
      </c>
      <c r="D19" s="701">
        <v>51496</v>
      </c>
      <c r="E19" s="701">
        <v>24</v>
      </c>
      <c r="F19" s="701">
        <v>64</v>
      </c>
      <c r="G19" s="701">
        <v>51456</v>
      </c>
      <c r="H19" s="701">
        <v>44320</v>
      </c>
      <c r="I19" s="701">
        <v>12373</v>
      </c>
      <c r="J19" s="1103">
        <v>0.28000000000000003</v>
      </c>
      <c r="K19" s="1103">
        <v>1</v>
      </c>
      <c r="L19" s="1103">
        <v>1</v>
      </c>
      <c r="M19" s="1958">
        <v>14408</v>
      </c>
      <c r="N19" s="1959">
        <f t="shared" si="0"/>
        <v>14407.680000000002</v>
      </c>
      <c r="O19" s="1960">
        <f t="shared" si="1"/>
        <v>0</v>
      </c>
    </row>
    <row r="20" spans="1:15" x14ac:dyDescent="0.3">
      <c r="A20" s="854">
        <v>2003</v>
      </c>
      <c r="B20" s="701">
        <v>39291</v>
      </c>
      <c r="C20" s="701">
        <v>1</v>
      </c>
      <c r="D20" s="701">
        <v>40728</v>
      </c>
      <c r="E20" s="701">
        <v>0</v>
      </c>
      <c r="F20" s="701">
        <v>40</v>
      </c>
      <c r="G20" s="701">
        <v>40688</v>
      </c>
      <c r="H20" s="701">
        <v>34779</v>
      </c>
      <c r="I20" s="701">
        <v>30355</v>
      </c>
      <c r="J20" s="1103">
        <v>0.86</v>
      </c>
      <c r="K20" s="1103">
        <v>1</v>
      </c>
      <c r="L20" s="1103">
        <v>1</v>
      </c>
      <c r="M20" s="1958">
        <v>34992</v>
      </c>
      <c r="N20" s="1959">
        <f t="shared" si="0"/>
        <v>34991.68</v>
      </c>
      <c r="O20" s="1960">
        <f t="shared" si="1"/>
        <v>0</v>
      </c>
    </row>
    <row r="21" spans="1:15" x14ac:dyDescent="0.3">
      <c r="A21" s="854">
        <v>2004</v>
      </c>
      <c r="B21" s="701">
        <v>123291</v>
      </c>
      <c r="C21" s="701">
        <v>1</v>
      </c>
      <c r="D21" s="701">
        <v>128385</v>
      </c>
      <c r="E21" s="701">
        <v>682</v>
      </c>
      <c r="F21" s="701">
        <v>118</v>
      </c>
      <c r="G21" s="701">
        <v>128949</v>
      </c>
      <c r="H21" s="701">
        <v>106666</v>
      </c>
      <c r="I21" s="701">
        <v>81338</v>
      </c>
      <c r="J21" s="1103">
        <v>0.71</v>
      </c>
      <c r="K21" s="1103">
        <v>1</v>
      </c>
      <c r="L21" s="1103">
        <v>1</v>
      </c>
      <c r="M21" s="1958">
        <v>91554</v>
      </c>
      <c r="N21" s="1959">
        <f t="shared" si="0"/>
        <v>91553.79</v>
      </c>
      <c r="O21" s="1960">
        <f t="shared" si="1"/>
        <v>0</v>
      </c>
    </row>
    <row r="22" spans="1:15" x14ac:dyDescent="0.3">
      <c r="A22" s="854">
        <v>2005</v>
      </c>
      <c r="B22" s="701">
        <v>72971</v>
      </c>
      <c r="C22" s="701">
        <v>1</v>
      </c>
      <c r="D22" s="701">
        <v>75874</v>
      </c>
      <c r="E22" s="701">
        <v>4</v>
      </c>
      <c r="F22" s="701">
        <v>19</v>
      </c>
      <c r="G22" s="701">
        <v>75859</v>
      </c>
      <c r="H22" s="701">
        <v>71226</v>
      </c>
      <c r="I22" s="701">
        <v>55570</v>
      </c>
      <c r="J22" s="1103">
        <v>0.78</v>
      </c>
      <c r="K22" s="1103">
        <v>1</v>
      </c>
      <c r="L22" s="1103">
        <v>1</v>
      </c>
      <c r="M22" s="1958">
        <v>59170</v>
      </c>
      <c r="N22" s="1959">
        <f t="shared" si="0"/>
        <v>59170.020000000004</v>
      </c>
      <c r="O22" s="1960">
        <f t="shared" si="1"/>
        <v>0</v>
      </c>
    </row>
    <row r="23" spans="1:15" x14ac:dyDescent="0.3">
      <c r="A23" s="854">
        <v>2006</v>
      </c>
      <c r="B23" s="701">
        <v>37066</v>
      </c>
      <c r="C23" s="701">
        <v>1</v>
      </c>
      <c r="D23" s="701">
        <v>38406</v>
      </c>
      <c r="E23" s="701">
        <v>1</v>
      </c>
      <c r="F23" s="701">
        <v>51</v>
      </c>
      <c r="G23" s="701">
        <v>38356</v>
      </c>
      <c r="H23" s="701">
        <v>35132</v>
      </c>
      <c r="I23" s="701">
        <v>25377</v>
      </c>
      <c r="J23" s="1103">
        <v>0.72</v>
      </c>
      <c r="K23" s="1103">
        <v>1</v>
      </c>
      <c r="L23" s="1103">
        <v>1</v>
      </c>
      <c r="M23" s="1958">
        <v>27616</v>
      </c>
      <c r="N23" s="1959">
        <f t="shared" si="0"/>
        <v>27616.32</v>
      </c>
      <c r="O23" s="1960">
        <f t="shared" si="1"/>
        <v>0</v>
      </c>
    </row>
    <row r="24" spans="1:15" x14ac:dyDescent="0.3">
      <c r="A24" s="854">
        <v>2007</v>
      </c>
      <c r="B24" s="701">
        <v>24376</v>
      </c>
      <c r="C24" s="701">
        <v>1</v>
      </c>
      <c r="D24" s="701">
        <v>25164</v>
      </c>
      <c r="E24" s="701">
        <v>0</v>
      </c>
      <c r="F24" s="701">
        <v>58</v>
      </c>
      <c r="G24" s="701">
        <v>25106</v>
      </c>
      <c r="H24" s="701">
        <v>23246</v>
      </c>
      <c r="I24" s="701">
        <v>22273</v>
      </c>
      <c r="J24" s="1103">
        <v>0.89</v>
      </c>
      <c r="K24" s="1103">
        <v>1</v>
      </c>
      <c r="L24" s="1103">
        <v>1</v>
      </c>
      <c r="M24" s="1958">
        <v>22344</v>
      </c>
      <c r="N24" s="1959">
        <f t="shared" si="0"/>
        <v>22344.34</v>
      </c>
      <c r="O24" s="1960">
        <f t="shared" si="1"/>
        <v>0</v>
      </c>
    </row>
    <row r="25" spans="1:15" x14ac:dyDescent="0.3">
      <c r="A25" s="1965">
        <v>2008</v>
      </c>
      <c r="B25" s="701">
        <v>213607</v>
      </c>
      <c r="C25" s="701">
        <v>2</v>
      </c>
      <c r="D25" s="701">
        <v>224525</v>
      </c>
      <c r="E25" s="701">
        <v>974</v>
      </c>
      <c r="F25" s="701">
        <v>890</v>
      </c>
      <c r="G25" s="1967">
        <v>224609</v>
      </c>
      <c r="H25" s="701">
        <v>193739</v>
      </c>
      <c r="I25" s="701">
        <v>165334</v>
      </c>
      <c r="J25" s="1969">
        <v>0.85</v>
      </c>
      <c r="K25" s="1969">
        <v>1</v>
      </c>
      <c r="L25" s="1969">
        <v>0.94</v>
      </c>
      <c r="M25" s="1970">
        <v>178894</v>
      </c>
      <c r="N25" s="1959">
        <f t="shared" si="0"/>
        <v>179462.59099999999</v>
      </c>
      <c r="O25" s="1960">
        <f t="shared" si="1"/>
        <v>569</v>
      </c>
    </row>
    <row r="26" spans="1:15" x14ac:dyDescent="0.3">
      <c r="A26" s="1965">
        <v>2009</v>
      </c>
      <c r="B26" s="701">
        <v>177823</v>
      </c>
      <c r="C26" s="701">
        <v>2</v>
      </c>
      <c r="D26" s="701">
        <v>186485</v>
      </c>
      <c r="E26" s="701">
        <v>1188</v>
      </c>
      <c r="F26" s="701">
        <v>1414</v>
      </c>
      <c r="G26" s="1967">
        <v>186259</v>
      </c>
      <c r="H26" s="701">
        <v>162830</v>
      </c>
      <c r="I26" s="701">
        <v>134937</v>
      </c>
      <c r="J26" s="1969">
        <v>0.83</v>
      </c>
      <c r="K26" s="1969">
        <v>1</v>
      </c>
      <c r="L26" s="1969">
        <v>0.88</v>
      </c>
      <c r="M26" s="1970">
        <v>135329</v>
      </c>
      <c r="N26" s="1959">
        <f t="shared" si="0"/>
        <v>136043.5736</v>
      </c>
      <c r="O26" s="1960">
        <f t="shared" si="1"/>
        <v>715</v>
      </c>
    </row>
    <row r="27" spans="1:15" x14ac:dyDescent="0.3">
      <c r="A27" s="1965">
        <v>2010</v>
      </c>
      <c r="B27" s="701">
        <v>386525</v>
      </c>
      <c r="C27" s="701">
        <v>2</v>
      </c>
      <c r="D27" s="701">
        <v>408346</v>
      </c>
      <c r="E27" s="701">
        <v>468</v>
      </c>
      <c r="F27" s="701">
        <v>1861</v>
      </c>
      <c r="G27" s="1967">
        <v>406953</v>
      </c>
      <c r="H27" s="701">
        <v>338310</v>
      </c>
      <c r="I27" s="701">
        <v>295638</v>
      </c>
      <c r="J27" s="1969">
        <v>0.87</v>
      </c>
      <c r="K27" s="1969">
        <v>1</v>
      </c>
      <c r="L27" s="1969">
        <v>0.97</v>
      </c>
      <c r="M27" s="1970">
        <v>342215</v>
      </c>
      <c r="N27" s="1959">
        <f t="shared" si="0"/>
        <v>343427.63669999997</v>
      </c>
      <c r="O27" s="1960">
        <f t="shared" si="1"/>
        <v>1213</v>
      </c>
    </row>
    <row r="28" spans="1:15" x14ac:dyDescent="0.3">
      <c r="A28" s="1965">
        <v>2011</v>
      </c>
      <c r="B28" s="701">
        <v>185796</v>
      </c>
      <c r="C28" s="701">
        <v>2</v>
      </c>
      <c r="D28" s="701">
        <v>194960</v>
      </c>
      <c r="E28" s="701">
        <v>1873</v>
      </c>
      <c r="F28" s="701">
        <v>1561</v>
      </c>
      <c r="G28" s="1967">
        <v>195272</v>
      </c>
      <c r="H28" s="701">
        <v>146111</v>
      </c>
      <c r="I28" s="701">
        <v>132096</v>
      </c>
      <c r="J28" s="1969">
        <v>0.89</v>
      </c>
      <c r="K28" s="1969">
        <v>0.36</v>
      </c>
      <c r="L28" s="1969">
        <v>0.96</v>
      </c>
      <c r="M28" s="1970">
        <v>59581</v>
      </c>
      <c r="N28" s="1959">
        <f t="shared" si="0"/>
        <v>60062.542847999997</v>
      </c>
      <c r="O28" s="1960">
        <f t="shared" si="1"/>
        <v>482</v>
      </c>
    </row>
    <row r="29" spans="1:15" x14ac:dyDescent="0.3">
      <c r="A29" s="1965">
        <v>2012</v>
      </c>
      <c r="B29" s="701">
        <v>515673</v>
      </c>
      <c r="C29" s="701">
        <v>2</v>
      </c>
      <c r="D29" s="701">
        <v>545637</v>
      </c>
      <c r="E29" s="701">
        <v>5491</v>
      </c>
      <c r="F29" s="701">
        <v>512</v>
      </c>
      <c r="G29" s="1967">
        <v>550616</v>
      </c>
      <c r="H29" s="701">
        <v>410620</v>
      </c>
      <c r="I29" s="701">
        <v>363314</v>
      </c>
      <c r="J29" s="1969">
        <v>0.84</v>
      </c>
      <c r="K29" s="1969">
        <v>0.9</v>
      </c>
      <c r="L29" s="1969">
        <v>0.98</v>
      </c>
      <c r="M29" s="1970">
        <v>403813</v>
      </c>
      <c r="N29" s="1959">
        <f t="shared" si="0"/>
        <v>407940.38208000001</v>
      </c>
      <c r="O29" s="1960">
        <f t="shared" si="1"/>
        <v>4127</v>
      </c>
    </row>
    <row r="30" spans="1:15" x14ac:dyDescent="0.3">
      <c r="A30" s="1965">
        <v>2013</v>
      </c>
      <c r="B30" s="701">
        <v>185505</v>
      </c>
      <c r="C30" s="701">
        <v>2</v>
      </c>
      <c r="D30" s="701">
        <v>194651</v>
      </c>
      <c r="E30" s="701">
        <v>718</v>
      </c>
      <c r="F30" s="701">
        <v>1011</v>
      </c>
      <c r="G30" s="1967">
        <v>194358</v>
      </c>
      <c r="H30" s="701">
        <v>159219</v>
      </c>
      <c r="I30" s="701">
        <v>131660</v>
      </c>
      <c r="J30" s="1969">
        <v>0.82</v>
      </c>
      <c r="K30" s="1969">
        <v>0.8</v>
      </c>
      <c r="L30" s="1969">
        <v>0.77</v>
      </c>
      <c r="M30" s="1970">
        <v>98428</v>
      </c>
      <c r="N30" s="1959">
        <f t="shared" si="0"/>
        <v>98174.112959999999</v>
      </c>
      <c r="O30" s="1960">
        <f t="shared" si="1"/>
        <v>-254</v>
      </c>
    </row>
    <row r="31" spans="1:15" x14ac:dyDescent="0.3">
      <c r="A31" s="1965">
        <v>2014</v>
      </c>
      <c r="B31" s="701">
        <v>614179</v>
      </c>
      <c r="C31" s="701">
        <v>2</v>
      </c>
      <c r="D31" s="701">
        <v>650354</v>
      </c>
      <c r="E31" s="701">
        <v>1738</v>
      </c>
      <c r="F31" s="701">
        <v>2523</v>
      </c>
      <c r="G31" s="1967">
        <v>649569</v>
      </c>
      <c r="H31" s="701">
        <v>581121</v>
      </c>
      <c r="I31" s="701">
        <v>492892</v>
      </c>
      <c r="J31" s="1969">
        <v>0.83</v>
      </c>
      <c r="K31" s="1969">
        <v>0.75</v>
      </c>
      <c r="L31" s="1969">
        <v>0.97</v>
      </c>
      <c r="M31" s="1970">
        <v>392143</v>
      </c>
      <c r="N31" s="1959">
        <f t="shared" si="0"/>
        <v>392226.00142500002</v>
      </c>
      <c r="O31" s="1960">
        <f t="shared" si="1"/>
        <v>83</v>
      </c>
    </row>
    <row r="32" spans="1:15" x14ac:dyDescent="0.3">
      <c r="A32" s="1965">
        <v>2015</v>
      </c>
      <c r="B32" s="701">
        <v>510706</v>
      </c>
      <c r="C32" s="701">
        <v>2</v>
      </c>
      <c r="D32" s="701">
        <v>540357</v>
      </c>
      <c r="E32" s="701">
        <v>1547</v>
      </c>
      <c r="F32" s="701">
        <v>1749</v>
      </c>
      <c r="G32" s="1967">
        <v>540155</v>
      </c>
      <c r="H32" s="701">
        <v>264678</v>
      </c>
      <c r="I32" s="701">
        <v>216389</v>
      </c>
      <c r="J32" s="1969">
        <v>0.81</v>
      </c>
      <c r="K32" s="1969">
        <v>0.42</v>
      </c>
      <c r="L32" s="1969">
        <v>0.98</v>
      </c>
      <c r="M32" s="1970">
        <v>180118</v>
      </c>
      <c r="N32" s="1959">
        <f t="shared" si="0"/>
        <v>180085.51637999999</v>
      </c>
      <c r="O32" s="1960">
        <f t="shared" si="1"/>
        <v>-32</v>
      </c>
    </row>
    <row r="33" spans="1:15" x14ac:dyDescent="0.3">
      <c r="A33" s="1965">
        <v>2016</v>
      </c>
      <c r="B33" s="701">
        <v>342498</v>
      </c>
      <c r="C33" s="701">
        <v>2</v>
      </c>
      <c r="D33" s="701">
        <v>361543</v>
      </c>
      <c r="E33" s="701">
        <v>1197</v>
      </c>
      <c r="F33" s="701">
        <v>946</v>
      </c>
      <c r="G33" s="1967">
        <v>361794</v>
      </c>
      <c r="H33" s="701">
        <v>310341</v>
      </c>
      <c r="I33" s="701">
        <v>235925</v>
      </c>
      <c r="J33" s="1969">
        <v>0.76</v>
      </c>
      <c r="K33" s="1969">
        <v>0.6</v>
      </c>
      <c r="L33" s="1969">
        <v>0.99</v>
      </c>
      <c r="M33" s="1970">
        <v>163322</v>
      </c>
      <c r="N33" s="1959">
        <f t="shared" si="0"/>
        <v>163328.28335999997</v>
      </c>
      <c r="O33" s="1960">
        <f t="shared" si="1"/>
        <v>6</v>
      </c>
    </row>
    <row r="34" spans="1:15" x14ac:dyDescent="0.3">
      <c r="A34" s="1965">
        <v>2017</v>
      </c>
      <c r="B34" s="701">
        <v>87693</v>
      </c>
      <c r="C34" s="701">
        <v>2</v>
      </c>
      <c r="D34" s="701">
        <v>90672</v>
      </c>
      <c r="E34" s="701">
        <v>429</v>
      </c>
      <c r="F34" s="701">
        <v>444</v>
      </c>
      <c r="G34" s="1967">
        <v>90657</v>
      </c>
      <c r="H34" s="701">
        <v>73218</v>
      </c>
      <c r="I34" s="701">
        <v>46701</v>
      </c>
      <c r="J34" s="1969">
        <v>0.64</v>
      </c>
      <c r="K34" s="1969">
        <v>0.27</v>
      </c>
      <c r="L34" s="1969">
        <v>1</v>
      </c>
      <c r="M34" s="1970">
        <v>15680</v>
      </c>
      <c r="N34" s="1959">
        <f t="shared" si="0"/>
        <v>15665.529600000002</v>
      </c>
      <c r="O34" s="1960">
        <f t="shared" si="1"/>
        <v>-14</v>
      </c>
    </row>
    <row r="35" spans="1:15" x14ac:dyDescent="0.3">
      <c r="A35" s="1965">
        <v>2018</v>
      </c>
      <c r="B35" s="701">
        <v>193816</v>
      </c>
      <c r="C35" s="701">
        <v>2</v>
      </c>
      <c r="D35" s="701">
        <v>203486</v>
      </c>
      <c r="E35" s="701">
        <v>112</v>
      </c>
      <c r="F35" s="701">
        <v>297</v>
      </c>
      <c r="G35" s="1967">
        <v>203301</v>
      </c>
      <c r="H35" s="701">
        <v>172009</v>
      </c>
      <c r="I35" s="701">
        <v>162684</v>
      </c>
      <c r="J35" s="1969">
        <v>0.92</v>
      </c>
      <c r="K35" s="1969">
        <v>0.43</v>
      </c>
      <c r="L35" s="1969">
        <v>1</v>
      </c>
      <c r="M35" s="1970">
        <v>79516</v>
      </c>
      <c r="N35" s="1959">
        <f t="shared" si="0"/>
        <v>80425.875599999999</v>
      </c>
      <c r="O35" s="1960">
        <f t="shared" si="1"/>
        <v>910</v>
      </c>
    </row>
    <row r="36" spans="1:15" x14ac:dyDescent="0.3">
      <c r="A36" s="1965">
        <v>2019</v>
      </c>
      <c r="B36" s="701">
        <v>63046</v>
      </c>
      <c r="C36" s="701">
        <v>2</v>
      </c>
      <c r="D36" s="701">
        <v>64470</v>
      </c>
      <c r="E36" s="701">
        <v>41</v>
      </c>
      <c r="F36" s="701">
        <v>335</v>
      </c>
      <c r="G36" s="1967">
        <v>64176</v>
      </c>
      <c r="H36" s="701">
        <v>58562</v>
      </c>
      <c r="I36" s="701">
        <v>50464</v>
      </c>
      <c r="J36" s="1969">
        <v>0.85</v>
      </c>
      <c r="K36" s="1969">
        <v>0.54</v>
      </c>
      <c r="L36" s="1969">
        <v>0.95</v>
      </c>
      <c r="M36" s="1970">
        <v>27804</v>
      </c>
      <c r="N36" s="1959">
        <f t="shared" si="0"/>
        <v>27983.944799999997</v>
      </c>
      <c r="O36" s="1960">
        <f t="shared" si="1"/>
        <v>180</v>
      </c>
    </row>
    <row r="37" spans="1:15" x14ac:dyDescent="0.3">
      <c r="A37" s="1965">
        <v>2020</v>
      </c>
      <c r="B37" s="701">
        <v>341739</v>
      </c>
      <c r="C37" s="701">
        <v>2</v>
      </c>
      <c r="D37" s="701">
        <v>360736</v>
      </c>
      <c r="E37" s="701">
        <v>3357</v>
      </c>
      <c r="F37" s="701">
        <v>750</v>
      </c>
      <c r="G37" s="1967">
        <v>363343</v>
      </c>
      <c r="H37" s="701">
        <v>280440</v>
      </c>
      <c r="I37" s="701">
        <v>249521</v>
      </c>
      <c r="J37" s="1969">
        <v>0.85</v>
      </c>
      <c r="K37" s="1969">
        <v>0.55000000000000004</v>
      </c>
      <c r="L37" s="1969">
        <v>0.97</v>
      </c>
      <c r="M37" s="1970">
        <v>165132</v>
      </c>
      <c r="N37" s="1959">
        <f t="shared" si="0"/>
        <v>164766.96692500002</v>
      </c>
      <c r="O37" s="1960">
        <f t="shared" si="1"/>
        <v>-365</v>
      </c>
    </row>
    <row r="38" spans="1:15" ht="15" thickBot="1" x14ac:dyDescent="0.35">
      <c r="A38" s="1966">
        <v>2021</v>
      </c>
      <c r="B38" s="718">
        <v>151765</v>
      </c>
      <c r="C38" s="718">
        <v>2</v>
      </c>
      <c r="D38" s="718">
        <v>158783</v>
      </c>
      <c r="E38" s="718">
        <v>550</v>
      </c>
      <c r="F38" s="718">
        <v>953</v>
      </c>
      <c r="G38" s="1968">
        <v>158380</v>
      </c>
      <c r="H38" s="718">
        <v>109367</v>
      </c>
      <c r="I38" s="718">
        <v>82643</v>
      </c>
      <c r="J38" s="1971">
        <v>0.72</v>
      </c>
      <c r="K38" s="1971">
        <v>0.53</v>
      </c>
      <c r="L38" s="1971">
        <v>0.94</v>
      </c>
      <c r="M38" s="1972">
        <v>56431</v>
      </c>
      <c r="N38" s="1961">
        <f t="shared" si="0"/>
        <v>56811.539519999991</v>
      </c>
      <c r="O38" s="1962">
        <f t="shared" si="1"/>
        <v>381</v>
      </c>
    </row>
  </sheetData>
  <autoFilter ref="N1:O38" xr:uid="{38324BCA-DDDD-40E2-B815-D83B7D22685D}"/>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3" t="s">
        <v>1013</v>
      </c>
      <c r="B1" s="1033"/>
      <c r="C1" s="1281"/>
      <c r="D1" s="1282" t="s">
        <v>1014</v>
      </c>
      <c r="E1" s="1033"/>
      <c r="F1" s="1033"/>
      <c r="G1" s="1033"/>
      <c r="I1" s="1033"/>
      <c r="J1" s="1068"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3"/>
      <c r="V1" s="1749">
        <v>19397</v>
      </c>
    </row>
    <row r="2" spans="1:24" s="2" customFormat="1" ht="43.2" customHeight="1" thickBot="1" x14ac:dyDescent="0.35">
      <c r="A2" s="1568"/>
      <c r="B2" s="2626" t="s">
        <v>1015</v>
      </c>
      <c r="C2" s="2627"/>
      <c r="D2" s="2628" t="s">
        <v>1016</v>
      </c>
      <c r="E2" s="2629"/>
      <c r="F2" s="1931" t="s">
        <v>1017</v>
      </c>
      <c r="G2" s="2632" t="s">
        <v>410</v>
      </c>
      <c r="H2" s="2633"/>
      <c r="I2" s="2633"/>
      <c r="J2" s="2634"/>
      <c r="K2"/>
      <c r="L2" s="2630" t="s">
        <v>1018</v>
      </c>
      <c r="M2" s="2631"/>
      <c r="N2" s="1465"/>
      <c r="V2" s="1751">
        <v>17708</v>
      </c>
    </row>
    <row r="3" spans="1:24" ht="15.6" thickBot="1" x14ac:dyDescent="0.35">
      <c r="A3" s="1856" t="s">
        <v>15</v>
      </c>
      <c r="B3" s="1918" t="s">
        <v>1019</v>
      </c>
      <c r="C3" s="1919" t="s">
        <v>975</v>
      </c>
      <c r="D3" s="1925" t="s">
        <v>1019</v>
      </c>
      <c r="E3" s="1934" t="s">
        <v>975</v>
      </c>
      <c r="F3" s="1935" t="s">
        <v>1020</v>
      </c>
      <c r="G3" s="1924" t="s">
        <v>986</v>
      </c>
      <c r="H3" s="1596" t="s">
        <v>987</v>
      </c>
      <c r="I3" s="1599" t="s">
        <v>975</v>
      </c>
      <c r="J3" s="1236" t="s">
        <v>1021</v>
      </c>
      <c r="L3" s="984" t="s">
        <v>1022</v>
      </c>
      <c r="M3" s="1814" t="s">
        <v>1023</v>
      </c>
      <c r="N3" s="1236" t="s">
        <v>1024</v>
      </c>
      <c r="O3" s="1236" t="s">
        <v>1025</v>
      </c>
      <c r="Q3" s="984" t="s">
        <v>1026</v>
      </c>
      <c r="R3" s="1236" t="s">
        <v>1027</v>
      </c>
      <c r="X3" s="1749">
        <v>77533</v>
      </c>
    </row>
    <row r="4" spans="1:24" ht="15.6" thickBot="1" x14ac:dyDescent="0.35">
      <c r="A4" s="1743">
        <v>2000</v>
      </c>
      <c r="B4" s="1601">
        <f>GETPIVOTDATA("Sockeye (HO)",'PIVOT Lake &amp; Spawning Ground'!$A$3,"Rearing Lake","Osoyoos","Year",A4)</f>
        <v>0</v>
      </c>
      <c r="C4" s="1602">
        <v>21838</v>
      </c>
      <c r="D4" s="1926">
        <v>0</v>
      </c>
      <c r="E4" s="1932">
        <v>0</v>
      </c>
      <c r="F4" s="1933">
        <f>(E4+B4)/(E4+C4)</f>
        <v>0</v>
      </c>
      <c r="G4" s="1920">
        <f>I4-H4</f>
        <v>21838</v>
      </c>
      <c r="H4" s="1634">
        <f t="shared" ref="H4:I11" si="0">D4+B4</f>
        <v>0</v>
      </c>
      <c r="I4" s="1635">
        <f t="shared" si="0"/>
        <v>21838</v>
      </c>
      <c r="J4" s="1594">
        <f t="shared" ref="J4:J11" si="1">H4/I4</f>
        <v>0</v>
      </c>
      <c r="L4" s="1593">
        <f>'Sockeye Returns Data'!L25</f>
        <v>59944</v>
      </c>
      <c r="M4" s="1831"/>
      <c r="N4" s="1752"/>
      <c r="O4" s="1595"/>
      <c r="P4" s="1619"/>
      <c r="Q4" s="1830"/>
      <c r="R4" s="1595"/>
      <c r="X4" s="1749"/>
    </row>
    <row r="5" spans="1:24" ht="15.6" thickBot="1" x14ac:dyDescent="0.35">
      <c r="A5" s="1592">
        <v>2001</v>
      </c>
      <c r="B5" s="1601">
        <f>GETPIVOTDATA("Sockeye (HO)",'PIVOT Lake &amp; Spawning Ground'!$A$3,"Rearing Lake","Osoyoos","Year",A5)</f>
        <v>0</v>
      </c>
      <c r="C5" s="1602">
        <v>39024</v>
      </c>
      <c r="D5" s="1926">
        <v>0</v>
      </c>
      <c r="E5" s="1928">
        <v>0</v>
      </c>
      <c r="F5" s="1929">
        <f t="shared" ref="F5:F33" si="2">(E5+B5)/(E5+C5)</f>
        <v>0</v>
      </c>
      <c r="G5" s="1920">
        <f t="shared" ref="G5:G25" si="3">I5-H5</f>
        <v>39024</v>
      </c>
      <c r="H5" s="1634">
        <f t="shared" si="0"/>
        <v>0</v>
      </c>
      <c r="I5" s="1635">
        <f t="shared" si="0"/>
        <v>39024</v>
      </c>
      <c r="J5" s="1594">
        <f t="shared" si="1"/>
        <v>0</v>
      </c>
      <c r="L5" s="1593">
        <f>'Sockeye Returns Data'!L26</f>
        <v>74486</v>
      </c>
      <c r="M5" s="1758"/>
      <c r="N5" s="1752"/>
      <c r="O5" s="1595"/>
      <c r="P5" s="1619"/>
      <c r="Q5" s="1828"/>
      <c r="R5" s="1283"/>
      <c r="X5" s="1749"/>
    </row>
    <row r="6" spans="1:24" ht="15.6" thickBot="1" x14ac:dyDescent="0.35">
      <c r="A6" s="1592">
        <v>2002</v>
      </c>
      <c r="B6" s="1601">
        <f>GETPIVOTDATA("Sockeye (HO)",'PIVOT Lake &amp; Spawning Ground'!$A$3,"Rearing Lake","Osoyoos","Year",A6)</f>
        <v>0</v>
      </c>
      <c r="C6" s="1602">
        <v>3560</v>
      </c>
      <c r="D6" s="1926">
        <v>0</v>
      </c>
      <c r="E6" s="1928">
        <v>0</v>
      </c>
      <c r="F6" s="1929">
        <f t="shared" si="2"/>
        <v>0</v>
      </c>
      <c r="G6" s="1920">
        <f t="shared" si="3"/>
        <v>3560</v>
      </c>
      <c r="H6" s="1634">
        <f t="shared" si="0"/>
        <v>0</v>
      </c>
      <c r="I6" s="1635">
        <f t="shared" si="0"/>
        <v>3560</v>
      </c>
      <c r="J6" s="1594">
        <f t="shared" si="1"/>
        <v>0</v>
      </c>
      <c r="L6" s="1593">
        <f>'Sockeye Returns Data'!L27</f>
        <v>10659</v>
      </c>
      <c r="M6" s="1758"/>
      <c r="N6" s="1752"/>
      <c r="O6" s="1595"/>
      <c r="P6" s="1619"/>
      <c r="Q6" s="1828"/>
      <c r="R6" s="1283"/>
      <c r="X6" s="1749"/>
    </row>
    <row r="7" spans="1:24" ht="15.6" thickBot="1" x14ac:dyDescent="0.35">
      <c r="A7" s="1592">
        <v>2003</v>
      </c>
      <c r="B7" s="1601">
        <f>GETPIVOTDATA("Sockeye (HO)",'PIVOT Lake &amp; Spawning Ground'!$A$3,"Rearing Lake","Osoyoos","Year",A7)</f>
        <v>0</v>
      </c>
      <c r="C7" s="1602">
        <v>17753</v>
      </c>
      <c r="D7" s="1926">
        <v>0</v>
      </c>
      <c r="E7" s="1928">
        <v>0</v>
      </c>
      <c r="F7" s="1929">
        <f t="shared" si="2"/>
        <v>0</v>
      </c>
      <c r="G7" s="1920">
        <f t="shared" si="3"/>
        <v>17753</v>
      </c>
      <c r="H7" s="1634">
        <f t="shared" si="0"/>
        <v>0</v>
      </c>
      <c r="I7" s="1635">
        <f t="shared" si="0"/>
        <v>17753</v>
      </c>
      <c r="J7" s="1594">
        <f t="shared" si="1"/>
        <v>0</v>
      </c>
      <c r="L7" s="1593">
        <f>'Sockeye Returns Data'!L28</f>
        <v>29374</v>
      </c>
      <c r="M7" s="1758"/>
      <c r="N7" s="1752"/>
      <c r="O7" s="1595"/>
      <c r="P7" s="1619"/>
      <c r="Q7" s="1828"/>
      <c r="R7" s="1283"/>
      <c r="X7" s="1749"/>
    </row>
    <row r="8" spans="1:24" ht="15.6" thickBot="1" x14ac:dyDescent="0.35">
      <c r="A8" s="1592">
        <v>2004</v>
      </c>
      <c r="B8" s="1601">
        <f>GETPIVOTDATA("Sockeye (HO)",'PIVOT Lake &amp; Spawning Ground'!$A$3,"Rearing Lake","Osoyoos","Year",A8)</f>
        <v>0</v>
      </c>
      <c r="C8" s="1602">
        <v>41791</v>
      </c>
      <c r="D8" s="1926">
        <v>0</v>
      </c>
      <c r="E8" s="1928">
        <v>0</v>
      </c>
      <c r="F8" s="1929">
        <f t="shared" si="2"/>
        <v>0</v>
      </c>
      <c r="G8" s="1920">
        <f t="shared" si="3"/>
        <v>41791</v>
      </c>
      <c r="H8" s="1634">
        <f t="shared" si="0"/>
        <v>0</v>
      </c>
      <c r="I8" s="1635">
        <f t="shared" si="0"/>
        <v>41791</v>
      </c>
      <c r="J8" s="1594">
        <f t="shared" si="1"/>
        <v>0</v>
      </c>
      <c r="L8" s="1593">
        <f>'Sockeye Returns Data'!L29</f>
        <v>78053</v>
      </c>
      <c r="M8" s="1758"/>
      <c r="N8" s="1752"/>
      <c r="O8" s="1595"/>
      <c r="P8" s="1619"/>
      <c r="Q8" s="1828"/>
      <c r="R8" s="1283"/>
      <c r="X8" s="1749"/>
    </row>
    <row r="9" spans="1:24" ht="15.6" thickBot="1" x14ac:dyDescent="0.35">
      <c r="A9" s="1592">
        <v>2005</v>
      </c>
      <c r="B9" s="1601">
        <f>GETPIVOTDATA("Sockeye (HO)",'PIVOT Lake &amp; Spawning Ground'!$A$3,"Rearing Lake","Osoyoos","Year",A9)</f>
        <v>0</v>
      </c>
      <c r="C9" s="1602">
        <v>31260</v>
      </c>
      <c r="D9" s="1926">
        <v>0</v>
      </c>
      <c r="E9" s="1928">
        <v>0</v>
      </c>
      <c r="F9" s="1929">
        <f t="shared" si="2"/>
        <v>0</v>
      </c>
      <c r="G9" s="1920">
        <f t="shared" si="3"/>
        <v>31260</v>
      </c>
      <c r="H9" s="1634">
        <f t="shared" si="0"/>
        <v>0</v>
      </c>
      <c r="I9" s="1635">
        <f t="shared" si="0"/>
        <v>31260</v>
      </c>
      <c r="J9" s="1594">
        <f t="shared" si="1"/>
        <v>0</v>
      </c>
      <c r="L9" s="1593">
        <f>'Sockeye Returns Data'!L30</f>
        <v>55559</v>
      </c>
      <c r="M9" s="1758"/>
      <c r="N9" s="701"/>
      <c r="O9" s="1595"/>
      <c r="P9" s="1619"/>
      <c r="Q9" s="1828"/>
      <c r="R9" s="1283"/>
      <c r="X9" s="1749"/>
    </row>
    <row r="10" spans="1:24" ht="15.6" thickBot="1" x14ac:dyDescent="0.35">
      <c r="A10" s="1592">
        <v>2006</v>
      </c>
      <c r="B10" s="1601">
        <f>GETPIVOTDATA("Sockeye (HO)",'PIVOT Lake &amp; Spawning Ground'!$A$3,"Rearing Lake","Osoyoos","Year",A10)</f>
        <v>0</v>
      </c>
      <c r="C10" s="1602">
        <v>20819</v>
      </c>
      <c r="D10" s="1926">
        <v>0</v>
      </c>
      <c r="E10" s="1928">
        <v>0</v>
      </c>
      <c r="F10" s="1929">
        <f t="shared" si="2"/>
        <v>0</v>
      </c>
      <c r="G10" s="1920">
        <f t="shared" si="3"/>
        <v>20819</v>
      </c>
      <c r="H10" s="1634">
        <f t="shared" si="0"/>
        <v>0</v>
      </c>
      <c r="I10" s="1635">
        <f t="shared" si="0"/>
        <v>20819</v>
      </c>
      <c r="J10" s="1594">
        <f t="shared" si="1"/>
        <v>0</v>
      </c>
      <c r="L10" s="1593">
        <f>'Sockeye Returns Data'!L31</f>
        <v>22075</v>
      </c>
      <c r="M10" s="1759">
        <v>19397</v>
      </c>
      <c r="N10" s="1764">
        <f>M10/L10</f>
        <v>0.87868629671574183</v>
      </c>
      <c r="O10" s="1595"/>
      <c r="P10" s="1619"/>
      <c r="Q10" s="1828"/>
      <c r="R10" s="1283"/>
      <c r="X10" s="1749"/>
    </row>
    <row r="11" spans="1:24" ht="15.6" thickBot="1" x14ac:dyDescent="0.35">
      <c r="A11" s="1592">
        <v>2007</v>
      </c>
      <c r="B11" s="1601">
        <f>GETPIVOTDATA("Sockeye (HO)",'PIVOT Lake &amp; Spawning Ground'!$A$3,"Rearing Lake","Osoyoos","Year",A11)</f>
        <v>1619</v>
      </c>
      <c r="C11" s="1602">
        <v>13490</v>
      </c>
      <c r="D11" s="1926">
        <v>0</v>
      </c>
      <c r="E11" s="1928">
        <v>0</v>
      </c>
      <c r="F11" s="1929">
        <f t="shared" si="2"/>
        <v>0.12001482579688658</v>
      </c>
      <c r="G11" s="1920">
        <f t="shared" si="3"/>
        <v>11871</v>
      </c>
      <c r="H11" s="1634">
        <f t="shared" si="0"/>
        <v>1619</v>
      </c>
      <c r="I11" s="1635">
        <f t="shared" si="0"/>
        <v>13490</v>
      </c>
      <c r="J11" s="1594">
        <f t="shared" si="1"/>
        <v>0.12001482579688658</v>
      </c>
      <c r="L11" s="1593">
        <f>'Sockeye Returns Data'!L32</f>
        <v>22273</v>
      </c>
      <c r="M11" s="1760">
        <v>17708</v>
      </c>
      <c r="N11" s="1764">
        <f t="shared" ref="N11:N21" si="4">M11/L11</f>
        <v>0.79504332600008976</v>
      </c>
      <c r="O11" s="1595"/>
      <c r="P11" s="1619"/>
      <c r="Q11" s="1828"/>
      <c r="R11" s="1283"/>
      <c r="X11" s="1749"/>
    </row>
    <row r="12" spans="1:24" ht="15.6" thickBot="1" x14ac:dyDescent="0.35">
      <c r="A12" s="1743">
        <v>2008</v>
      </c>
      <c r="B12" s="1601">
        <f>GETPIVOTDATA("Sockeye (HO)",'PIVOT Lake &amp; Spawning Ground'!$A$3,"Rearing Lake","Osoyoos","Year",A12)</f>
        <v>7999</v>
      </c>
      <c r="C12" s="1602">
        <f>GETPIVOTDATA("Total Sockeye",'PIVOT Lake &amp; Spawning Ground'!$A3,"Rearing Lake","Osoyoos","Year",A12)</f>
        <v>126972</v>
      </c>
      <c r="D12" s="1926">
        <f>GETPIVOTDATA("Sockeye (HO)",'PIVOT Lake &amp; Spawning Ground'!$A3,"Rearing Lake","Skaha","Year",$A12)</f>
        <v>0</v>
      </c>
      <c r="E12" s="1928">
        <f>GETPIVOTDATA("Total Sockeye",'PIVOT Lake &amp; Spawning Ground'!$A3,"Rearing Lake","Skaha","Year",$A12)</f>
        <v>0</v>
      </c>
      <c r="F12" s="1929">
        <f t="shared" si="2"/>
        <v>6.2998141322496301E-2</v>
      </c>
      <c r="G12" s="1920">
        <f t="shared" si="3"/>
        <v>118973</v>
      </c>
      <c r="H12" s="1634">
        <f t="shared" ref="H12:H25" si="5">D12+B12</f>
        <v>7999</v>
      </c>
      <c r="I12" s="1635">
        <f t="shared" ref="I12:I25" si="6">E12+C12</f>
        <v>126972</v>
      </c>
      <c r="J12" s="1594">
        <f>H12/I12</f>
        <v>6.2998141322496301E-2</v>
      </c>
      <c r="L12" s="1593">
        <f>'Sockeye Returns Data'!L33</f>
        <v>165334</v>
      </c>
      <c r="M12" s="1759">
        <v>77533</v>
      </c>
      <c r="N12" s="1764">
        <f t="shared" si="4"/>
        <v>0.4689477058560248</v>
      </c>
      <c r="O12" s="1595">
        <f t="shared" ref="O12:O20" si="7">I12/L12</f>
        <v>0.76797270978746057</v>
      </c>
      <c r="P12" s="1619"/>
      <c r="Q12" s="1828">
        <f t="shared" ref="Q12:Q20" si="8">G12/$L12</f>
        <v>0.71959185648444968</v>
      </c>
      <c r="R12" s="1283">
        <f t="shared" ref="R12:R20" si="9">H12/$L12</f>
        <v>4.8380853303010875E-2</v>
      </c>
      <c r="X12" s="1751">
        <v>60970</v>
      </c>
    </row>
    <row r="13" spans="1:24" ht="15.6" thickBot="1" x14ac:dyDescent="0.35">
      <c r="A13" s="1592">
        <v>2009</v>
      </c>
      <c r="B13" s="1601">
        <f>GETPIVOTDATA("Sockeye (HO)",'PIVOT Lake &amp; Spawning Ground'!$A$3,"Rearing Lake","Osoyoos","Year",A13)</f>
        <v>9130</v>
      </c>
      <c r="C13" s="1862">
        <f>GETPIVOTDATA("Total Sockeye",'PIVOT Lake &amp; Spawning Ground'!$A4,"Rearing Lake","Osoyoos","Year",A13)</f>
        <v>68053</v>
      </c>
      <c r="D13" s="1926">
        <f>GETPIVOTDATA("Sockeye (HO)",'PIVOT Lake &amp; Spawning Ground'!$A4,"Rearing Lake","Skaha","Year",$A13)</f>
        <v>0</v>
      </c>
      <c r="E13" s="1928">
        <f>GETPIVOTDATA("Total Sockeye",'PIVOT Lake &amp; Spawning Ground'!$A4,"Rearing Lake","Skaha","Year",$A13)</f>
        <v>0</v>
      </c>
      <c r="F13" s="1929">
        <f t="shared" si="2"/>
        <v>0.13416013989096734</v>
      </c>
      <c r="G13" s="1920">
        <f t="shared" si="3"/>
        <v>58923</v>
      </c>
      <c r="H13" s="1636">
        <f t="shared" si="5"/>
        <v>9130</v>
      </c>
      <c r="I13" s="1637">
        <f t="shared" si="6"/>
        <v>68053</v>
      </c>
      <c r="J13" s="1284">
        <f t="shared" ref="J13:J33" si="10">H13/I13</f>
        <v>0.13416013989096734</v>
      </c>
      <c r="L13" s="1280">
        <f>'Sockeye Returns Data'!L34</f>
        <v>134937</v>
      </c>
      <c r="M13" s="1760">
        <v>60970</v>
      </c>
      <c r="N13" s="1761">
        <f t="shared" si="4"/>
        <v>0.45184048852427428</v>
      </c>
      <c r="O13" s="1283">
        <f t="shared" si="7"/>
        <v>0.50433165106679412</v>
      </c>
      <c r="P13" s="1619"/>
      <c r="Q13" s="1828">
        <f t="shared" si="8"/>
        <v>0.43667044620823053</v>
      </c>
      <c r="R13" s="1283">
        <f t="shared" si="9"/>
        <v>6.7661204858563626E-2</v>
      </c>
      <c r="X13" s="1749">
        <v>208303</v>
      </c>
    </row>
    <row r="14" spans="1:24" ht="15.6" thickBot="1" x14ac:dyDescent="0.35">
      <c r="A14" s="1592">
        <v>2010</v>
      </c>
      <c r="B14" s="1601">
        <f>GETPIVOTDATA("Sockeye (HO)",'PIVOT Lake &amp; Spawning Ground'!$A$3,"Rearing Lake","Osoyoos","Year",A14)</f>
        <v>8500</v>
      </c>
      <c r="C14" s="1862">
        <f>GETPIVOTDATA("Total Sockeye",'PIVOT Lake &amp; Spawning Ground'!$A5,"Rearing Lake","Osoyoos","Year",A14)</f>
        <v>199961</v>
      </c>
      <c r="D14" s="1926">
        <f>GETPIVOTDATA("Sockeye (HO)",'PIVOT Lake &amp; Spawning Ground'!$A5,"Rearing Lake","Skaha","Year",$A14)</f>
        <v>0</v>
      </c>
      <c r="E14" s="1928">
        <f>GETPIVOTDATA("Total Sockeye",'PIVOT Lake &amp; Spawning Ground'!$A5,"Rearing Lake","Skaha","Year",$A14)</f>
        <v>0</v>
      </c>
      <c r="F14" s="1929">
        <f t="shared" si="2"/>
        <v>4.2508289116377697E-2</v>
      </c>
      <c r="G14" s="1920">
        <f t="shared" si="3"/>
        <v>191461</v>
      </c>
      <c r="H14" s="1636">
        <f t="shared" si="5"/>
        <v>8500</v>
      </c>
      <c r="I14" s="1637">
        <f t="shared" si="6"/>
        <v>199961</v>
      </c>
      <c r="J14" s="1284">
        <f t="shared" si="10"/>
        <v>4.2508289116377697E-2</v>
      </c>
      <c r="L14" s="1280">
        <f>'Sockeye Returns Data'!L35</f>
        <v>291764</v>
      </c>
      <c r="M14" s="1759">
        <v>208303</v>
      </c>
      <c r="N14" s="1761">
        <f t="shared" si="4"/>
        <v>0.71394346115353502</v>
      </c>
      <c r="O14" s="1283">
        <f t="shared" si="7"/>
        <v>0.68535185972224122</v>
      </c>
      <c r="P14" s="1619"/>
      <c r="Q14" s="1828">
        <f t="shared" si="8"/>
        <v>0.65621872472272114</v>
      </c>
      <c r="R14" s="1283">
        <f t="shared" si="9"/>
        <v>2.9133134999520159E-2</v>
      </c>
      <c r="X14" s="1751">
        <v>2005</v>
      </c>
    </row>
    <row r="15" spans="1:24" ht="15.6" thickBot="1" x14ac:dyDescent="0.35">
      <c r="A15" s="1640">
        <v>2011</v>
      </c>
      <c r="B15" s="1601">
        <f>GETPIVOTDATA("Sockeye (HO)",'PIVOT Lake &amp; Spawning Ground'!$A$3,"Rearing Lake","Osoyoos","Year",A15)</f>
        <v>1103.3330000000001</v>
      </c>
      <c r="C15" s="1863">
        <f>GETPIVOTDATA("Total Sockeye",'PIVOT Lake &amp; Spawning Ground'!$A6,"Rearing Lake","Osoyoos","Year",A15)</f>
        <v>13021</v>
      </c>
      <c r="D15" s="1926">
        <f>GETPIVOTDATA("Sockeye (HO)",'PIVOT Lake &amp; Spawning Ground'!$A6,"Rearing Lake","Skaha","Year",$A15)</f>
        <v>18303.2</v>
      </c>
      <c r="E15" s="1928">
        <f>GETPIVOTDATA("Total Sockeye",'PIVOT Lake &amp; Spawning Ground'!$A6,"Rearing Lake","Skaha","Year",$A15)</f>
        <v>22879</v>
      </c>
      <c r="F15" s="1929">
        <f t="shared" si="2"/>
        <v>0.66803155988857932</v>
      </c>
      <c r="G15" s="1920">
        <f t="shared" si="3"/>
        <v>16493.467000000001</v>
      </c>
      <c r="H15" s="1597">
        <f t="shared" si="5"/>
        <v>19406.532999999999</v>
      </c>
      <c r="I15" s="1600">
        <f t="shared" si="6"/>
        <v>35900</v>
      </c>
      <c r="J15" s="1284">
        <f>H15/I15</f>
        <v>0.54057194986072421</v>
      </c>
      <c r="L15" s="1280">
        <f>'Sockeye Returns Data'!L36</f>
        <v>111508</v>
      </c>
      <c r="M15" s="1760"/>
      <c r="N15" s="1761"/>
      <c r="O15" s="1283">
        <f t="shared" si="7"/>
        <v>0.32194999461922014</v>
      </c>
      <c r="P15" s="1619"/>
      <c r="Q15" s="1828">
        <f t="shared" si="8"/>
        <v>0.14791285827025863</v>
      </c>
      <c r="R15" s="1283">
        <f t="shared" si="9"/>
        <v>0.17403713634896151</v>
      </c>
      <c r="X15" s="1749">
        <v>17219</v>
      </c>
    </row>
    <row r="16" spans="1:24" ht="15.6" thickBot="1" x14ac:dyDescent="0.35">
      <c r="A16" s="1592">
        <v>2012</v>
      </c>
      <c r="B16" s="1601">
        <f>GETPIVOTDATA("Sockeye (HO)",'PIVOT Lake &amp; Spawning Ground'!$A$3,"Rearing Lake","Osoyoos","Year",A16)</f>
        <v>2704</v>
      </c>
      <c r="C16" s="1862">
        <f>GETPIVOTDATA("Total Sockeye",'PIVOT Lake &amp; Spawning Ground'!$A7,"Rearing Lake","Osoyoos","Year",A16)</f>
        <v>94065</v>
      </c>
      <c r="D16" s="1926">
        <f>GETPIVOTDATA("Sockeye (HO)",'PIVOT Lake &amp; Spawning Ground'!$A7,"Rearing Lake","Skaha","Year",$A16)</f>
        <v>8257</v>
      </c>
      <c r="E16" s="1928">
        <f>GETPIVOTDATA("Total Sockeye",'PIVOT Lake &amp; Spawning Ground'!$A7,"Rearing Lake","Skaha","Year",$A16)</f>
        <v>10994</v>
      </c>
      <c r="F16" s="1929">
        <f t="shared" si="2"/>
        <v>0.13038387953435687</v>
      </c>
      <c r="G16" s="1920">
        <f t="shared" si="3"/>
        <v>94098</v>
      </c>
      <c r="H16" s="1636">
        <f t="shared" si="5"/>
        <v>10961</v>
      </c>
      <c r="I16" s="1637">
        <f t="shared" si="6"/>
        <v>105059</v>
      </c>
      <c r="J16" s="1284">
        <f t="shared" si="10"/>
        <v>0.10433185162622907</v>
      </c>
      <c r="L16" s="1280">
        <f>'Sockeye Returns Data'!L37</f>
        <v>326107</v>
      </c>
      <c r="M16" s="1759">
        <v>17219</v>
      </c>
      <c r="N16" s="1761">
        <f t="shared" si="4"/>
        <v>5.2801687789590532E-2</v>
      </c>
      <c r="O16" s="1283">
        <f t="shared" si="7"/>
        <v>0.32216113116247119</v>
      </c>
      <c r="P16" s="1619"/>
      <c r="Q16" s="1828">
        <f t="shared" si="8"/>
        <v>0.28854946382629015</v>
      </c>
      <c r="R16" s="1283">
        <f t="shared" si="9"/>
        <v>3.3611667336181067E-2</v>
      </c>
      <c r="X16" s="1751">
        <v>16670</v>
      </c>
    </row>
    <row r="17" spans="1:24" ht="15.6" thickBot="1" x14ac:dyDescent="0.35">
      <c r="A17" s="1592">
        <v>2013</v>
      </c>
      <c r="B17" s="1601">
        <f>GETPIVOTDATA("Sockeye (HO)",'PIVOT Lake &amp; Spawning Ground'!$A$3,"Rearing Lake","Osoyoos","Year",A17)</f>
        <v>6502</v>
      </c>
      <c r="C17" s="1862">
        <f>GETPIVOTDATA("Total Sockeye",'PIVOT Lake &amp; Spawning Ground'!$A8,"Rearing Lake","Osoyoos","Year",A17)</f>
        <v>35928</v>
      </c>
      <c r="D17" s="1926">
        <f>GETPIVOTDATA("Sockeye (HO)",'PIVOT Lake &amp; Spawning Ground'!$A8,"Rearing Lake","Skaha","Year",$A17)</f>
        <v>5287</v>
      </c>
      <c r="E17" s="1928">
        <f>GETPIVOTDATA("Total Sockeye",'PIVOT Lake &amp; Spawning Ground'!$A8,"Rearing Lake","Skaha","Year",$A17)</f>
        <v>8904</v>
      </c>
      <c r="F17" s="1929">
        <f t="shared" si="2"/>
        <v>0.34363847251962881</v>
      </c>
      <c r="G17" s="1920">
        <f t="shared" si="3"/>
        <v>33043</v>
      </c>
      <c r="H17" s="1636">
        <f t="shared" si="5"/>
        <v>11789</v>
      </c>
      <c r="I17" s="1637">
        <f t="shared" si="6"/>
        <v>44832</v>
      </c>
      <c r="J17" s="1284">
        <f t="shared" si="10"/>
        <v>0.2629594932191292</v>
      </c>
      <c r="L17" s="1280">
        <f>'Sockeye Returns Data'!L38</f>
        <v>129993</v>
      </c>
      <c r="M17" s="1760">
        <v>16670</v>
      </c>
      <c r="N17" s="1761">
        <f t="shared" si="4"/>
        <v>0.12823767433631042</v>
      </c>
      <c r="O17" s="1283">
        <f t="shared" si="7"/>
        <v>0.34488010892894233</v>
      </c>
      <c r="P17" s="1619"/>
      <c r="Q17" s="1828">
        <f t="shared" si="8"/>
        <v>0.2541906102636296</v>
      </c>
      <c r="R17" s="1283">
        <f t="shared" si="9"/>
        <v>9.0689498665312743E-2</v>
      </c>
      <c r="X17" s="1749">
        <v>325277</v>
      </c>
    </row>
    <row r="18" spans="1:24" ht="15.6" thickBot="1" x14ac:dyDescent="0.35">
      <c r="A18" s="1592">
        <v>2014</v>
      </c>
      <c r="B18" s="1601">
        <f>GETPIVOTDATA("Sockeye (HO)",'PIVOT Lake &amp; Spawning Ground'!$A$3,"Rearing Lake","Osoyoos","Year",A18)</f>
        <v>3910</v>
      </c>
      <c r="C18" s="1862">
        <f>GETPIVOTDATA("Total Sockeye",'PIVOT Lake &amp; Spawning Ground'!$A9,"Rearing Lake","Osoyoos","Year",A18)</f>
        <v>146695</v>
      </c>
      <c r="D18" s="1926">
        <f>GETPIVOTDATA("Sockeye (HO)",'PIVOT Lake &amp; Spawning Ground'!$A9,"Rearing Lake","Skaha","Year",$A18)</f>
        <v>20283.669882338694</v>
      </c>
      <c r="E18" s="1928">
        <f>GETPIVOTDATA("Total Sockeye",'PIVOT Lake &amp; Spawning Ground'!$A9,"Rearing Lake","Skaha","Year",$A18)</f>
        <v>49737</v>
      </c>
      <c r="F18" s="1929">
        <f t="shared" si="2"/>
        <v>0.27310723303738699</v>
      </c>
      <c r="G18" s="1920">
        <f t="shared" si="3"/>
        <v>172238.3301176613</v>
      </c>
      <c r="H18" s="1636">
        <f t="shared" si="5"/>
        <v>24193.669882338694</v>
      </c>
      <c r="I18" s="1637">
        <f t="shared" si="6"/>
        <v>196432</v>
      </c>
      <c r="J18" s="1284">
        <f t="shared" si="10"/>
        <v>0.12316562414646644</v>
      </c>
      <c r="L18" s="1280">
        <f>'Sockeye Returns Data'!L39</f>
        <v>490804</v>
      </c>
      <c r="M18" s="1759">
        <v>325277</v>
      </c>
      <c r="N18" s="1761">
        <f t="shared" si="4"/>
        <v>0.66274317242728253</v>
      </c>
      <c r="O18" s="1283">
        <f t="shared" si="7"/>
        <v>0.4002249370420779</v>
      </c>
      <c r="P18" s="1619"/>
      <c r="Q18" s="1828">
        <f t="shared" si="8"/>
        <v>0.35093098287231012</v>
      </c>
      <c r="R18" s="1283">
        <f t="shared" si="9"/>
        <v>4.9293954169767756E-2</v>
      </c>
      <c r="U18" s="316"/>
      <c r="X18" s="1751">
        <v>37624</v>
      </c>
    </row>
    <row r="19" spans="1:24" ht="15.6" thickBot="1" x14ac:dyDescent="0.35">
      <c r="A19" s="1592">
        <v>2015</v>
      </c>
      <c r="B19" s="1601">
        <f>GETPIVOTDATA("Sockeye (HO)",'PIVOT Lake &amp; Spawning Ground'!$A$3,"Rearing Lake","Osoyoos","Year",A19)</f>
        <v>170</v>
      </c>
      <c r="C19" s="1862">
        <f>GETPIVOTDATA("Total Sockeye",'PIVOT Lake &amp; Spawning Ground'!$A10,"Rearing Lake","Osoyoos","Year",A19)</f>
        <v>10441</v>
      </c>
      <c r="D19" s="1926">
        <f>GETPIVOTDATA("Sockeye (HO)",'PIVOT Lake &amp; Spawning Ground'!$A10,"Rearing Lake","Skaha","Year",$A19)</f>
        <v>0</v>
      </c>
      <c r="E19" s="1928">
        <f>GETPIVOTDATA("Total Sockeye",'PIVOT Lake &amp; Spawning Ground'!$A10,"Rearing Lake","Skaha","Year",$A19)</f>
        <v>14407</v>
      </c>
      <c r="F19" s="1929">
        <f t="shared" si="2"/>
        <v>0.58664681262073404</v>
      </c>
      <c r="G19" s="1920">
        <f t="shared" si="3"/>
        <v>24678</v>
      </c>
      <c r="H19" s="1636">
        <f t="shared" si="5"/>
        <v>170</v>
      </c>
      <c r="I19" s="1637">
        <f t="shared" si="6"/>
        <v>24848</v>
      </c>
      <c r="J19" s="1284">
        <f t="shared" si="10"/>
        <v>6.8415969092079842E-3</v>
      </c>
      <c r="L19" s="1280">
        <f>'Sockeye Returns Data'!L40</f>
        <v>187055</v>
      </c>
      <c r="M19" s="1760">
        <v>37624</v>
      </c>
      <c r="N19" s="1761">
        <f t="shared" si="4"/>
        <v>0.201138702520649</v>
      </c>
      <c r="O19" s="1283">
        <f t="shared" si="7"/>
        <v>0.1328379353666034</v>
      </c>
      <c r="P19" s="1619"/>
      <c r="Q19" s="1828">
        <f t="shared" si="8"/>
        <v>0.13192911175857369</v>
      </c>
      <c r="R19" s="1283">
        <f t="shared" si="9"/>
        <v>9.0882360802972391E-4</v>
      </c>
      <c r="X19" s="1749">
        <v>179868</v>
      </c>
    </row>
    <row r="20" spans="1:24" ht="15.6" thickBot="1" x14ac:dyDescent="0.35">
      <c r="A20" s="1592">
        <v>2016</v>
      </c>
      <c r="B20" s="1601">
        <f>GETPIVOTDATA("Sockeye (HO)",'PIVOT Lake &amp; Spawning Ground'!$A$3,"Rearing Lake","Osoyoos","Year",A20)</f>
        <v>380</v>
      </c>
      <c r="C20" s="1862">
        <f>GETPIVOTDATA("Total Sockeye",'PIVOT Lake &amp; Spawning Ground'!$A11,"Rearing Lake","Osoyoos","Year",A20)</f>
        <v>54812.565999999999</v>
      </c>
      <c r="D20" s="1926">
        <f>GETPIVOTDATA("Sockeye (HO)",'PIVOT Lake &amp; Spawning Ground'!$A11,"Rearing Lake","Skaha","Year",$A20)</f>
        <v>241</v>
      </c>
      <c r="E20" s="1928">
        <f>GETPIVOTDATA("Total Sockeye",'PIVOT Lake &amp; Spawning Ground'!$A11,"Rearing Lake","Skaha","Year",$A20)</f>
        <v>36853</v>
      </c>
      <c r="F20" s="1929">
        <f t="shared" si="2"/>
        <v>0.40618305896894807</v>
      </c>
      <c r="G20" s="1920">
        <f t="shared" si="3"/>
        <v>91044.565999999992</v>
      </c>
      <c r="H20" s="1636">
        <f t="shared" si="5"/>
        <v>621</v>
      </c>
      <c r="I20" s="1637">
        <f t="shared" si="6"/>
        <v>91665.565999999992</v>
      </c>
      <c r="J20" s="1284">
        <f t="shared" si="10"/>
        <v>6.7746267993370607E-3</v>
      </c>
      <c r="L20" s="1280">
        <f>'Sockeye Returns Data'!L41</f>
        <v>216036</v>
      </c>
      <c r="M20" s="1759">
        <v>179868</v>
      </c>
      <c r="N20" s="1761">
        <f t="shared" si="4"/>
        <v>0.83258345831250347</v>
      </c>
      <c r="O20" s="1283">
        <f t="shared" si="7"/>
        <v>0.42430690255327813</v>
      </c>
      <c r="P20" s="1619"/>
      <c r="Q20" s="1828">
        <f t="shared" si="8"/>
        <v>0.421432381640097</v>
      </c>
      <c r="R20" s="1283">
        <f t="shared" si="9"/>
        <v>2.8745209131811364E-3</v>
      </c>
      <c r="X20" s="1751">
        <v>6692</v>
      </c>
    </row>
    <row r="21" spans="1:24" ht="15" x14ac:dyDescent="0.3">
      <c r="A21" s="1592">
        <v>2017</v>
      </c>
      <c r="B21" s="1601">
        <f>GETPIVOTDATA("Sockeye (HO)",'PIVOT Lake &amp; Spawning Ground'!$A$3,"Rearing Lake","Osoyoos","Year",A21)</f>
        <v>0</v>
      </c>
      <c r="C21" s="1862">
        <f>GETPIVOTDATA("Total Sockeye",'PIVOT Lake &amp; Spawning Ground'!$A12,"Rearing Lake","Osoyoos","Year",A21)</f>
        <v>10058</v>
      </c>
      <c r="D21" s="1926">
        <f>GETPIVOTDATA("Sockeye (HO)",'PIVOT Lake &amp; Spawning Ground'!$A12,"Rearing Lake","Skaha","Year",$A21)</f>
        <v>86</v>
      </c>
      <c r="E21" s="1928">
        <f>GETPIVOTDATA("Total Sockeye",'PIVOT Lake &amp; Spawning Ground'!$A12,"Rearing Lake","Skaha","Year",$A21)</f>
        <v>27136</v>
      </c>
      <c r="F21" s="1929">
        <f t="shared" si="2"/>
        <v>0.72958003979136421</v>
      </c>
      <c r="G21" s="1920">
        <f t="shared" si="3"/>
        <v>37108</v>
      </c>
      <c r="H21" s="1636">
        <f t="shared" si="5"/>
        <v>86</v>
      </c>
      <c r="I21" s="1637">
        <f t="shared" si="6"/>
        <v>37194</v>
      </c>
      <c r="J21" s="1284">
        <f t="shared" si="10"/>
        <v>2.3122008926170887E-3</v>
      </c>
      <c r="L21" s="1280">
        <f>'Sockeye Returns Data'!L42</f>
        <v>42299</v>
      </c>
      <c r="M21" s="1760">
        <v>6692</v>
      </c>
      <c r="N21" s="1761">
        <f t="shared" si="4"/>
        <v>0.1582070498120523</v>
      </c>
      <c r="O21" s="1283">
        <f t="shared" ref="O21:O25" si="11">I21/L21</f>
        <v>0.87931156764935337</v>
      </c>
      <c r="P21" s="1619"/>
      <c r="Q21" s="1828">
        <f t="shared" ref="Q21:Q25" si="12">G21/$L21</f>
        <v>0.87727842265774603</v>
      </c>
      <c r="R21" s="1283">
        <f t="shared" ref="R21:R25" si="13">H21/$L21</f>
        <v>2.0331449916073667E-3</v>
      </c>
    </row>
    <row r="22" spans="1:24" x14ac:dyDescent="0.3">
      <c r="A22" s="1592">
        <v>2018</v>
      </c>
      <c r="B22" s="1601">
        <f>GETPIVOTDATA("Sockeye (HO)",'PIVOT Lake &amp; Spawning Ground'!$A$3,"Rearing Lake","Osoyoos","Year",A22)</f>
        <v>219</v>
      </c>
      <c r="C22" s="1862">
        <f>GETPIVOTDATA("Total Sockeye",'PIVOT Lake &amp; Spawning Ground'!$A13,"Rearing Lake","Osoyoos","Year",A22)</f>
        <v>31005</v>
      </c>
      <c r="D22" s="1926">
        <f>GETPIVOTDATA("Sockeye (HO)",'PIVOT Lake &amp; Spawning Ground'!$A13,"Rearing Lake","Skaha","Year",$A22)</f>
        <v>4710</v>
      </c>
      <c r="E22" s="1928">
        <f>GETPIVOTDATA("Total Sockeye",'PIVOT Lake &amp; Spawning Ground'!$A13,"Rearing Lake","Skaha","Year",$A22)</f>
        <v>41746</v>
      </c>
      <c r="F22" s="1929">
        <f t="shared" si="2"/>
        <v>0.57683055903011637</v>
      </c>
      <c r="G22" s="1920">
        <f t="shared" si="3"/>
        <v>67822</v>
      </c>
      <c r="H22" s="1636">
        <f t="shared" si="5"/>
        <v>4929</v>
      </c>
      <c r="I22" s="1637">
        <f t="shared" si="6"/>
        <v>72751</v>
      </c>
      <c r="J22" s="1284">
        <f t="shared" si="10"/>
        <v>6.7751646025484183E-2</v>
      </c>
      <c r="L22" s="1280">
        <f>'Sockeye Returns Data'!L43</f>
        <v>153637</v>
      </c>
      <c r="M22" s="701"/>
      <c r="N22" s="1753"/>
      <c r="O22" s="1283">
        <f t="shared" si="11"/>
        <v>0.47352525758769048</v>
      </c>
      <c r="P22" s="1619"/>
      <c r="Q22" s="1828">
        <f t="shared" si="12"/>
        <v>0.44144314195148304</v>
      </c>
      <c r="R22" s="1283">
        <f t="shared" si="13"/>
        <v>3.2082115636207421E-2</v>
      </c>
    </row>
    <row r="23" spans="1:24" x14ac:dyDescent="0.3">
      <c r="A23" s="1592">
        <v>2019</v>
      </c>
      <c r="B23" s="1601">
        <f>GETPIVOTDATA("Sockeye (HO)",'PIVOT Lake &amp; Spawning Ground'!$A$3,"Rearing Lake","Osoyoos","Year",A23)</f>
        <v>542.99164999999994</v>
      </c>
      <c r="C23" s="1602">
        <f>GETPIVOTDATA("Total Sockeye",'PIVOT Lake &amp; Spawning Ground'!$A14,"Rearing Lake","Osoyoos","Year",A23)</f>
        <v>12967</v>
      </c>
      <c r="D23" s="1926">
        <f>GETPIVOTDATA("Sockeye (HO)",'PIVOT Lake &amp; Spawning Ground'!$A14,"Rearing Lake","Skaha","Year",$A23)</f>
        <v>4332</v>
      </c>
      <c r="E23" s="1928">
        <f>GETPIVOTDATA("Total Sockeye",'PIVOT Lake &amp; Spawning Ground'!$A14,"Rearing Lake","Skaha","Year",$A23)</f>
        <v>10175</v>
      </c>
      <c r="F23" s="1929">
        <f t="shared" si="2"/>
        <v>0.46314024933022213</v>
      </c>
      <c r="G23" s="1920">
        <f t="shared" si="3"/>
        <v>18267.00835</v>
      </c>
      <c r="H23" s="1636">
        <f t="shared" si="5"/>
        <v>4874.9916499999999</v>
      </c>
      <c r="I23" s="1637">
        <f t="shared" si="6"/>
        <v>23142</v>
      </c>
      <c r="J23" s="1284">
        <f t="shared" si="10"/>
        <v>0.21065558940454585</v>
      </c>
      <c r="L23" s="1280">
        <f>'Sockeye Returns Data'!L44</f>
        <v>49862</v>
      </c>
      <c r="M23" s="1753"/>
      <c r="N23" s="1753"/>
      <c r="O23" s="1283">
        <f t="shared" si="11"/>
        <v>0.46412097388793067</v>
      </c>
      <c r="P23" s="1619"/>
      <c r="Q23" s="1828">
        <f t="shared" si="12"/>
        <v>0.36635129657855681</v>
      </c>
      <c r="R23" s="1283">
        <f t="shared" si="13"/>
        <v>9.7769677309373873E-2</v>
      </c>
    </row>
    <row r="24" spans="1:24" x14ac:dyDescent="0.3">
      <c r="A24" s="1592">
        <v>2020</v>
      </c>
      <c r="B24" s="1601">
        <f>GETPIVOTDATA("Sockeye (HO)",'PIVOT Lake &amp; Spawning Ground'!$A$3,"Rearing Lake","Osoyoos","Year",A24)</f>
        <v>1248</v>
      </c>
      <c r="C24" s="1602">
        <f>GETPIVOTDATA("Total Sockeye",'PIVOT Lake &amp; Spawning Ground'!$A15,"Rearing Lake","Osoyoos","Year",A24)</f>
        <v>47951</v>
      </c>
      <c r="D24" s="1926">
        <f>GETPIVOTDATA("Sockeye (HO)",'PIVOT Lake &amp; Spawning Ground'!$A15,"Rearing Lake","Skaha","Year",$A24)</f>
        <v>17096</v>
      </c>
      <c r="E24" s="1928">
        <f>GETPIVOTDATA("Total Sockeye",'PIVOT Lake &amp; Spawning Ground'!$A15,"Rearing Lake","Skaha","Year",$A24)</f>
        <v>39864</v>
      </c>
      <c r="F24" s="1929">
        <f t="shared" si="2"/>
        <v>0.46816603086033137</v>
      </c>
      <c r="G24" s="1920">
        <f t="shared" si="3"/>
        <v>69471</v>
      </c>
      <c r="H24" s="1636">
        <f t="shared" si="5"/>
        <v>18344</v>
      </c>
      <c r="I24" s="1637">
        <f t="shared" si="6"/>
        <v>87815</v>
      </c>
      <c r="J24" s="1284">
        <f t="shared" si="10"/>
        <v>0.20889369697659854</v>
      </c>
      <c r="L24" s="1280">
        <f>'Sockeye Returns Data'!L45</f>
        <v>226107</v>
      </c>
      <c r="M24" s="1753"/>
      <c r="N24" s="1753"/>
      <c r="O24" s="1283">
        <f t="shared" si="11"/>
        <v>0.3883780687904399</v>
      </c>
      <c r="P24" s="1619"/>
      <c r="Q24" s="1828">
        <f t="shared" si="12"/>
        <v>0.30724833817617325</v>
      </c>
      <c r="R24" s="1283">
        <f t="shared" si="13"/>
        <v>8.112973061426669E-2</v>
      </c>
    </row>
    <row r="25" spans="1:24" ht="15" thickBot="1" x14ac:dyDescent="0.35">
      <c r="A25" s="1591">
        <v>2021</v>
      </c>
      <c r="B25" s="1874">
        <f>GETPIVOTDATA("Sockeye (HO)",'PIVOT Lake &amp; Spawning Ground'!$A$3,"Rearing Lake","Osoyoos","Year",A25)</f>
        <v>692</v>
      </c>
      <c r="C25" s="1875">
        <f>GETPIVOTDATA("Total Sockeye",'PIVOT Lake &amp; Spawning Ground'!$A16,"Rearing Lake","Osoyoos","Year",A25)</f>
        <v>10497</v>
      </c>
      <c r="D25" s="1927">
        <f>GETPIVOTDATA("Sockeye (HO)",'PIVOT Lake &amp; Spawning Ground'!$A16,"Rearing Lake","Skaha","Year",$A25)</f>
        <v>1551</v>
      </c>
      <c r="E25" s="1888">
        <f>GETPIVOTDATA("Total Sockeye",'PIVOT Lake &amp; Spawning Ground'!$A16,"Rearing Lake","Skaha","Year",$A25)</f>
        <v>8687</v>
      </c>
      <c r="F25" s="1930">
        <f t="shared" si="2"/>
        <v>0.48889699749791493</v>
      </c>
      <c r="G25" s="1921">
        <f t="shared" si="3"/>
        <v>16941</v>
      </c>
      <c r="H25" s="1638">
        <f t="shared" si="5"/>
        <v>2243</v>
      </c>
      <c r="I25" s="1639">
        <f t="shared" si="6"/>
        <v>19184</v>
      </c>
      <c r="J25" s="1606">
        <f t="shared" si="10"/>
        <v>0.11692035029190992</v>
      </c>
      <c r="L25" s="1605">
        <f>'Sockeye Returns Data'!L46</f>
        <v>76255</v>
      </c>
      <c r="M25" s="1754"/>
      <c r="N25" s="1754"/>
      <c r="O25" s="1618">
        <f t="shared" si="11"/>
        <v>0.2515769457740476</v>
      </c>
      <c r="P25" s="1619"/>
      <c r="Q25" s="1829">
        <f t="shared" si="12"/>
        <v>0.22216248114877712</v>
      </c>
      <c r="R25" s="1618">
        <f t="shared" si="13"/>
        <v>2.9414464625270476E-2</v>
      </c>
    </row>
    <row r="26" spans="1:24" ht="15" thickBot="1" x14ac:dyDescent="0.35">
      <c r="A26" s="1592">
        <v>2022</v>
      </c>
      <c r="B26" s="1874"/>
      <c r="C26" s="1948"/>
      <c r="D26" s="1927"/>
      <c r="E26" s="1949"/>
      <c r="F26" s="1950"/>
      <c r="G26" s="1921"/>
      <c r="H26" s="1951"/>
      <c r="I26" s="1952"/>
      <c r="J26" s="1953"/>
      <c r="L26" s="1954"/>
      <c r="M26" s="444"/>
      <c r="N26" s="444"/>
      <c r="O26" s="1955"/>
      <c r="P26" s="1619"/>
      <c r="Q26" s="1619"/>
      <c r="R26" s="1619"/>
    </row>
    <row r="27" spans="1:24" ht="15" thickBot="1" x14ac:dyDescent="0.35">
      <c r="A27" s="1592">
        <v>2023</v>
      </c>
      <c r="B27" s="1874"/>
      <c r="C27" s="1948"/>
      <c r="D27" s="1927"/>
      <c r="E27" s="1949"/>
      <c r="F27" s="1950"/>
      <c r="G27" s="1921"/>
      <c r="H27" s="1951"/>
      <c r="I27" s="1952"/>
      <c r="J27" s="1953"/>
      <c r="L27" s="1954"/>
      <c r="M27" s="444"/>
      <c r="N27" s="444"/>
      <c r="O27" s="1955"/>
      <c r="P27" s="1619"/>
      <c r="Q27" s="1619"/>
      <c r="R27" s="1619"/>
    </row>
    <row r="28" spans="1:24" ht="15" thickBot="1" x14ac:dyDescent="0.35">
      <c r="A28" s="1591">
        <v>2024</v>
      </c>
      <c r="B28" s="1874"/>
      <c r="C28" s="1948"/>
      <c r="D28" s="1927"/>
      <c r="E28" s="1949"/>
      <c r="F28" s="1950"/>
      <c r="G28" s="1921"/>
      <c r="H28" s="1951"/>
      <c r="I28" s="1952"/>
      <c r="J28" s="1953"/>
      <c r="L28" s="1954"/>
      <c r="M28" s="444"/>
      <c r="N28" s="444"/>
      <c r="O28" s="1955"/>
      <c r="P28" s="1619"/>
      <c r="Q28" s="1619"/>
      <c r="R28" s="1619"/>
    </row>
    <row r="29" spans="1:24" ht="15" thickBot="1" x14ac:dyDescent="0.35">
      <c r="A29" s="1947"/>
      <c r="B29" s="1874"/>
      <c r="C29" s="1948"/>
      <c r="D29" s="1927"/>
      <c r="E29" s="1949"/>
      <c r="F29" s="1950"/>
      <c r="G29" s="1921"/>
      <c r="H29" s="1951"/>
      <c r="I29" s="1952"/>
      <c r="J29" s="1953"/>
      <c r="L29" s="1954"/>
      <c r="M29" s="444"/>
      <c r="N29" s="444"/>
      <c r="O29" s="1955"/>
      <c r="P29" s="1619"/>
      <c r="Q29" s="1619"/>
      <c r="R29" s="1619"/>
    </row>
    <row r="30" spans="1:24" ht="15" thickBot="1" x14ac:dyDescent="0.35">
      <c r="A30" s="1947"/>
      <c r="B30" s="1874"/>
      <c r="C30" s="1948"/>
      <c r="D30" s="1927"/>
      <c r="E30" s="1949"/>
      <c r="F30" s="1950"/>
      <c r="G30" s="1921"/>
      <c r="H30" s="1951"/>
      <c r="I30" s="1952"/>
      <c r="J30" s="1953"/>
      <c r="L30" s="1954"/>
      <c r="M30" s="444"/>
      <c r="N30" s="444"/>
      <c r="O30" s="1955"/>
      <c r="P30" s="1619"/>
      <c r="Q30" s="1619"/>
      <c r="R30" s="1619"/>
    </row>
    <row r="31" spans="1:24" ht="15" thickBot="1" x14ac:dyDescent="0.35">
      <c r="A31" s="1947"/>
      <c r="B31" s="1874"/>
      <c r="C31" s="1948"/>
      <c r="D31" s="1927"/>
      <c r="E31" s="1949"/>
      <c r="F31" s="1950"/>
      <c r="G31" s="1921"/>
      <c r="H31" s="1951"/>
      <c r="I31" s="1952"/>
      <c r="J31" s="1953"/>
      <c r="L31" s="1954"/>
      <c r="M31" s="444"/>
      <c r="N31" s="444"/>
      <c r="O31" s="1955"/>
      <c r="P31" s="1619"/>
      <c r="Q31" s="1619"/>
      <c r="R31" s="1619"/>
    </row>
    <row r="32" spans="1:24" ht="15" thickBot="1" x14ac:dyDescent="0.35">
      <c r="A32" s="1947"/>
      <c r="B32" s="1874"/>
      <c r="C32" s="1948"/>
      <c r="D32" s="1927"/>
      <c r="E32" s="1949"/>
      <c r="F32" s="1950"/>
      <c r="G32" s="1921"/>
      <c r="H32" s="1951"/>
      <c r="I32" s="1952"/>
      <c r="J32" s="1953"/>
      <c r="L32" s="1954"/>
      <c r="M32" s="444"/>
      <c r="N32" s="444"/>
      <c r="O32" s="1955"/>
      <c r="P32" s="1619"/>
      <c r="Q32" s="1619"/>
      <c r="R32" s="1619"/>
    </row>
    <row r="33" spans="1:16" ht="15" thickBot="1" x14ac:dyDescent="0.35">
      <c r="A33" s="1873" t="s">
        <v>751</v>
      </c>
      <c r="B33" s="1876">
        <f>SUM(B4:B25)</f>
        <v>44719.324649999995</v>
      </c>
      <c r="C33" s="1877">
        <f t="shared" ref="C33:E33" si="14">SUM(C4:C25)</f>
        <v>1051961.5660000001</v>
      </c>
      <c r="D33" s="1877">
        <f t="shared" si="14"/>
        <v>80146.869882338695</v>
      </c>
      <c r="E33" s="1922">
        <f t="shared" si="14"/>
        <v>271382</v>
      </c>
      <c r="F33" s="1923">
        <f t="shared" si="2"/>
        <v>0.23886565270836096</v>
      </c>
      <c r="G33" s="1877">
        <f t="shared" ref="G33" si="15">SUM(G4:G25)</f>
        <v>1198477.3714676613</v>
      </c>
      <c r="H33" s="1877">
        <f t="shared" ref="H33" si="16">SUM(H4:H25)</f>
        <v>124866.19453233869</v>
      </c>
      <c r="I33" s="1877">
        <f t="shared" ref="I33" si="17">SUM(I4:I25)</f>
        <v>1323343.5660000001</v>
      </c>
      <c r="J33" s="1878">
        <f t="shared" si="10"/>
        <v>9.4356596231290918E-2</v>
      </c>
      <c r="K33" s="316"/>
      <c r="L33" s="1617">
        <f>SUM(L12:L25)</f>
        <v>2601698</v>
      </c>
      <c r="M33" s="1755"/>
      <c r="N33" s="1755"/>
      <c r="O33" s="1595">
        <f>I36/L33</f>
        <v>0.4357956096364759</v>
      </c>
      <c r="P33" s="1619"/>
    </row>
    <row r="34" spans="1:16" x14ac:dyDescent="0.3">
      <c r="A34" s="1615" t="s">
        <v>425</v>
      </c>
      <c r="K34" s="316"/>
      <c r="L34" s="1608" t="s">
        <v>425</v>
      </c>
      <c r="M34" s="1756"/>
      <c r="N34" s="1756"/>
      <c r="O34" s="1595">
        <f>AVERAGE($O$12:$O$25)</f>
        <v>0.45435214599561075</v>
      </c>
      <c r="P34" s="1619"/>
    </row>
    <row r="35" spans="1:16" ht="15" thickBot="1" x14ac:dyDescent="0.35">
      <c r="A35" s="1615" t="s">
        <v>424</v>
      </c>
      <c r="K35" s="316"/>
      <c r="L35" s="1608" t="s">
        <v>424</v>
      </c>
      <c r="M35" s="1756"/>
      <c r="N35" s="1756"/>
      <c r="O35" s="1595">
        <f>MIN($O$12:$O$25)</f>
        <v>0.1328379353666034</v>
      </c>
      <c r="P35" s="1619"/>
    </row>
    <row r="36" spans="1:16" ht="15" thickBot="1" x14ac:dyDescent="0.35">
      <c r="A36" s="1615" t="s">
        <v>426</v>
      </c>
      <c r="G36" s="1613">
        <f>SUM(G12:G25)</f>
        <v>1010561.3714676613</v>
      </c>
      <c r="H36" s="1610">
        <f>SUM(H12:H25)</f>
        <v>123247.19453233869</v>
      </c>
      <c r="I36" s="1611">
        <f>SUM($I$12:$I$25)</f>
        <v>1133808.5660000001</v>
      </c>
      <c r="J36" s="1612">
        <f>H36/I36</f>
        <v>0.10870194336875268</v>
      </c>
      <c r="L36" s="1609" t="s">
        <v>426</v>
      </c>
      <c r="M36" s="1757"/>
      <c r="N36" s="1757"/>
      <c r="O36" s="1595">
        <f>MAX($O$12:$O$25)</f>
        <v>0.87931156764935337</v>
      </c>
      <c r="P36" s="1619"/>
    </row>
    <row r="37" spans="1:16" ht="15" thickBot="1" x14ac:dyDescent="0.35">
      <c r="A37" s="1616" t="s">
        <v>234</v>
      </c>
      <c r="G37" s="1607">
        <f>AVERAGE($G$12:$G$25)</f>
        <v>72182.955104832959</v>
      </c>
      <c r="H37" s="1597">
        <f>AVERAGE($H$12:$H$25)</f>
        <v>8803.3710380241919</v>
      </c>
      <c r="I37" s="1600">
        <f>AVERAGE($I$12:$I$25)</f>
        <v>80986.326142857157</v>
      </c>
      <c r="J37" s="1284">
        <f>AVERAGE(J12:J25)</f>
        <v>0.13506037117729222</v>
      </c>
    </row>
    <row r="38" spans="1:16" x14ac:dyDescent="0.3">
      <c r="G38" s="1607">
        <f>MIN($G$12:$G$25)</f>
        <v>16493.467000000001</v>
      </c>
      <c r="H38" s="1597">
        <f>MIN($H$12:$H$25)</f>
        <v>86</v>
      </c>
      <c r="I38" s="1600">
        <f>MIN($I$12:$I$25)</f>
        <v>19184</v>
      </c>
      <c r="J38" s="1284">
        <f>MIN(J12:J25)</f>
        <v>2.3122008926170887E-3</v>
      </c>
    </row>
    <row r="39" spans="1:16" x14ac:dyDescent="0.3">
      <c r="G39" s="1607">
        <f>MAX($G$12:$G$25)</f>
        <v>191461</v>
      </c>
      <c r="H39" s="1597">
        <f>MAX($H$12:$H$25)</f>
        <v>24193.669882338694</v>
      </c>
      <c r="I39" s="1600">
        <f>MAX($I$12:$I$25)</f>
        <v>199961</v>
      </c>
      <c r="J39" s="1284">
        <f>MAX(J12:J25)</f>
        <v>0.54057194986072421</v>
      </c>
    </row>
    <row r="40" spans="1:16" ht="15" thickBot="1" x14ac:dyDescent="0.35">
      <c r="G40" s="1614">
        <f>COUNT(G12:G25)</f>
        <v>14</v>
      </c>
      <c r="H40" s="1598">
        <f>COUNT(H12:H25)</f>
        <v>14</v>
      </c>
      <c r="I40" s="999"/>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1869" t="s">
        <v>1028</v>
      </c>
      <c r="B2" s="1870"/>
      <c r="C2" s="1870"/>
      <c r="D2" s="1871"/>
      <c r="E2" s="1871"/>
      <c r="F2" s="1871"/>
      <c r="G2" s="1871"/>
      <c r="H2" s="1871"/>
      <c r="I2" s="1871"/>
      <c r="J2" s="1871"/>
      <c r="K2" s="1871"/>
      <c r="L2" s="1871"/>
      <c r="M2" s="1871"/>
      <c r="N2" s="1871"/>
      <c r="O2" s="1872"/>
    </row>
    <row r="3" spans="1:28" s="1" customFormat="1" ht="15" thickBot="1" x14ac:dyDescent="0.35">
      <c r="A3" s="1285" t="s">
        <v>15</v>
      </c>
      <c r="B3" s="1855" t="s">
        <v>973</v>
      </c>
      <c r="C3" s="1855" t="s">
        <v>974</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799">
        <v>2011</v>
      </c>
      <c r="B15" s="1632">
        <v>16493.466999999997</v>
      </c>
      <c r="C15" s="1632">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2327" t="s">
        <v>221</v>
      </c>
      <c r="B26" s="1389">
        <v>1197891.8054676612</v>
      </c>
      <c r="C26" s="1390">
        <v>124866.19453233869</v>
      </c>
    </row>
    <row r="28" spans="1:3" ht="15" thickBot="1" x14ac:dyDescent="0.35"/>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635" t="s">
        <v>1029</v>
      </c>
      <c r="B1" s="2635"/>
      <c r="C1" s="2635"/>
      <c r="D1" s="2635"/>
      <c r="E1" s="2635"/>
      <c r="F1" s="2635"/>
      <c r="G1" s="2635"/>
      <c r="I1" s="1068"/>
    </row>
    <row r="2" spans="1:9" ht="15" thickBot="1" x14ac:dyDescent="0.35"/>
    <row r="3" spans="1:9" ht="15" thickBot="1" x14ac:dyDescent="0.35">
      <c r="A3" s="1175" t="s">
        <v>1030</v>
      </c>
      <c r="B3" s="703"/>
      <c r="C3" s="942"/>
      <c r="D3" s="814" t="s">
        <v>1031</v>
      </c>
      <c r="E3" s="705"/>
      <c r="F3" s="703"/>
      <c r="G3" s="942"/>
    </row>
    <row r="4" spans="1:9" ht="15" thickBot="1" x14ac:dyDescent="0.35">
      <c r="A4" s="2323" t="s">
        <v>539</v>
      </c>
      <c r="B4" s="2317" t="s">
        <v>1032</v>
      </c>
      <c r="C4" s="2318" t="s">
        <v>1033</v>
      </c>
      <c r="D4" s="943" t="s">
        <v>891</v>
      </c>
      <c r="E4" s="706" t="s">
        <v>836</v>
      </c>
      <c r="F4" s="704" t="s">
        <v>1034</v>
      </c>
      <c r="G4" s="944" t="s">
        <v>1035</v>
      </c>
    </row>
    <row r="5" spans="1:9" x14ac:dyDescent="0.3">
      <c r="A5" s="2324">
        <v>2003</v>
      </c>
      <c r="B5" s="1069">
        <v>2005</v>
      </c>
      <c r="C5" s="2320">
        <v>2007</v>
      </c>
      <c r="D5" s="2315">
        <v>352500</v>
      </c>
      <c r="E5" s="667"/>
      <c r="F5" s="667"/>
      <c r="G5" s="1171">
        <v>352500</v>
      </c>
    </row>
    <row r="6" spans="1:9" x14ac:dyDescent="0.3">
      <c r="A6" s="2325">
        <v>2004</v>
      </c>
      <c r="B6" s="669">
        <v>2006</v>
      </c>
      <c r="C6" s="2321">
        <v>2008</v>
      </c>
      <c r="D6" s="2315">
        <v>1205500</v>
      </c>
      <c r="E6" s="667"/>
      <c r="F6" s="667"/>
      <c r="G6" s="1171">
        <v>1205500</v>
      </c>
    </row>
    <row r="7" spans="1:9" x14ac:dyDescent="0.3">
      <c r="A7" s="2325">
        <v>2005</v>
      </c>
      <c r="B7" s="669">
        <v>2007</v>
      </c>
      <c r="C7" s="2321">
        <v>2009</v>
      </c>
      <c r="D7" s="2315">
        <v>1384000</v>
      </c>
      <c r="E7" s="667"/>
      <c r="F7" s="667"/>
      <c r="G7" s="1171">
        <v>1384000</v>
      </c>
    </row>
    <row r="8" spans="1:9" x14ac:dyDescent="0.3">
      <c r="A8" s="2325">
        <v>2006</v>
      </c>
      <c r="B8" s="669">
        <v>2008</v>
      </c>
      <c r="C8" s="2321">
        <v>2010</v>
      </c>
      <c r="D8" s="2315">
        <v>1479000</v>
      </c>
      <c r="E8" s="667"/>
      <c r="F8" s="667"/>
      <c r="G8" s="1171">
        <v>1479000</v>
      </c>
    </row>
    <row r="9" spans="1:9" x14ac:dyDescent="0.3">
      <c r="A9" s="2325">
        <v>2007</v>
      </c>
      <c r="B9" s="669">
        <v>2009</v>
      </c>
      <c r="C9" s="2321">
        <v>2011</v>
      </c>
      <c r="D9" s="2315">
        <v>885500</v>
      </c>
      <c r="E9" s="667"/>
      <c r="F9" s="667"/>
      <c r="G9" s="1171">
        <v>885500</v>
      </c>
    </row>
    <row r="10" spans="1:9" x14ac:dyDescent="0.3">
      <c r="A10" s="2325">
        <v>2008</v>
      </c>
      <c r="B10" s="669">
        <v>2010</v>
      </c>
      <c r="C10" s="2321">
        <v>2012</v>
      </c>
      <c r="D10" s="2315">
        <v>1614300</v>
      </c>
      <c r="E10" s="667"/>
      <c r="F10" s="667"/>
      <c r="G10" s="1171">
        <v>1614300</v>
      </c>
    </row>
    <row r="11" spans="1:9" x14ac:dyDescent="0.3">
      <c r="A11" s="2325">
        <v>2009</v>
      </c>
      <c r="B11" s="669">
        <v>2011</v>
      </c>
      <c r="C11" s="2321">
        <v>2013</v>
      </c>
      <c r="D11" s="2315">
        <v>448300</v>
      </c>
      <c r="E11" s="667">
        <v>432400</v>
      </c>
      <c r="F11" s="667"/>
      <c r="G11" s="1171">
        <v>880700</v>
      </c>
    </row>
    <row r="12" spans="1:9" x14ac:dyDescent="0.3">
      <c r="A12" s="2325">
        <v>2010</v>
      </c>
      <c r="B12" s="669">
        <v>2012</v>
      </c>
      <c r="C12" s="2321">
        <v>2014</v>
      </c>
      <c r="D12" s="2315">
        <v>900000</v>
      </c>
      <c r="E12" s="667"/>
      <c r="F12" s="667"/>
      <c r="G12" s="1171">
        <v>900000</v>
      </c>
    </row>
    <row r="13" spans="1:9" x14ac:dyDescent="0.3">
      <c r="A13" s="2325">
        <v>2011</v>
      </c>
      <c r="B13" s="669">
        <v>2013</v>
      </c>
      <c r="C13" s="2321">
        <v>2015</v>
      </c>
      <c r="D13" s="2316">
        <v>0</v>
      </c>
      <c r="E13" s="667">
        <v>837800</v>
      </c>
      <c r="F13" s="667"/>
      <c r="G13" s="1171">
        <v>837800</v>
      </c>
    </row>
    <row r="14" spans="1:9" x14ac:dyDescent="0.3">
      <c r="A14" s="2325">
        <v>2012</v>
      </c>
      <c r="B14" s="669">
        <v>2014</v>
      </c>
      <c r="C14" s="2321">
        <v>2016</v>
      </c>
      <c r="D14" s="2316">
        <v>0</v>
      </c>
      <c r="E14" s="667">
        <v>869300</v>
      </c>
      <c r="F14" s="667"/>
      <c r="G14" s="1171">
        <v>869300</v>
      </c>
    </row>
    <row r="15" spans="1:9" x14ac:dyDescent="0.3">
      <c r="A15" s="2325">
        <v>2013</v>
      </c>
      <c r="B15" s="669">
        <v>2015</v>
      </c>
      <c r="C15" s="2321">
        <v>2017</v>
      </c>
      <c r="D15" s="2316">
        <v>0</v>
      </c>
      <c r="E15" s="667"/>
      <c r="F15" s="667"/>
      <c r="G15" s="2314">
        <v>0</v>
      </c>
    </row>
    <row r="16" spans="1:9" x14ac:dyDescent="0.3">
      <c r="A16" s="2325">
        <v>2014</v>
      </c>
      <c r="B16" s="669">
        <v>2016</v>
      </c>
      <c r="C16" s="2321">
        <v>2018</v>
      </c>
      <c r="D16" s="2315">
        <v>1761794</v>
      </c>
      <c r="E16" s="667"/>
      <c r="F16" s="667"/>
      <c r="G16" s="1171">
        <v>1761794</v>
      </c>
    </row>
    <row r="17" spans="1:7" x14ac:dyDescent="0.3">
      <c r="A17" s="2325">
        <v>2015</v>
      </c>
      <c r="B17" s="669">
        <v>2017</v>
      </c>
      <c r="C17" s="2321">
        <v>2019</v>
      </c>
      <c r="D17" s="2315">
        <v>357578</v>
      </c>
      <c r="E17" s="667"/>
      <c r="F17" s="667">
        <v>9994</v>
      </c>
      <c r="G17" s="1171">
        <v>367572</v>
      </c>
    </row>
    <row r="18" spans="1:7" x14ac:dyDescent="0.3">
      <c r="A18" s="2325">
        <v>2016</v>
      </c>
      <c r="B18" s="669">
        <v>2018</v>
      </c>
      <c r="C18" s="2321">
        <v>2020</v>
      </c>
      <c r="D18" s="2315">
        <v>4493577</v>
      </c>
      <c r="E18" s="667"/>
      <c r="F18" s="667">
        <v>683856</v>
      </c>
      <c r="G18" s="1171">
        <v>5177433</v>
      </c>
    </row>
    <row r="19" spans="1:7" x14ac:dyDescent="0.3">
      <c r="A19" s="2325">
        <v>2017</v>
      </c>
      <c r="B19" s="669">
        <v>2019</v>
      </c>
      <c r="C19" s="2321">
        <v>2021</v>
      </c>
      <c r="D19" s="2315">
        <v>1222602</v>
      </c>
      <c r="E19" s="667"/>
      <c r="F19" s="667">
        <v>10110</v>
      </c>
      <c r="G19" s="1171">
        <v>1232712</v>
      </c>
    </row>
    <row r="20" spans="1:7" x14ac:dyDescent="0.3">
      <c r="A20" s="2325">
        <v>2018</v>
      </c>
      <c r="B20" s="669">
        <v>2020</v>
      </c>
      <c r="C20" s="2321">
        <v>2022</v>
      </c>
      <c r="D20" s="2316">
        <v>0</v>
      </c>
      <c r="E20" s="667"/>
      <c r="F20" s="667">
        <v>4106296</v>
      </c>
      <c r="G20" s="1171">
        <v>4106296</v>
      </c>
    </row>
    <row r="21" spans="1:7" x14ac:dyDescent="0.3">
      <c r="A21" s="2325">
        <v>2019</v>
      </c>
      <c r="B21" s="669">
        <v>2021</v>
      </c>
      <c r="C21" s="2321">
        <v>2023</v>
      </c>
      <c r="D21" s="2315">
        <v>641182</v>
      </c>
      <c r="E21" s="667"/>
      <c r="F21" s="667"/>
      <c r="G21" s="1171">
        <v>641182</v>
      </c>
    </row>
    <row r="22" spans="1:7" x14ac:dyDescent="0.3">
      <c r="A22" s="2325">
        <v>2020</v>
      </c>
      <c r="B22" s="669">
        <v>2022</v>
      </c>
      <c r="C22" s="2321">
        <v>2024</v>
      </c>
      <c r="D22" s="2315">
        <v>2029615</v>
      </c>
      <c r="E22" s="667"/>
      <c r="F22" s="667">
        <v>2070088</v>
      </c>
      <c r="G22" s="1171">
        <v>4099703</v>
      </c>
    </row>
    <row r="23" spans="1:7" x14ac:dyDescent="0.3">
      <c r="A23" s="2325">
        <v>2021</v>
      </c>
      <c r="B23" s="669">
        <v>2023</v>
      </c>
      <c r="C23" s="2321">
        <v>2025</v>
      </c>
      <c r="D23" s="2315">
        <v>333171</v>
      </c>
      <c r="E23" s="667"/>
      <c r="F23" s="667">
        <v>10000</v>
      </c>
      <c r="G23" s="1171">
        <v>343171</v>
      </c>
    </row>
    <row r="24" spans="1:7" x14ac:dyDescent="0.3">
      <c r="A24" s="2325">
        <v>2022</v>
      </c>
      <c r="B24" s="669">
        <v>2024</v>
      </c>
      <c r="C24" s="2321">
        <v>2026</v>
      </c>
      <c r="D24" s="2315">
        <v>752653</v>
      </c>
      <c r="E24" s="667"/>
      <c r="F24" s="667">
        <v>3812941</v>
      </c>
      <c r="G24" s="1171">
        <v>4565594</v>
      </c>
    </row>
    <row r="25" spans="1:7" ht="15" thickBot="1" x14ac:dyDescent="0.35">
      <c r="A25" s="2348">
        <v>2023</v>
      </c>
      <c r="B25" s="706">
        <v>2025</v>
      </c>
      <c r="C25" s="2322">
        <v>2027</v>
      </c>
      <c r="D25" s="2315">
        <v>177560</v>
      </c>
      <c r="E25" s="667"/>
      <c r="F25" s="667">
        <v>1334184</v>
      </c>
      <c r="G25" s="1171">
        <v>1511744</v>
      </c>
    </row>
    <row r="26" spans="1:7" ht="15" thickBot="1" x14ac:dyDescent="0.35">
      <c r="A26" s="2319" t="s">
        <v>1035</v>
      </c>
      <c r="B26" s="1024"/>
      <c r="C26" s="1024"/>
      <c r="D26" s="1172">
        <v>20038832</v>
      </c>
      <c r="E26" s="1173">
        <v>2139500</v>
      </c>
      <c r="F26" s="1173">
        <v>12037469</v>
      </c>
      <c r="G26" s="1174">
        <v>34215801</v>
      </c>
    </row>
  </sheetData>
  <mergeCells count="1">
    <mergeCell ref="A1:G1"/>
  </mergeCells>
  <pageMargins left="0.7" right="0.7" top="0.75" bottom="0.75" header="0.3" footer="0.3"/>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F20" activePane="bottomRight" state="frozen"/>
      <selection pane="topRight" activeCell="I24" sqref="I24"/>
      <selection pane="bottomLeft" activeCell="I24" sqref="I24"/>
      <selection pane="bottomRight" activeCell="H36" sqref="H36"/>
    </sheetView>
  </sheetViews>
  <sheetFormatPr defaultRowHeight="14.4" x14ac:dyDescent="0.3"/>
  <cols>
    <col min="1" max="4" width="11.6640625" style="664" customWidth="1"/>
    <col min="5" max="5" width="15.44140625" customWidth="1"/>
    <col min="6" max="6" width="44.33203125" bestFit="1" customWidth="1"/>
    <col min="7" max="7" width="19.6640625" style="1271" bestFit="1" customWidth="1"/>
    <col min="8" max="8" width="17.33203125" style="874" customWidth="1"/>
    <col min="9" max="9" width="12.6640625" customWidth="1"/>
    <col min="10" max="10" width="9.6640625" customWidth="1"/>
    <col min="11" max="11" width="14.5546875" customWidth="1"/>
  </cols>
  <sheetData>
    <row r="1" spans="1:12" x14ac:dyDescent="0.3">
      <c r="A1" s="2152" t="s">
        <v>1036</v>
      </c>
      <c r="B1" s="2153"/>
      <c r="C1" s="2153"/>
      <c r="D1" s="2153"/>
      <c r="H1" s="1033" t="s">
        <v>1037</v>
      </c>
      <c r="J1" s="2638" t="s">
        <v>1038</v>
      </c>
      <c r="K1" s="2639"/>
    </row>
    <row r="2" spans="1:12" ht="15" thickBot="1" x14ac:dyDescent="0.35">
      <c r="A2" s="2154" t="s">
        <v>539</v>
      </c>
      <c r="B2" s="2154" t="s">
        <v>1039</v>
      </c>
      <c r="C2" s="2154" t="s">
        <v>1032</v>
      </c>
      <c r="D2" s="2154" t="s">
        <v>1033</v>
      </c>
      <c r="E2" s="1150" t="s">
        <v>1040</v>
      </c>
      <c r="F2" s="1150" t="s">
        <v>1041</v>
      </c>
      <c r="G2" s="2155" t="s">
        <v>1042</v>
      </c>
      <c r="H2" s="1150" t="s">
        <v>1043</v>
      </c>
      <c r="I2" s="664" t="s">
        <v>1044</v>
      </c>
      <c r="J2" s="1197" t="s">
        <v>1044</v>
      </c>
      <c r="K2" s="1197" t="s">
        <v>1045</v>
      </c>
    </row>
    <row r="3" spans="1:12" x14ac:dyDescent="0.3">
      <c r="A3" s="1145">
        <v>2003</v>
      </c>
      <c r="B3" s="1145">
        <f>A3+1</f>
        <v>2004</v>
      </c>
      <c r="C3" s="1145">
        <f>B3+1</f>
        <v>2005</v>
      </c>
      <c r="D3" s="1145">
        <f>C3+2</f>
        <v>2007</v>
      </c>
      <c r="E3" s="1151" t="s">
        <v>1046</v>
      </c>
      <c r="F3" s="1152" t="s">
        <v>892</v>
      </c>
      <c r="G3" s="1145" t="s">
        <v>891</v>
      </c>
      <c r="H3" s="1153">
        <v>352500</v>
      </c>
      <c r="I3" s="1196">
        <f t="shared" ref="I3:I11" si="0">H3/933</f>
        <v>377.81350482315111</v>
      </c>
    </row>
    <row r="4" spans="1:12" x14ac:dyDescent="0.3">
      <c r="A4" s="459">
        <v>2004</v>
      </c>
      <c r="B4" s="1145">
        <f t="shared" ref="B4:C19" si="1">A4+1</f>
        <v>2005</v>
      </c>
      <c r="C4" s="1145">
        <f t="shared" si="1"/>
        <v>2006</v>
      </c>
      <c r="D4" s="1145">
        <f t="shared" ref="D4:D29" si="2">C4+2</f>
        <v>2008</v>
      </c>
      <c r="E4" s="1154" t="s">
        <v>1047</v>
      </c>
      <c r="F4" s="1155" t="s">
        <v>892</v>
      </c>
      <c r="G4" s="1145" t="s">
        <v>891</v>
      </c>
      <c r="H4" s="1156">
        <v>1205500</v>
      </c>
      <c r="I4" s="1196">
        <f t="shared" si="0"/>
        <v>1292.0685959271168</v>
      </c>
    </row>
    <row r="5" spans="1:12" x14ac:dyDescent="0.3">
      <c r="A5" s="459">
        <v>2005</v>
      </c>
      <c r="B5" s="1145">
        <f t="shared" si="1"/>
        <v>2006</v>
      </c>
      <c r="C5" s="1145">
        <f t="shared" si="1"/>
        <v>2007</v>
      </c>
      <c r="D5" s="1145">
        <f t="shared" si="2"/>
        <v>2009</v>
      </c>
      <c r="E5" s="1154" t="s">
        <v>1048</v>
      </c>
      <c r="F5" s="1155" t="s">
        <v>892</v>
      </c>
      <c r="G5" s="1145" t="s">
        <v>891</v>
      </c>
      <c r="H5" s="1156">
        <v>1384000</v>
      </c>
      <c r="I5" s="1196">
        <f t="shared" si="0"/>
        <v>1483.3869239013934</v>
      </c>
    </row>
    <row r="6" spans="1:12" x14ac:dyDescent="0.3">
      <c r="A6" s="459">
        <v>2006</v>
      </c>
      <c r="B6" s="1145">
        <f t="shared" si="1"/>
        <v>2007</v>
      </c>
      <c r="C6" s="1145">
        <f t="shared" si="1"/>
        <v>2008</v>
      </c>
      <c r="D6" s="1145">
        <f t="shared" si="2"/>
        <v>2010</v>
      </c>
      <c r="E6" s="1154" t="s">
        <v>1049</v>
      </c>
      <c r="F6" s="1155" t="s">
        <v>892</v>
      </c>
      <c r="G6" s="1145" t="s">
        <v>891</v>
      </c>
      <c r="H6" s="1156">
        <v>1479000</v>
      </c>
      <c r="I6" s="1196">
        <f t="shared" si="0"/>
        <v>1585.209003215434</v>
      </c>
    </row>
    <row r="7" spans="1:12" x14ac:dyDescent="0.3">
      <c r="A7" s="459">
        <v>2007</v>
      </c>
      <c r="B7" s="1145">
        <f t="shared" si="1"/>
        <v>2008</v>
      </c>
      <c r="C7" s="1145">
        <f t="shared" si="1"/>
        <v>2009</v>
      </c>
      <c r="D7" s="1145">
        <f t="shared" si="2"/>
        <v>2011</v>
      </c>
      <c r="E7" s="1154" t="s">
        <v>1050</v>
      </c>
      <c r="F7" s="1155" t="s">
        <v>892</v>
      </c>
      <c r="G7" s="1145" t="s">
        <v>891</v>
      </c>
      <c r="H7" s="1157">
        <v>885500</v>
      </c>
      <c r="I7" s="1196">
        <f t="shared" si="0"/>
        <v>949.08896034297959</v>
      </c>
    </row>
    <row r="8" spans="1:12" x14ac:dyDescent="0.3">
      <c r="A8" s="459">
        <v>2008</v>
      </c>
      <c r="B8" s="1145">
        <f t="shared" si="1"/>
        <v>2009</v>
      </c>
      <c r="C8" s="1145">
        <f t="shared" si="1"/>
        <v>2010</v>
      </c>
      <c r="D8" s="1145">
        <f t="shared" si="2"/>
        <v>2012</v>
      </c>
      <c r="E8" s="1154" t="s">
        <v>1051</v>
      </c>
      <c r="F8" s="1155" t="s">
        <v>892</v>
      </c>
      <c r="G8" s="1145" t="s">
        <v>891</v>
      </c>
      <c r="H8" s="1157">
        <v>1614300</v>
      </c>
      <c r="I8" s="1196">
        <f t="shared" si="0"/>
        <v>1730.2250803858522</v>
      </c>
    </row>
    <row r="9" spans="1:12" x14ac:dyDescent="0.3">
      <c r="A9" s="459">
        <v>2009</v>
      </c>
      <c r="B9" s="1145">
        <f t="shared" si="1"/>
        <v>2010</v>
      </c>
      <c r="C9" s="1145">
        <f t="shared" si="1"/>
        <v>2011</v>
      </c>
      <c r="D9" s="1145">
        <f t="shared" si="2"/>
        <v>2013</v>
      </c>
      <c r="E9" s="1154" t="s">
        <v>1052</v>
      </c>
      <c r="F9" s="1155" t="s">
        <v>892</v>
      </c>
      <c r="G9" s="1145" t="s">
        <v>891</v>
      </c>
      <c r="H9" s="1157">
        <v>448300</v>
      </c>
      <c r="I9" s="1196">
        <f t="shared" si="0"/>
        <v>480.49303322615219</v>
      </c>
    </row>
    <row r="10" spans="1:12" s="514" customFormat="1" x14ac:dyDescent="0.3">
      <c r="A10" s="1414">
        <v>2009</v>
      </c>
      <c r="B10" s="1415">
        <f t="shared" si="1"/>
        <v>2010</v>
      </c>
      <c r="C10" s="1415">
        <f t="shared" si="1"/>
        <v>2011</v>
      </c>
      <c r="D10" s="1415">
        <f t="shared" si="2"/>
        <v>2013</v>
      </c>
      <c r="E10" s="1416" t="s">
        <v>1053</v>
      </c>
      <c r="F10" s="1417" t="s">
        <v>1054</v>
      </c>
      <c r="G10" s="1414" t="s">
        <v>836</v>
      </c>
      <c r="H10" s="1418">
        <v>432400</v>
      </c>
      <c r="I10" s="1419">
        <f>H10/933</f>
        <v>463.4512325830654</v>
      </c>
      <c r="J10" s="1420">
        <f>AVERAGE(163,88)</f>
        <v>125.5</v>
      </c>
      <c r="K10" s="1421">
        <f>J10*933</f>
        <v>117091.5</v>
      </c>
      <c r="L10" s="1422" t="s">
        <v>1055</v>
      </c>
    </row>
    <row r="11" spans="1:12" x14ac:dyDescent="0.3">
      <c r="A11" s="459">
        <v>2010</v>
      </c>
      <c r="B11" s="1145">
        <f t="shared" si="1"/>
        <v>2011</v>
      </c>
      <c r="C11" s="1145">
        <f t="shared" si="1"/>
        <v>2012</v>
      </c>
      <c r="D11" s="1145">
        <f t="shared" si="2"/>
        <v>2014</v>
      </c>
      <c r="E11" s="1158" t="s">
        <v>1056</v>
      </c>
      <c r="F11" s="1155" t="s">
        <v>892</v>
      </c>
      <c r="G11" s="459" t="s">
        <v>891</v>
      </c>
      <c r="H11" s="1159">
        <v>900000</v>
      </c>
      <c r="I11" s="1196">
        <f t="shared" si="0"/>
        <v>964.6302250803858</v>
      </c>
      <c r="L11" s="1177"/>
    </row>
    <row r="12" spans="1:12" s="514" customFormat="1" x14ac:dyDescent="0.3">
      <c r="A12" s="1414">
        <v>2011</v>
      </c>
      <c r="B12" s="1415">
        <f t="shared" si="1"/>
        <v>2012</v>
      </c>
      <c r="C12" s="1415">
        <f t="shared" si="1"/>
        <v>2013</v>
      </c>
      <c r="D12" s="1415">
        <f t="shared" si="2"/>
        <v>2015</v>
      </c>
      <c r="E12" s="1423" t="s">
        <v>1057</v>
      </c>
      <c r="F12" s="1417" t="s">
        <v>1054</v>
      </c>
      <c r="G12" s="1414" t="s">
        <v>836</v>
      </c>
      <c r="H12" s="1424">
        <v>837800</v>
      </c>
      <c r="I12" s="1419">
        <f t="shared" ref="I12:I29" si="3">H12/933</f>
        <v>897.96355841371917</v>
      </c>
      <c r="J12" s="1420">
        <f>AVERAGE(315,317)</f>
        <v>316</v>
      </c>
      <c r="K12" s="1421">
        <f t="shared" ref="K12:K13" si="4">J12*933</f>
        <v>294828</v>
      </c>
      <c r="L12" s="1422" t="s">
        <v>1055</v>
      </c>
    </row>
    <row r="13" spans="1:12" s="514" customFormat="1" x14ac:dyDescent="0.3">
      <c r="A13" s="1414">
        <v>2012</v>
      </c>
      <c r="B13" s="1415">
        <f t="shared" si="1"/>
        <v>2013</v>
      </c>
      <c r="C13" s="1415">
        <f t="shared" si="1"/>
        <v>2014</v>
      </c>
      <c r="D13" s="1415">
        <f t="shared" si="2"/>
        <v>2016</v>
      </c>
      <c r="E13" s="1423" t="s">
        <v>1058</v>
      </c>
      <c r="F13" s="1417" t="s">
        <v>1054</v>
      </c>
      <c r="G13" s="1414" t="s">
        <v>836</v>
      </c>
      <c r="H13" s="1425">
        <v>869300</v>
      </c>
      <c r="I13" s="1426">
        <f t="shared" si="3"/>
        <v>931.72561629153267</v>
      </c>
      <c r="J13" s="1420">
        <f>AVERAGE(66,55,82)</f>
        <v>67.666666666666671</v>
      </c>
      <c r="K13" s="1421">
        <f t="shared" si="4"/>
        <v>63133.000000000007</v>
      </c>
      <c r="L13" s="1422" t="s">
        <v>1055</v>
      </c>
    </row>
    <row r="14" spans="1:12" x14ac:dyDescent="0.3">
      <c r="A14" s="669">
        <v>2011</v>
      </c>
      <c r="B14" s="669">
        <f t="shared" si="1"/>
        <v>2012</v>
      </c>
      <c r="C14" s="669">
        <f t="shared" si="1"/>
        <v>2013</v>
      </c>
      <c r="D14" s="669">
        <f t="shared" si="2"/>
        <v>2015</v>
      </c>
      <c r="E14" s="813" t="s">
        <v>247</v>
      </c>
      <c r="F14" s="813"/>
      <c r="G14" s="459" t="s">
        <v>891</v>
      </c>
      <c r="H14" s="813">
        <v>0</v>
      </c>
      <c r="I14" s="1196"/>
    </row>
    <row r="15" spans="1:12" x14ac:dyDescent="0.3">
      <c r="A15" s="669">
        <v>2012</v>
      </c>
      <c r="B15" s="669">
        <f t="shared" si="1"/>
        <v>2013</v>
      </c>
      <c r="C15" s="669">
        <f t="shared" si="1"/>
        <v>2014</v>
      </c>
      <c r="D15" s="669">
        <f t="shared" si="2"/>
        <v>2016</v>
      </c>
      <c r="E15" s="813" t="s">
        <v>247</v>
      </c>
      <c r="F15" s="813"/>
      <c r="G15" s="459" t="s">
        <v>891</v>
      </c>
      <c r="H15" s="813">
        <v>0</v>
      </c>
      <c r="I15" s="1196"/>
    </row>
    <row r="16" spans="1:12" x14ac:dyDescent="0.3">
      <c r="A16" s="669">
        <v>2013</v>
      </c>
      <c r="B16" s="669">
        <f t="shared" si="1"/>
        <v>2014</v>
      </c>
      <c r="C16" s="669">
        <f t="shared" si="1"/>
        <v>2015</v>
      </c>
      <c r="D16" s="669">
        <f t="shared" si="2"/>
        <v>2017</v>
      </c>
      <c r="E16" s="813" t="s">
        <v>247</v>
      </c>
      <c r="F16" s="813" t="s">
        <v>1059</v>
      </c>
      <c r="G16" s="459" t="s">
        <v>891</v>
      </c>
      <c r="H16" s="813">
        <v>0</v>
      </c>
      <c r="I16" s="1196"/>
    </row>
    <row r="17" spans="1:21" x14ac:dyDescent="0.3">
      <c r="A17" s="1145">
        <v>2014</v>
      </c>
      <c r="B17" s="1145">
        <f t="shared" si="1"/>
        <v>2015</v>
      </c>
      <c r="C17" s="1145">
        <f t="shared" si="1"/>
        <v>2016</v>
      </c>
      <c r="D17" s="1145">
        <f t="shared" si="2"/>
        <v>2018</v>
      </c>
      <c r="E17" s="1194" t="s">
        <v>1060</v>
      </c>
      <c r="F17" s="1152" t="s">
        <v>940</v>
      </c>
      <c r="G17" s="1145" t="s">
        <v>891</v>
      </c>
      <c r="H17" s="1195">
        <v>1019935</v>
      </c>
      <c r="I17" s="1196"/>
    </row>
    <row r="18" spans="1:21" x14ac:dyDescent="0.3">
      <c r="A18" s="459">
        <v>2014</v>
      </c>
      <c r="B18" s="1145">
        <f t="shared" si="1"/>
        <v>2015</v>
      </c>
      <c r="C18" s="1145">
        <f t="shared" si="1"/>
        <v>2016</v>
      </c>
      <c r="D18" s="1145">
        <f t="shared" si="2"/>
        <v>2018</v>
      </c>
      <c r="E18" s="1158" t="s">
        <v>1061</v>
      </c>
      <c r="F18" s="1155" t="s">
        <v>892</v>
      </c>
      <c r="G18" s="459" t="s">
        <v>891</v>
      </c>
      <c r="H18" s="1157">
        <v>741859</v>
      </c>
      <c r="I18" s="1196"/>
    </row>
    <row r="19" spans="1:21" ht="43.2" x14ac:dyDescent="0.3">
      <c r="A19" s="459">
        <v>2015</v>
      </c>
      <c r="B19" s="1145">
        <f t="shared" si="1"/>
        <v>2016</v>
      </c>
      <c r="C19" s="1145">
        <f t="shared" si="1"/>
        <v>2017</v>
      </c>
      <c r="D19" s="1145">
        <f t="shared" si="2"/>
        <v>2019</v>
      </c>
      <c r="E19" s="1154" t="s">
        <v>1062</v>
      </c>
      <c r="F19" s="1165" t="s">
        <v>1063</v>
      </c>
      <c r="G19" s="2156" t="s">
        <v>891</v>
      </c>
      <c r="H19" s="1166">
        <v>357578</v>
      </c>
      <c r="I19" s="1196"/>
    </row>
    <row r="20" spans="1:21" ht="43.2" x14ac:dyDescent="0.3">
      <c r="A20" s="459">
        <v>2015</v>
      </c>
      <c r="B20" s="1145">
        <f t="shared" ref="B20:C29" si="5">A20+1</f>
        <v>2016</v>
      </c>
      <c r="C20" s="1145">
        <f t="shared" si="5"/>
        <v>2017</v>
      </c>
      <c r="D20" s="1145">
        <f t="shared" si="2"/>
        <v>2019</v>
      </c>
      <c r="E20" s="1154" t="s">
        <v>1064</v>
      </c>
      <c r="F20" s="1165" t="s">
        <v>1065</v>
      </c>
      <c r="G20" s="2156" t="s">
        <v>1034</v>
      </c>
      <c r="H20" s="1166">
        <v>9994</v>
      </c>
      <c r="I20" s="1196"/>
    </row>
    <row r="21" spans="1:21" ht="28.8" x14ac:dyDescent="0.3">
      <c r="A21" s="459">
        <v>2016</v>
      </c>
      <c r="B21" s="1145">
        <f t="shared" si="5"/>
        <v>2017</v>
      </c>
      <c r="C21" s="1145">
        <f t="shared" si="5"/>
        <v>2018</v>
      </c>
      <c r="D21" s="1145">
        <f t="shared" si="2"/>
        <v>2020</v>
      </c>
      <c r="E21" s="1154" t="s">
        <v>1066</v>
      </c>
      <c r="F21" s="1165" t="s">
        <v>1067</v>
      </c>
      <c r="G21" s="2156" t="s">
        <v>891</v>
      </c>
      <c r="H21" s="1157">
        <v>4493577</v>
      </c>
      <c r="I21" s="1196"/>
    </row>
    <row r="22" spans="1:21" ht="43.2" x14ac:dyDescent="0.3">
      <c r="A22" s="459">
        <v>2016</v>
      </c>
      <c r="B22" s="1145">
        <f t="shared" si="5"/>
        <v>2017</v>
      </c>
      <c r="C22" s="1145">
        <f t="shared" si="5"/>
        <v>2018</v>
      </c>
      <c r="D22" s="1145">
        <f t="shared" si="2"/>
        <v>2020</v>
      </c>
      <c r="E22" s="1165" t="s">
        <v>1068</v>
      </c>
      <c r="F22" s="1154" t="s">
        <v>1069</v>
      </c>
      <c r="G22" s="2156" t="s">
        <v>1034</v>
      </c>
      <c r="H22" s="1167">
        <v>683856</v>
      </c>
      <c r="I22" s="1196"/>
    </row>
    <row r="23" spans="1:21" ht="43.2" x14ac:dyDescent="0.3">
      <c r="A23" s="459">
        <v>2017</v>
      </c>
      <c r="B23" s="1145">
        <f t="shared" si="5"/>
        <v>2018</v>
      </c>
      <c r="C23" s="1145">
        <f t="shared" si="5"/>
        <v>2019</v>
      </c>
      <c r="D23" s="1145">
        <f t="shared" si="2"/>
        <v>2021</v>
      </c>
      <c r="E23" s="1168" t="s">
        <v>1070</v>
      </c>
      <c r="F23" s="1165" t="s">
        <v>1071</v>
      </c>
      <c r="G23" s="2156" t="s">
        <v>891</v>
      </c>
      <c r="H23" s="1166">
        <v>1222602</v>
      </c>
      <c r="I23" s="1196"/>
    </row>
    <row r="24" spans="1:21" ht="43.2" x14ac:dyDescent="0.3">
      <c r="A24" s="459">
        <v>2017</v>
      </c>
      <c r="B24" s="1145">
        <f t="shared" si="5"/>
        <v>2018</v>
      </c>
      <c r="C24" s="1145">
        <f t="shared" si="5"/>
        <v>2019</v>
      </c>
      <c r="D24" s="1145">
        <f t="shared" si="2"/>
        <v>2021</v>
      </c>
      <c r="E24" s="1168" t="s">
        <v>1072</v>
      </c>
      <c r="F24" s="1169" t="s">
        <v>1073</v>
      </c>
      <c r="G24" s="2156" t="s">
        <v>1034</v>
      </c>
      <c r="H24" s="1156">
        <v>10110</v>
      </c>
      <c r="I24" s="1196"/>
    </row>
    <row r="25" spans="1:21" x14ac:dyDescent="0.3">
      <c r="A25" s="1160">
        <v>2018</v>
      </c>
      <c r="B25" s="1161">
        <f t="shared" si="5"/>
        <v>2019</v>
      </c>
      <c r="C25" s="1161">
        <f t="shared" si="5"/>
        <v>2020</v>
      </c>
      <c r="D25" s="1161">
        <f t="shared" si="2"/>
        <v>2022</v>
      </c>
      <c r="E25" s="1162" t="s">
        <v>247</v>
      </c>
      <c r="F25" s="1163"/>
      <c r="G25" s="1160" t="s">
        <v>891</v>
      </c>
      <c r="H25" s="1164">
        <v>0</v>
      </c>
      <c r="I25" s="1196"/>
    </row>
    <row r="26" spans="1:21" ht="43.2" x14ac:dyDescent="0.3">
      <c r="A26" s="459">
        <v>2018</v>
      </c>
      <c r="B26" s="1145">
        <f t="shared" si="5"/>
        <v>2019</v>
      </c>
      <c r="C26" s="1145">
        <f t="shared" si="5"/>
        <v>2020</v>
      </c>
      <c r="D26" s="1145">
        <f t="shared" si="2"/>
        <v>2022</v>
      </c>
      <c r="E26" s="1168" t="s">
        <v>1074</v>
      </c>
      <c r="F26" s="1165" t="s">
        <v>1075</v>
      </c>
      <c r="G26" s="2156" t="s">
        <v>1034</v>
      </c>
      <c r="H26" s="1156">
        <f>4107296-L27</f>
        <v>4106296</v>
      </c>
      <c r="I26" s="2636"/>
      <c r="J26" s="2637"/>
      <c r="K26" s="2637"/>
      <c r="L26" s="2637"/>
      <c r="M26" s="2637"/>
      <c r="N26" s="2637"/>
      <c r="O26" s="1170"/>
      <c r="P26" s="1170"/>
      <c r="Q26" s="1170"/>
      <c r="R26" s="1170"/>
      <c r="S26" s="1170"/>
      <c r="T26" s="1170"/>
      <c r="U26" s="1170"/>
    </row>
    <row r="27" spans="1:21" ht="28.8" x14ac:dyDescent="0.3">
      <c r="A27" s="459">
        <v>2019</v>
      </c>
      <c r="B27" s="1145">
        <f t="shared" si="5"/>
        <v>2020</v>
      </c>
      <c r="C27" s="1145">
        <f t="shared" si="5"/>
        <v>2021</v>
      </c>
      <c r="D27" s="1145">
        <f t="shared" si="2"/>
        <v>2023</v>
      </c>
      <c r="E27" s="1168"/>
      <c r="F27" s="1154" t="s">
        <v>1076</v>
      </c>
      <c r="G27" s="2157" t="s">
        <v>891</v>
      </c>
      <c r="H27" s="1156">
        <v>641182</v>
      </c>
      <c r="I27" s="1196"/>
      <c r="K27" s="1178" t="s">
        <v>1081</v>
      </c>
      <c r="L27" s="1179">
        <v>1000</v>
      </c>
    </row>
    <row r="28" spans="1:21" ht="28.8" x14ac:dyDescent="0.3">
      <c r="A28" s="459">
        <v>2020</v>
      </c>
      <c r="B28" s="1145">
        <f t="shared" si="5"/>
        <v>2021</v>
      </c>
      <c r="C28" s="1145">
        <f t="shared" si="5"/>
        <v>2022</v>
      </c>
      <c r="D28" s="1145">
        <f t="shared" si="2"/>
        <v>2024</v>
      </c>
      <c r="E28" s="1168" t="s">
        <v>1077</v>
      </c>
      <c r="F28" s="1154" t="s">
        <v>1078</v>
      </c>
      <c r="G28" s="2157" t="s">
        <v>891</v>
      </c>
      <c r="H28" s="1156">
        <v>2029615</v>
      </c>
      <c r="I28" s="1196"/>
      <c r="K28" s="1178" t="s">
        <v>1082</v>
      </c>
      <c r="L28" s="874"/>
    </row>
    <row r="29" spans="1:21" ht="28.8" x14ac:dyDescent="0.3">
      <c r="A29" s="459">
        <v>2020</v>
      </c>
      <c r="B29" s="1145">
        <f t="shared" si="5"/>
        <v>2021</v>
      </c>
      <c r="C29" s="1145">
        <f t="shared" si="5"/>
        <v>2022</v>
      </c>
      <c r="D29" s="1145">
        <f t="shared" si="2"/>
        <v>2024</v>
      </c>
      <c r="E29" s="1168" t="s">
        <v>1079</v>
      </c>
      <c r="F29" s="1154" t="s">
        <v>1080</v>
      </c>
      <c r="G29" s="1165" t="s">
        <v>1034</v>
      </c>
      <c r="H29" s="1156">
        <v>2070088</v>
      </c>
      <c r="I29" s="1196">
        <f t="shared" si="3"/>
        <v>2218.743837084673</v>
      </c>
      <c r="K29" s="1178" t="s">
        <v>1083</v>
      </c>
      <c r="L29" s="1179">
        <v>60099</v>
      </c>
    </row>
    <row r="30" spans="1:21" x14ac:dyDescent="0.3">
      <c r="A30" s="459">
        <v>2021</v>
      </c>
      <c r="B30" s="1145">
        <f t="shared" ref="B30:B31" si="6">A30+1</f>
        <v>2022</v>
      </c>
      <c r="C30" s="1145">
        <f t="shared" ref="C30:C31" si="7">B30+1</f>
        <v>2023</v>
      </c>
      <c r="D30" s="1145">
        <f t="shared" ref="D30:D31" si="8">C30+2</f>
        <v>2025</v>
      </c>
      <c r="E30" s="1168"/>
      <c r="F30" s="1154"/>
      <c r="G30" s="2157" t="s">
        <v>891</v>
      </c>
      <c r="H30" s="1156">
        <v>333171</v>
      </c>
    </row>
    <row r="31" spans="1:21" x14ac:dyDescent="0.3">
      <c r="A31" s="459">
        <v>2021</v>
      </c>
      <c r="B31" s="1145">
        <f t="shared" si="6"/>
        <v>2022</v>
      </c>
      <c r="C31" s="1145">
        <f t="shared" si="7"/>
        <v>2023</v>
      </c>
      <c r="D31" s="1145">
        <f t="shared" si="8"/>
        <v>2025</v>
      </c>
      <c r="E31" s="1168"/>
      <c r="F31" s="1154"/>
      <c r="G31" s="2157" t="s">
        <v>1034</v>
      </c>
      <c r="H31" s="1156">
        <v>10000</v>
      </c>
    </row>
    <row r="32" spans="1:21" x14ac:dyDescent="0.3">
      <c r="A32" s="459">
        <v>2022</v>
      </c>
      <c r="B32" s="1145">
        <f t="shared" ref="B32:B35" si="9">A32+1</f>
        <v>2023</v>
      </c>
      <c r="C32" s="1145">
        <f t="shared" ref="C32:C33" si="10">B32+1</f>
        <v>2024</v>
      </c>
      <c r="D32" s="1145">
        <f t="shared" ref="D32:D33" si="11">C32+2</f>
        <v>2026</v>
      </c>
      <c r="E32" s="1168"/>
      <c r="F32" s="1154"/>
      <c r="G32" s="2157" t="s">
        <v>891</v>
      </c>
      <c r="H32" s="1156">
        <v>752653</v>
      </c>
    </row>
    <row r="33" spans="1:8" x14ac:dyDescent="0.3">
      <c r="A33" s="459">
        <v>2022</v>
      </c>
      <c r="B33" s="1145">
        <f t="shared" si="9"/>
        <v>2023</v>
      </c>
      <c r="C33" s="1145">
        <f t="shared" si="10"/>
        <v>2024</v>
      </c>
      <c r="D33" s="1145">
        <f t="shared" si="11"/>
        <v>2026</v>
      </c>
      <c r="E33" s="1168"/>
      <c r="F33" s="1154"/>
      <c r="G33" s="2157" t="s">
        <v>1034</v>
      </c>
      <c r="H33" s="1156">
        <v>3812941</v>
      </c>
    </row>
    <row r="34" spans="1:8" x14ac:dyDescent="0.3">
      <c r="A34" s="459">
        <v>2023</v>
      </c>
      <c r="B34" s="1145">
        <f t="shared" si="9"/>
        <v>2024</v>
      </c>
      <c r="C34" s="1145">
        <f t="shared" ref="C34:C35" si="12">B34+1</f>
        <v>2025</v>
      </c>
      <c r="D34" s="1145">
        <f t="shared" ref="D34:D35" si="13">C34+2</f>
        <v>2027</v>
      </c>
      <c r="E34" s="1168"/>
      <c r="F34" s="1154"/>
      <c r="G34" s="2157" t="s">
        <v>891</v>
      </c>
      <c r="H34" s="1156">
        <v>177560</v>
      </c>
    </row>
    <row r="35" spans="1:8" x14ac:dyDescent="0.3">
      <c r="A35" s="459">
        <v>2023</v>
      </c>
      <c r="B35" s="1145">
        <f t="shared" si="9"/>
        <v>2024</v>
      </c>
      <c r="C35" s="1145">
        <f t="shared" si="12"/>
        <v>2025</v>
      </c>
      <c r="D35" s="1145">
        <f t="shared" si="13"/>
        <v>2027</v>
      </c>
      <c r="E35" s="1168"/>
      <c r="F35" s="1154"/>
      <c r="G35" s="2157" t="s">
        <v>1034</v>
      </c>
      <c r="H35" s="1156">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49" t="s">
        <v>15</v>
      </c>
      <c r="B1" s="1050" t="s">
        <v>1084</v>
      </c>
      <c r="C1" s="2055" t="s">
        <v>1085</v>
      </c>
      <c r="D1" s="1051" t="s">
        <v>1086</v>
      </c>
      <c r="E1" s="1050" t="s">
        <v>1087</v>
      </c>
      <c r="F1" s="1050" t="s">
        <v>1088</v>
      </c>
      <c r="G1" s="1051" t="s">
        <v>1089</v>
      </c>
      <c r="H1" s="1050" t="s">
        <v>1090</v>
      </c>
      <c r="I1" s="1050" t="s">
        <v>1091</v>
      </c>
      <c r="J1" s="1053" t="s">
        <v>1092</v>
      </c>
      <c r="K1" s="664"/>
    </row>
    <row r="2" spans="1:11" x14ac:dyDescent="0.3">
      <c r="A2" s="2054">
        <v>2013</v>
      </c>
      <c r="B2" s="1038">
        <v>67497</v>
      </c>
      <c r="C2" s="1038">
        <v>130240</v>
      </c>
      <c r="D2" s="1039">
        <f t="shared" ref="D2:D11" si="0">SUM(B2:C2)</f>
        <v>197737</v>
      </c>
      <c r="E2" s="1038">
        <v>63275</v>
      </c>
      <c r="F2" s="1038">
        <v>122163</v>
      </c>
      <c r="G2" s="1039">
        <f t="shared" ref="G2:G11" si="1">SUM(E2:F2)</f>
        <v>185438</v>
      </c>
      <c r="H2" s="1038">
        <f>ABS(G2-D2)</f>
        <v>12299</v>
      </c>
      <c r="I2" s="1040">
        <f t="shared" ref="I2:I11" si="2">1-(G2/D2)</f>
        <v>6.219877918649519E-2</v>
      </c>
      <c r="J2" s="1054">
        <f t="shared" ref="J2:J11" si="3">1+I2</f>
        <v>1.0621987791864953</v>
      </c>
      <c r="K2" s="1018"/>
    </row>
    <row r="3" spans="1:11" x14ac:dyDescent="0.3">
      <c r="A3" s="2054">
        <v>2014</v>
      </c>
      <c r="B3" s="1038">
        <v>187058</v>
      </c>
      <c r="C3" s="1038">
        <v>468925</v>
      </c>
      <c r="D3" s="1039">
        <f t="shared" si="0"/>
        <v>655983</v>
      </c>
      <c r="E3" s="1038">
        <v>175091</v>
      </c>
      <c r="F3" s="1038">
        <v>439022</v>
      </c>
      <c r="G3" s="1039">
        <f t="shared" si="1"/>
        <v>614113</v>
      </c>
      <c r="H3" s="1038">
        <f t="shared" ref="H3:H11" si="4">ABS(G3-D3)</f>
        <v>41870</v>
      </c>
      <c r="I3" s="1040">
        <f t="shared" si="2"/>
        <v>6.3827873588187534E-2</v>
      </c>
      <c r="J3" s="1054">
        <f t="shared" si="3"/>
        <v>1.0638278735881874</v>
      </c>
      <c r="K3" s="1018"/>
    </row>
    <row r="4" spans="1:11" x14ac:dyDescent="0.3">
      <c r="A4" s="2054">
        <v>2015</v>
      </c>
      <c r="B4" s="1038">
        <v>174878</v>
      </c>
      <c r="C4" s="1038">
        <v>370278</v>
      </c>
      <c r="D4" s="1039">
        <f t="shared" si="0"/>
        <v>545156</v>
      </c>
      <c r="E4" s="1038">
        <v>163256</v>
      </c>
      <c r="F4" s="1038">
        <v>347406</v>
      </c>
      <c r="G4" s="1039">
        <f t="shared" si="1"/>
        <v>510662</v>
      </c>
      <c r="H4" s="1038">
        <f t="shared" si="4"/>
        <v>34494</v>
      </c>
      <c r="I4" s="1040">
        <f t="shared" si="2"/>
        <v>6.3273631767787553E-2</v>
      </c>
      <c r="J4" s="1054">
        <f t="shared" si="3"/>
        <v>1.0632736317677876</v>
      </c>
      <c r="K4" s="1018"/>
    </row>
    <row r="5" spans="1:11" x14ac:dyDescent="0.3">
      <c r="A5" s="2054">
        <v>2016</v>
      </c>
      <c r="B5" s="1038">
        <v>89595</v>
      </c>
      <c r="C5" s="1038">
        <v>268231</v>
      </c>
      <c r="D5" s="1039">
        <f t="shared" si="0"/>
        <v>357826</v>
      </c>
      <c r="E5" s="1038">
        <v>86274</v>
      </c>
      <c r="F5" s="1038">
        <v>256185</v>
      </c>
      <c r="G5" s="1039">
        <f t="shared" si="1"/>
        <v>342459</v>
      </c>
      <c r="H5" s="1038">
        <f t="shared" si="4"/>
        <v>15367</v>
      </c>
      <c r="I5" s="1040">
        <f t="shared" si="2"/>
        <v>4.2945453935711808E-2</v>
      </c>
      <c r="J5" s="1054">
        <f t="shared" si="3"/>
        <v>1.0429454539357117</v>
      </c>
      <c r="K5" s="1018"/>
    </row>
    <row r="6" spans="1:11" x14ac:dyDescent="0.3">
      <c r="A6" s="2054">
        <v>2017</v>
      </c>
      <c r="B6" s="1038">
        <v>42026</v>
      </c>
      <c r="C6" s="1038">
        <v>47929</v>
      </c>
      <c r="D6" s="1039">
        <f t="shared" si="0"/>
        <v>89955</v>
      </c>
      <c r="E6" s="1038">
        <v>40900</v>
      </c>
      <c r="F6" s="1038">
        <v>46706</v>
      </c>
      <c r="G6" s="1039">
        <f t="shared" si="1"/>
        <v>87606</v>
      </c>
      <c r="H6" s="1038">
        <f t="shared" si="4"/>
        <v>2349</v>
      </c>
      <c r="I6" s="1040">
        <f t="shared" si="2"/>
        <v>2.6113056528264122E-2</v>
      </c>
      <c r="J6" s="1054">
        <f t="shared" si="3"/>
        <v>1.0261130565282641</v>
      </c>
      <c r="K6" s="1018"/>
    </row>
    <row r="7" spans="1:11" x14ac:dyDescent="0.3">
      <c r="A7" s="2054">
        <v>2018</v>
      </c>
      <c r="B7" s="1038">
        <v>70902</v>
      </c>
      <c r="C7" s="1038">
        <v>127248</v>
      </c>
      <c r="D7" s="1039">
        <f t="shared" si="0"/>
        <v>198150</v>
      </c>
      <c r="E7" s="1038">
        <v>66507</v>
      </c>
      <c r="F7" s="1038">
        <v>127248</v>
      </c>
      <c r="G7" s="1039">
        <f t="shared" si="1"/>
        <v>193755</v>
      </c>
      <c r="H7" s="1038">
        <f t="shared" si="4"/>
        <v>4395</v>
      </c>
      <c r="I7" s="1040">
        <f t="shared" si="2"/>
        <v>2.2180166540499591E-2</v>
      </c>
      <c r="J7" s="1054">
        <f t="shared" si="3"/>
        <v>1.0221801665404997</v>
      </c>
      <c r="K7" s="1018"/>
    </row>
    <row r="8" spans="1:11" x14ac:dyDescent="0.3">
      <c r="A8" s="2054">
        <v>2019</v>
      </c>
      <c r="B8" s="1038">
        <v>18847</v>
      </c>
      <c r="C8" s="1038">
        <v>47432</v>
      </c>
      <c r="D8" s="1039">
        <f t="shared" si="0"/>
        <v>66279</v>
      </c>
      <c r="E8" s="1038">
        <v>17654</v>
      </c>
      <c r="F8" s="1038">
        <v>45392</v>
      </c>
      <c r="G8" s="1039">
        <f t="shared" si="1"/>
        <v>63046</v>
      </c>
      <c r="H8" s="1038">
        <f t="shared" si="4"/>
        <v>3233</v>
      </c>
      <c r="I8" s="1040">
        <f t="shared" si="2"/>
        <v>4.8778647837173117E-2</v>
      </c>
      <c r="J8" s="1054">
        <f t="shared" si="3"/>
        <v>1.0487786478371732</v>
      </c>
      <c r="K8" s="1018"/>
    </row>
    <row r="9" spans="1:11" x14ac:dyDescent="0.3">
      <c r="A9" s="2054">
        <v>2020</v>
      </c>
      <c r="B9" s="1038">
        <v>133827</v>
      </c>
      <c r="C9" s="1038">
        <v>223728</v>
      </c>
      <c r="D9" s="1039">
        <f t="shared" si="0"/>
        <v>357555</v>
      </c>
      <c r="E9" s="1038">
        <v>127824</v>
      </c>
      <c r="F9" s="1038">
        <v>213915</v>
      </c>
      <c r="G9" s="1039">
        <f t="shared" si="1"/>
        <v>341739</v>
      </c>
      <c r="H9" s="1038">
        <f t="shared" si="4"/>
        <v>15816</v>
      </c>
      <c r="I9" s="1040">
        <f t="shared" si="2"/>
        <v>4.4233754247598234E-2</v>
      </c>
      <c r="J9" s="1054">
        <f t="shared" si="3"/>
        <v>1.0442337542475983</v>
      </c>
      <c r="K9" s="1018"/>
    </row>
    <row r="10" spans="1:11" x14ac:dyDescent="0.3">
      <c r="A10" s="2054">
        <v>2021</v>
      </c>
      <c r="B10" s="1038">
        <v>51194</v>
      </c>
      <c r="C10" s="1038">
        <v>110370</v>
      </c>
      <c r="D10" s="1039">
        <f t="shared" si="0"/>
        <v>161564</v>
      </c>
      <c r="E10" s="1038">
        <v>47568</v>
      </c>
      <c r="F10" s="1038">
        <v>104197</v>
      </c>
      <c r="G10" s="1039">
        <f t="shared" si="1"/>
        <v>151765</v>
      </c>
      <c r="H10" s="1038">
        <f t="shared" si="4"/>
        <v>9799</v>
      </c>
      <c r="I10" s="1040">
        <f t="shared" si="2"/>
        <v>6.0650887573964529E-2</v>
      </c>
      <c r="J10" s="1054">
        <f t="shared" si="3"/>
        <v>1.0606508875739644</v>
      </c>
      <c r="K10" s="1018"/>
    </row>
    <row r="11" spans="1:11" x14ac:dyDescent="0.3">
      <c r="A11" s="2054">
        <v>2022</v>
      </c>
      <c r="B11" s="1038">
        <v>307283</v>
      </c>
      <c r="C11" s="1038">
        <v>389700</v>
      </c>
      <c r="D11" s="1039">
        <f t="shared" si="0"/>
        <v>696983</v>
      </c>
      <c r="E11" s="1038">
        <v>292581</v>
      </c>
      <c r="F11" s="1038">
        <v>370672</v>
      </c>
      <c r="G11" s="1039">
        <f t="shared" si="1"/>
        <v>663253</v>
      </c>
      <c r="H11" s="1038">
        <f t="shared" si="4"/>
        <v>33730</v>
      </c>
      <c r="I11" s="1040">
        <f t="shared" si="2"/>
        <v>4.8394293691524704E-2</v>
      </c>
      <c r="J11" s="1054">
        <f t="shared" si="3"/>
        <v>1.0483942936915247</v>
      </c>
      <c r="K11" s="1018"/>
    </row>
    <row r="12" spans="1:11" ht="15" thickBot="1" x14ac:dyDescent="0.35">
      <c r="A12" s="1058" t="s">
        <v>1093</v>
      </c>
      <c r="B12" s="1042">
        <f t="shared" ref="B12:C12" si="5">SUM(B2:B11)</f>
        <v>1143107</v>
      </c>
      <c r="C12" s="1042">
        <f t="shared" si="5"/>
        <v>2184081</v>
      </c>
      <c r="D12" s="1042">
        <f>SUM(D2:D11)</f>
        <v>3327188</v>
      </c>
      <c r="E12" s="1042">
        <f t="shared" ref="E12:F12" si="6">SUM(E2:E11)</f>
        <v>1080930</v>
      </c>
      <c r="F12" s="1042">
        <f t="shared" si="6"/>
        <v>2072906</v>
      </c>
      <c r="G12" s="1043">
        <f t="shared" ref="G12" si="7">SUM(E12:F12)</f>
        <v>3153836</v>
      </c>
      <c r="H12" s="1043">
        <f>ABS(G12-D12)</f>
        <v>173352</v>
      </c>
      <c r="I12" s="1044">
        <f t="shared" ref="I12" si="8">1-(G12/D12)</f>
        <v>5.2101654610439807E-2</v>
      </c>
      <c r="J12" s="1045">
        <f t="shared" ref="J12:J13" si="9">1+I12</f>
        <v>1.0521016546104398</v>
      </c>
      <c r="K12" s="1029" t="s">
        <v>1094</v>
      </c>
    </row>
    <row r="13" spans="1:11" ht="15" thickBot="1" x14ac:dyDescent="0.35">
      <c r="I13" s="1027">
        <f>AVERAGE(I2:I11)</f>
        <v>4.8259654489720638E-2</v>
      </c>
      <c r="J13" s="1028">
        <f t="shared" si="9"/>
        <v>1.0482596544897207</v>
      </c>
      <c r="K13" s="1019"/>
    </row>
    <row r="14" spans="1:11" x14ac:dyDescent="0.3">
      <c r="A14" s="1049" t="s">
        <v>15</v>
      </c>
      <c r="B14" s="1050" t="s">
        <v>1095</v>
      </c>
      <c r="C14" s="2056" t="s">
        <v>1096</v>
      </c>
      <c r="D14" s="1051" t="s">
        <v>1097</v>
      </c>
      <c r="E14" s="1050" t="s">
        <v>1090</v>
      </c>
      <c r="F14" s="1050" t="s">
        <v>1098</v>
      </c>
      <c r="G14" s="1053" t="s">
        <v>1092</v>
      </c>
      <c r="I14" s="664"/>
      <c r="J14" s="664"/>
      <c r="K14" s="664"/>
    </row>
    <row r="15" spans="1:11" x14ac:dyDescent="0.3">
      <c r="A15" s="2053">
        <v>1994</v>
      </c>
      <c r="B15" s="1046">
        <v>475</v>
      </c>
      <c r="C15" s="1041">
        <v>12666</v>
      </c>
      <c r="D15" s="1041">
        <v>13141</v>
      </c>
      <c r="E15" s="1046">
        <f>D15-C15</f>
        <v>475</v>
      </c>
      <c r="F15" s="1047">
        <f t="shared" ref="F15:F23" si="10">B15/D15</f>
        <v>3.6146411992999013E-2</v>
      </c>
      <c r="G15" s="1054">
        <f>1+F15</f>
        <v>1.0361464119929991</v>
      </c>
      <c r="H15"/>
    </row>
    <row r="16" spans="1:11" ht="15" thickBot="1" x14ac:dyDescent="0.35">
      <c r="A16" s="2053">
        <v>1995</v>
      </c>
      <c r="B16" s="1046">
        <v>358</v>
      </c>
      <c r="C16" s="1041">
        <v>8717</v>
      </c>
      <c r="D16" s="1041">
        <v>9075</v>
      </c>
      <c r="E16" s="1046">
        <f t="shared" ref="E16:E23" si="11">D16-C16</f>
        <v>358</v>
      </c>
      <c r="F16" s="1047">
        <f t="shared" si="10"/>
        <v>3.9449035812672173E-2</v>
      </c>
      <c r="G16" s="1054">
        <f t="shared" ref="G16:G24" si="12">1+F16</f>
        <v>1.0394490358126722</v>
      </c>
      <c r="H16" s="316" t="s">
        <v>1099</v>
      </c>
    </row>
    <row r="17" spans="1:14" x14ac:dyDescent="0.3">
      <c r="A17" s="2053">
        <v>1996</v>
      </c>
      <c r="B17" s="1046">
        <v>941</v>
      </c>
      <c r="C17" s="1041">
        <v>30208</v>
      </c>
      <c r="D17" s="1041">
        <v>31149</v>
      </c>
      <c r="E17" s="1046">
        <f t="shared" si="11"/>
        <v>941</v>
      </c>
      <c r="F17" s="1047">
        <f t="shared" si="10"/>
        <v>3.0209637548556937E-2</v>
      </c>
      <c r="G17" s="1054">
        <f t="shared" si="12"/>
        <v>1.030209637548557</v>
      </c>
      <c r="H17" s="1020"/>
      <c r="I17" s="1021" t="s">
        <v>1100</v>
      </c>
      <c r="J17" s="1021" t="s">
        <v>1101</v>
      </c>
      <c r="K17" s="1059" t="s">
        <v>425</v>
      </c>
      <c r="N17" s="664"/>
    </row>
    <row r="18" spans="1:14" x14ac:dyDescent="0.3">
      <c r="A18" s="2053">
        <v>1997</v>
      </c>
      <c r="B18" s="1046">
        <v>1334</v>
      </c>
      <c r="C18" s="1041">
        <v>46617</v>
      </c>
      <c r="D18" s="1041">
        <v>47951</v>
      </c>
      <c r="E18" s="1046">
        <f t="shared" si="11"/>
        <v>1334</v>
      </c>
      <c r="F18" s="1047">
        <f t="shared" si="10"/>
        <v>2.7820066317699319E-2</v>
      </c>
      <c r="G18" s="1054">
        <f t="shared" si="12"/>
        <v>1.0278200663176993</v>
      </c>
      <c r="H18" s="1055" t="s">
        <v>425</v>
      </c>
      <c r="I18" s="1030">
        <v>3.4299999999999997E-2</v>
      </c>
      <c r="J18" s="1030">
        <v>5.21E-2</v>
      </c>
      <c r="K18" s="1031">
        <f>AVERAGE(I18:J18)</f>
        <v>4.3200000000000002E-2</v>
      </c>
    </row>
    <row r="19" spans="1:14" x14ac:dyDescent="0.3">
      <c r="A19" s="2053">
        <v>1998</v>
      </c>
      <c r="B19" s="1046">
        <v>390</v>
      </c>
      <c r="C19" s="1041">
        <v>13127</v>
      </c>
      <c r="D19" s="1041">
        <v>13517</v>
      </c>
      <c r="E19" s="1046">
        <f t="shared" si="11"/>
        <v>390</v>
      </c>
      <c r="F19" s="1047">
        <f t="shared" si="10"/>
        <v>2.885255604054154E-2</v>
      </c>
      <c r="G19" s="1054">
        <f t="shared" si="12"/>
        <v>1.0288525560405415</v>
      </c>
      <c r="H19" t="s">
        <v>1102</v>
      </c>
      <c r="I19" s="1022">
        <v>4.1159080487155322E-5</v>
      </c>
      <c r="J19" s="1022">
        <v>2.2566426548017144E-4</v>
      </c>
      <c r="K19" s="1022"/>
    </row>
    <row r="20" spans="1:14" x14ac:dyDescent="0.3">
      <c r="A20" s="2053">
        <v>1999</v>
      </c>
      <c r="B20" s="1046">
        <v>425</v>
      </c>
      <c r="C20" s="1041">
        <v>17817</v>
      </c>
      <c r="D20" s="1041">
        <v>18242</v>
      </c>
      <c r="E20" s="1046">
        <f t="shared" si="11"/>
        <v>425</v>
      </c>
      <c r="F20" s="1047">
        <f t="shared" si="10"/>
        <v>2.3297884003946934E-2</v>
      </c>
      <c r="G20" s="1054">
        <f t="shared" si="12"/>
        <v>1.0232978840039468</v>
      </c>
      <c r="H20" t="s">
        <v>1103</v>
      </c>
      <c r="I20">
        <v>8</v>
      </c>
      <c r="J20">
        <v>10</v>
      </c>
    </row>
    <row r="21" spans="1:14" x14ac:dyDescent="0.3">
      <c r="A21" s="2053">
        <v>2000</v>
      </c>
      <c r="B21" s="1046">
        <v>4134</v>
      </c>
      <c r="C21" s="1041">
        <v>93192</v>
      </c>
      <c r="D21" s="1041">
        <v>97326</v>
      </c>
      <c r="E21" s="1046">
        <f t="shared" si="11"/>
        <v>4134</v>
      </c>
      <c r="F21" s="1047">
        <f t="shared" si="10"/>
        <v>4.2475802971456755E-2</v>
      </c>
      <c r="G21" s="1054">
        <f t="shared" si="12"/>
        <v>1.0424758029714567</v>
      </c>
      <c r="H21" t="s">
        <v>1104</v>
      </c>
      <c r="I21" s="1022">
        <v>1.4494324704572689E-4</v>
      </c>
    </row>
    <row r="22" spans="1:14" x14ac:dyDescent="0.3">
      <c r="A22" s="2053">
        <v>2002</v>
      </c>
      <c r="B22" s="1046">
        <v>1590</v>
      </c>
      <c r="C22" s="1041">
        <v>49519</v>
      </c>
      <c r="D22" s="1041">
        <v>51109</v>
      </c>
      <c r="E22" s="1046">
        <f t="shared" si="11"/>
        <v>1590</v>
      </c>
      <c r="F22" s="1047">
        <f t="shared" si="10"/>
        <v>3.1109980629634701E-2</v>
      </c>
      <c r="G22" s="1054">
        <f t="shared" si="12"/>
        <v>1.0311099806296347</v>
      </c>
      <c r="H22" t="s">
        <v>1105</v>
      </c>
      <c r="I22" s="1022">
        <v>0</v>
      </c>
    </row>
    <row r="23" spans="1:14" ht="15" thickBot="1" x14ac:dyDescent="0.35">
      <c r="A23" s="1058" t="s">
        <v>1093</v>
      </c>
      <c r="B23" s="1042">
        <f>SUM(B15:B22)</f>
        <v>9647</v>
      </c>
      <c r="C23" s="1042">
        <f>SUM(C15:C22)</f>
        <v>271863</v>
      </c>
      <c r="D23" s="1042">
        <f>SUM(D15:D22)</f>
        <v>281510</v>
      </c>
      <c r="E23" s="1046">
        <f t="shared" si="11"/>
        <v>9647</v>
      </c>
      <c r="F23" s="1048">
        <f t="shared" si="10"/>
        <v>3.426876487513765E-2</v>
      </c>
      <c r="G23" s="2258">
        <f t="shared" si="12"/>
        <v>1.0342687648751376</v>
      </c>
      <c r="H23" t="s">
        <v>1106</v>
      </c>
      <c r="I23">
        <v>16</v>
      </c>
    </row>
    <row r="24" spans="1:14" x14ac:dyDescent="0.3">
      <c r="F24" s="1027">
        <f>AVERAGE(F15:F22)</f>
        <v>3.242017191468842E-2</v>
      </c>
      <c r="G24" s="2259">
        <f t="shared" si="12"/>
        <v>1.0324201719146884</v>
      </c>
      <c r="H24" t="s">
        <v>1107</v>
      </c>
      <c r="I24" s="1009">
        <v>-2.7736441285370628</v>
      </c>
    </row>
    <row r="25" spans="1:14" ht="15" thickBot="1" x14ac:dyDescent="0.35">
      <c r="A25" s="1052" t="s">
        <v>1108</v>
      </c>
      <c r="B25" s="1017"/>
      <c r="C25" s="1017"/>
      <c r="H25" s="1055" t="s">
        <v>1109</v>
      </c>
      <c r="I25" s="1056">
        <v>6.7790992074604249E-3</v>
      </c>
    </row>
    <row r="26" spans="1:14" ht="15" thickBot="1" x14ac:dyDescent="0.35">
      <c r="A26" s="984" t="s">
        <v>15</v>
      </c>
      <c r="B26" s="1234" t="s">
        <v>1110</v>
      </c>
      <c r="C26" s="1235" t="s">
        <v>1111</v>
      </c>
      <c r="D26" s="984" t="s">
        <v>1112</v>
      </c>
      <c r="E26" s="1236" t="s">
        <v>1113</v>
      </c>
      <c r="F26" s="1176" t="s">
        <v>1111</v>
      </c>
      <c r="H26" t="s">
        <v>1114</v>
      </c>
      <c r="I26" s="1009">
        <v>1.7458836762762506</v>
      </c>
    </row>
    <row r="27" spans="1:14" x14ac:dyDescent="0.3">
      <c r="A27" s="488">
        <v>1977</v>
      </c>
      <c r="B27" s="1227">
        <f t="shared" ref="B27:B43" si="13">$G$23</f>
        <v>1.0342687648751376</v>
      </c>
      <c r="C27" s="1233" t="s">
        <v>1115</v>
      </c>
      <c r="D27" s="1240">
        <v>-273.64789999999999</v>
      </c>
      <c r="E27" s="1241">
        <v>1.0435369999999999</v>
      </c>
      <c r="F27" s="1242" t="s">
        <v>1116</v>
      </c>
      <c r="G27" s="1243"/>
      <c r="H27" s="1244" t="s">
        <v>1117</v>
      </c>
      <c r="I27" s="1023">
        <v>1.355819841492085E-2</v>
      </c>
    </row>
    <row r="28" spans="1:14" ht="15" thickBot="1" x14ac:dyDescent="0.35">
      <c r="A28" s="854">
        <v>1978</v>
      </c>
      <c r="B28" s="1227">
        <f t="shared" si="13"/>
        <v>1.0342687648751376</v>
      </c>
      <c r="C28" s="1233" t="s">
        <v>1115</v>
      </c>
      <c r="D28" s="1240">
        <v>-273.64789999999999</v>
      </c>
      <c r="E28" s="1241">
        <v>1.0435369999999999</v>
      </c>
      <c r="F28" s="1242" t="s">
        <v>1116</v>
      </c>
      <c r="G28" s="1243"/>
      <c r="H28" s="1245" t="s">
        <v>1118</v>
      </c>
      <c r="I28" s="1025">
        <v>2.119905299221255</v>
      </c>
      <c r="J28" s="1024"/>
    </row>
    <row r="29" spans="1:14" x14ac:dyDescent="0.3">
      <c r="A29" s="854">
        <v>1979</v>
      </c>
      <c r="B29" s="1227">
        <f t="shared" si="13"/>
        <v>1.0342687648751376</v>
      </c>
      <c r="C29" s="1233" t="s">
        <v>1115</v>
      </c>
      <c r="D29" s="1240">
        <v>-273.64789999999999</v>
      </c>
      <c r="E29" s="1241">
        <v>1.0435369999999999</v>
      </c>
      <c r="F29" s="1242" t="s">
        <v>1116</v>
      </c>
      <c r="G29" s="1243"/>
      <c r="H29" s="1243"/>
    </row>
    <row r="30" spans="1:14" x14ac:dyDescent="0.3">
      <c r="A30" s="854">
        <v>1980</v>
      </c>
      <c r="B30" s="1227">
        <f t="shared" si="13"/>
        <v>1.0342687648751376</v>
      </c>
      <c r="C30" s="1233" t="s">
        <v>1115</v>
      </c>
      <c r="D30" s="1240">
        <v>-273.64789999999999</v>
      </c>
      <c r="E30" s="1241">
        <v>1.0435369999999999</v>
      </c>
      <c r="F30" s="1242" t="s">
        <v>1116</v>
      </c>
      <c r="G30" s="1246"/>
      <c r="H30" s="1246"/>
      <c r="I30" t="s">
        <v>1119</v>
      </c>
    </row>
    <row r="31" spans="1:14" x14ac:dyDescent="0.3">
      <c r="A31" s="854">
        <v>1981</v>
      </c>
      <c r="B31" s="1227">
        <f t="shared" si="13"/>
        <v>1.0342687648751376</v>
      </c>
      <c r="C31" s="1233" t="s">
        <v>1115</v>
      </c>
      <c r="D31" s="1240">
        <v>-273.64789999999999</v>
      </c>
      <c r="E31" s="1241">
        <v>1.0435369999999999</v>
      </c>
      <c r="F31" s="1242" t="s">
        <v>1116</v>
      </c>
      <c r="G31" s="1246"/>
      <c r="H31" s="1246"/>
      <c r="I31" t="s">
        <v>1120</v>
      </c>
    </row>
    <row r="32" spans="1:14" x14ac:dyDescent="0.3">
      <c r="A32" s="854">
        <v>1982</v>
      </c>
      <c r="B32" s="1227">
        <f t="shared" si="13"/>
        <v>1.0342687648751376</v>
      </c>
      <c r="C32" s="1233" t="s">
        <v>1115</v>
      </c>
      <c r="D32" s="1240">
        <v>-273.64789999999999</v>
      </c>
      <c r="E32" s="1241">
        <v>1.0435369999999999</v>
      </c>
      <c r="F32" s="1242" t="s">
        <v>1116</v>
      </c>
      <c r="G32" s="1246"/>
      <c r="H32" s="1246"/>
    </row>
    <row r="33" spans="1:8" x14ac:dyDescent="0.3">
      <c r="A33" s="854">
        <v>1983</v>
      </c>
      <c r="B33" s="1227">
        <f t="shared" si="13"/>
        <v>1.0342687648751376</v>
      </c>
      <c r="C33" s="1233" t="s">
        <v>1115</v>
      </c>
      <c r="D33" s="1240">
        <v>-273.64789999999999</v>
      </c>
      <c r="E33" s="1241">
        <v>1.0435369999999999</v>
      </c>
      <c r="F33" s="1242" t="s">
        <v>1116</v>
      </c>
      <c r="G33" s="1246"/>
      <c r="H33" s="1246"/>
    </row>
    <row r="34" spans="1:8" x14ac:dyDescent="0.3">
      <c r="A34" s="854">
        <v>1984</v>
      </c>
      <c r="B34" s="1227">
        <f t="shared" si="13"/>
        <v>1.0342687648751376</v>
      </c>
      <c r="C34" s="1233" t="s">
        <v>1115</v>
      </c>
      <c r="D34" s="1240">
        <v>-273.64789999999999</v>
      </c>
      <c r="E34" s="1241">
        <v>1.0435369999999999</v>
      </c>
      <c r="F34" s="1242" t="s">
        <v>1116</v>
      </c>
      <c r="G34" s="1246"/>
      <c r="H34" s="1246"/>
    </row>
    <row r="35" spans="1:8" x14ac:dyDescent="0.3">
      <c r="A35" s="854">
        <v>1985</v>
      </c>
      <c r="B35" s="1227">
        <f t="shared" si="13"/>
        <v>1.0342687648751376</v>
      </c>
      <c r="C35" s="1233" t="s">
        <v>1115</v>
      </c>
      <c r="D35" s="1240">
        <v>-273.64789999999999</v>
      </c>
      <c r="E35" s="1241">
        <v>1.0435369999999999</v>
      </c>
      <c r="F35" s="1242" t="s">
        <v>1116</v>
      </c>
      <c r="G35" s="1246"/>
      <c r="H35" s="1246"/>
    </row>
    <row r="36" spans="1:8" x14ac:dyDescent="0.3">
      <c r="A36" s="854">
        <v>1986</v>
      </c>
      <c r="B36" s="1227">
        <f t="shared" si="13"/>
        <v>1.0342687648751376</v>
      </c>
      <c r="C36" s="1233" t="s">
        <v>1115</v>
      </c>
      <c r="D36" s="1240">
        <v>-273.64789999999999</v>
      </c>
      <c r="E36" s="1241">
        <v>1.0435369999999999</v>
      </c>
      <c r="F36" s="1242" t="s">
        <v>1116</v>
      </c>
      <c r="G36" s="1246"/>
      <c r="H36" s="1246"/>
    </row>
    <row r="37" spans="1:8" x14ac:dyDescent="0.3">
      <c r="A37" s="854">
        <v>1987</v>
      </c>
      <c r="B37" s="1227">
        <f t="shared" si="13"/>
        <v>1.0342687648751376</v>
      </c>
      <c r="C37" s="1233" t="s">
        <v>1115</v>
      </c>
      <c r="D37" s="1240">
        <v>-273.64789999999999</v>
      </c>
      <c r="E37" s="1241">
        <v>1.0435369999999999</v>
      </c>
      <c r="F37" s="1242" t="s">
        <v>1116</v>
      </c>
      <c r="G37" s="1246"/>
      <c r="H37" s="1246"/>
    </row>
    <row r="38" spans="1:8" x14ac:dyDescent="0.3">
      <c r="A38" s="854">
        <v>1988</v>
      </c>
      <c r="B38" s="1227">
        <f t="shared" si="13"/>
        <v>1.0342687648751376</v>
      </c>
      <c r="C38" s="1233" t="s">
        <v>1115</v>
      </c>
      <c r="D38" s="1240">
        <v>-273.64789999999999</v>
      </c>
      <c r="E38" s="1241">
        <v>1.0435369999999999</v>
      </c>
      <c r="F38" s="1242" t="s">
        <v>1116</v>
      </c>
      <c r="G38" s="1246"/>
      <c r="H38" s="1246"/>
    </row>
    <row r="39" spans="1:8" x14ac:dyDescent="0.3">
      <c r="A39" s="854">
        <v>1989</v>
      </c>
      <c r="B39" s="1227">
        <f t="shared" si="13"/>
        <v>1.0342687648751376</v>
      </c>
      <c r="C39" s="1233" t="s">
        <v>1115</v>
      </c>
      <c r="D39" s="1240">
        <v>-273.64789999999999</v>
      </c>
      <c r="E39" s="1241">
        <v>1.0435369999999999</v>
      </c>
      <c r="F39" s="1242" t="s">
        <v>1116</v>
      </c>
      <c r="G39" s="1246"/>
      <c r="H39" s="1246"/>
    </row>
    <row r="40" spans="1:8" x14ac:dyDescent="0.3">
      <c r="A40" s="854">
        <v>1990</v>
      </c>
      <c r="B40" s="1227">
        <f t="shared" si="13"/>
        <v>1.0342687648751376</v>
      </c>
      <c r="C40" s="1233" t="s">
        <v>1115</v>
      </c>
      <c r="D40" s="1240">
        <v>-273.64789999999999</v>
      </c>
      <c r="E40" s="1241">
        <v>1.0435369999999999</v>
      </c>
      <c r="F40" s="1242" t="s">
        <v>1116</v>
      </c>
      <c r="G40" s="1246"/>
      <c r="H40" s="1246"/>
    </row>
    <row r="41" spans="1:8" x14ac:dyDescent="0.3">
      <c r="A41" s="854">
        <v>1991</v>
      </c>
      <c r="B41" s="1227">
        <f t="shared" si="13"/>
        <v>1.0342687648751376</v>
      </c>
      <c r="C41" s="1233" t="s">
        <v>1115</v>
      </c>
      <c r="D41" s="1240">
        <v>-273.64789999999999</v>
      </c>
      <c r="E41" s="1241">
        <v>1.0435369999999999</v>
      </c>
      <c r="F41" s="1242" t="s">
        <v>1116</v>
      </c>
      <c r="G41" s="1246"/>
      <c r="H41" s="1246"/>
    </row>
    <row r="42" spans="1:8" x14ac:dyDescent="0.3">
      <c r="A42" s="854">
        <v>1992</v>
      </c>
      <c r="B42" s="1227">
        <f t="shared" si="13"/>
        <v>1.0342687648751376</v>
      </c>
      <c r="C42" s="1233" t="s">
        <v>1115</v>
      </c>
      <c r="D42" s="1240">
        <v>-273.64789999999999</v>
      </c>
      <c r="E42" s="1241">
        <v>1.0435369999999999</v>
      </c>
      <c r="F42" s="1242" t="s">
        <v>1116</v>
      </c>
      <c r="G42" s="1246"/>
      <c r="H42" s="1246"/>
    </row>
    <row r="43" spans="1:8" x14ac:dyDescent="0.3">
      <c r="A43" s="854">
        <v>1993</v>
      </c>
      <c r="B43" s="1227">
        <f t="shared" si="13"/>
        <v>1.0342687648751376</v>
      </c>
      <c r="C43" s="1233" t="s">
        <v>1115</v>
      </c>
      <c r="D43" s="1240">
        <v>-273.64789999999999</v>
      </c>
      <c r="E43" s="1241">
        <v>1.0435369999999999</v>
      </c>
      <c r="F43" s="1242" t="s">
        <v>1116</v>
      </c>
      <c r="G43" s="1246"/>
      <c r="H43" s="1246"/>
    </row>
    <row r="44" spans="1:8" x14ac:dyDescent="0.3">
      <c r="A44" s="1057">
        <v>1994</v>
      </c>
      <c r="B44" s="1228">
        <f t="shared" ref="B44:B50" si="14">G15</f>
        <v>1.0361464119929991</v>
      </c>
      <c r="C44" s="1827" t="s">
        <v>1121</v>
      </c>
      <c r="D44" s="1240">
        <v>-273.64789999999999</v>
      </c>
      <c r="E44" s="1241">
        <v>1.0435369999999999</v>
      </c>
      <c r="F44" s="1242" t="s">
        <v>1116</v>
      </c>
      <c r="G44" s="1243"/>
      <c r="H44" s="1243"/>
    </row>
    <row r="45" spans="1:8" x14ac:dyDescent="0.3">
      <c r="A45" s="1057">
        <v>1995</v>
      </c>
      <c r="B45" s="1228">
        <f t="shared" si="14"/>
        <v>1.0394490358126722</v>
      </c>
      <c r="C45" s="1827" t="s">
        <v>1122</v>
      </c>
      <c r="D45" s="1240">
        <v>-273.64789999999999</v>
      </c>
      <c r="E45" s="1241">
        <v>1.0435369999999999</v>
      </c>
      <c r="F45" s="1242" t="s">
        <v>1116</v>
      </c>
      <c r="G45" s="1243"/>
      <c r="H45" s="1243"/>
    </row>
    <row r="46" spans="1:8" x14ac:dyDescent="0.3">
      <c r="A46" s="1057">
        <v>1996</v>
      </c>
      <c r="B46" s="1228">
        <f t="shared" si="14"/>
        <v>1.030209637548557</v>
      </c>
      <c r="C46" s="1827" t="s">
        <v>1123</v>
      </c>
      <c r="D46" s="1240">
        <v>-273.64789999999999</v>
      </c>
      <c r="E46" s="1241">
        <v>1.0435369999999999</v>
      </c>
      <c r="F46" s="1242" t="s">
        <v>1116</v>
      </c>
      <c r="G46" s="1243"/>
      <c r="H46" s="1243"/>
    </row>
    <row r="47" spans="1:8" x14ac:dyDescent="0.3">
      <c r="A47" s="1057">
        <v>1997</v>
      </c>
      <c r="B47" s="1228">
        <f t="shared" si="14"/>
        <v>1.0278200663176993</v>
      </c>
      <c r="C47" s="1827" t="s">
        <v>1124</v>
      </c>
      <c r="D47" s="1240">
        <v>-273.64789999999999</v>
      </c>
      <c r="E47" s="1241">
        <v>1.0435369999999999</v>
      </c>
      <c r="F47" s="1242" t="s">
        <v>1116</v>
      </c>
      <c r="G47" s="1243"/>
      <c r="H47" s="1243"/>
    </row>
    <row r="48" spans="1:8" x14ac:dyDescent="0.3">
      <c r="A48" s="1057">
        <v>1998</v>
      </c>
      <c r="B48" s="1228">
        <f t="shared" si="14"/>
        <v>1.0288525560405415</v>
      </c>
      <c r="C48" s="1827" t="s">
        <v>1125</v>
      </c>
      <c r="D48" s="1240">
        <v>-273.64789999999999</v>
      </c>
      <c r="E48" s="1241">
        <v>1.0435369999999999</v>
      </c>
      <c r="F48" s="1242" t="s">
        <v>1116</v>
      </c>
      <c r="G48" s="1243"/>
      <c r="H48" s="1243"/>
    </row>
    <row r="49" spans="1:8" x14ac:dyDescent="0.3">
      <c r="A49" s="1057">
        <v>1999</v>
      </c>
      <c r="B49" s="1228">
        <f t="shared" si="14"/>
        <v>1.0232978840039468</v>
      </c>
      <c r="C49" s="1827" t="s">
        <v>1126</v>
      </c>
      <c r="D49" s="1240">
        <v>-273.64789999999999</v>
      </c>
      <c r="E49" s="1241">
        <v>1.0435369999999999</v>
      </c>
      <c r="F49" s="1242" t="s">
        <v>1116</v>
      </c>
      <c r="G49" s="1243"/>
      <c r="H49" s="1243"/>
    </row>
    <row r="50" spans="1:8" x14ac:dyDescent="0.3">
      <c r="A50" s="1057">
        <v>2000</v>
      </c>
      <c r="B50" s="1228">
        <f t="shared" si="14"/>
        <v>1.0424758029714567</v>
      </c>
      <c r="C50" s="1827" t="s">
        <v>1127</v>
      </c>
      <c r="D50" s="1240">
        <v>-273.64789999999999</v>
      </c>
      <c r="E50" s="1241">
        <v>1.0435369999999999</v>
      </c>
      <c r="F50" s="1242" t="s">
        <v>1116</v>
      </c>
      <c r="G50" s="1243"/>
      <c r="H50" s="1243"/>
    </row>
    <row r="51" spans="1:8" x14ac:dyDescent="0.3">
      <c r="A51" s="854">
        <v>2001</v>
      </c>
      <c r="B51" s="1228">
        <f>AVERAGE($G$23,$J$12)</f>
        <v>1.0431852097427887</v>
      </c>
      <c r="C51" s="1231" t="s">
        <v>1128</v>
      </c>
      <c r="D51" s="1240">
        <v>-273.64789999999999</v>
      </c>
      <c r="E51" s="1241">
        <v>1.0435369999999999</v>
      </c>
      <c r="F51" s="1242" t="s">
        <v>1116</v>
      </c>
      <c r="G51" s="1243"/>
      <c r="H51" s="1243"/>
    </row>
    <row r="52" spans="1:8" x14ac:dyDescent="0.3">
      <c r="A52" s="1057">
        <v>2002</v>
      </c>
      <c r="B52" s="1228">
        <f>G22</f>
        <v>1.0311099806296347</v>
      </c>
      <c r="C52" s="1827" t="s">
        <v>1129</v>
      </c>
      <c r="D52" s="1240">
        <v>-273.64789999999999</v>
      </c>
      <c r="E52" s="1241">
        <v>1.0435369999999999</v>
      </c>
      <c r="F52" s="1242" t="s">
        <v>1116</v>
      </c>
      <c r="G52" s="1243"/>
      <c r="H52" s="1243"/>
    </row>
    <row r="53" spans="1:8" x14ac:dyDescent="0.3">
      <c r="A53" s="854">
        <v>2003</v>
      </c>
      <c r="B53" s="1228">
        <f t="shared" ref="B53:B62" si="15">AVERAGE($G$23,$J$12)</f>
        <v>1.0431852097427887</v>
      </c>
      <c r="C53" s="1231" t="s">
        <v>1128</v>
      </c>
      <c r="D53" s="1240">
        <v>-273.64789999999999</v>
      </c>
      <c r="E53" s="1241">
        <v>1.0435369999999999</v>
      </c>
      <c r="F53" s="1242" t="s">
        <v>1116</v>
      </c>
      <c r="G53" s="1243"/>
      <c r="H53" s="1243"/>
    </row>
    <row r="54" spans="1:8" x14ac:dyDescent="0.3">
      <c r="A54" s="854">
        <v>2004</v>
      </c>
      <c r="B54" s="1228">
        <f t="shared" si="15"/>
        <v>1.0431852097427887</v>
      </c>
      <c r="C54" s="1231" t="s">
        <v>1128</v>
      </c>
      <c r="D54" s="1240">
        <v>-273.64789999999999</v>
      </c>
      <c r="E54" s="1241">
        <v>1.0435369999999999</v>
      </c>
      <c r="F54" s="1242" t="s">
        <v>1116</v>
      </c>
      <c r="G54" s="1243"/>
      <c r="H54" s="1243"/>
    </row>
    <row r="55" spans="1:8" x14ac:dyDescent="0.3">
      <c r="A55" s="854">
        <v>2005</v>
      </c>
      <c r="B55" s="1228">
        <f t="shared" si="15"/>
        <v>1.0431852097427887</v>
      </c>
      <c r="C55" s="1231" t="s">
        <v>1128</v>
      </c>
      <c r="D55" s="1240">
        <v>-273.64789999999999</v>
      </c>
      <c r="E55" s="1241">
        <v>1.0435369999999999</v>
      </c>
      <c r="F55" s="1242" t="s">
        <v>1116</v>
      </c>
      <c r="G55" s="1243"/>
      <c r="H55" s="1243"/>
    </row>
    <row r="56" spans="1:8" x14ac:dyDescent="0.3">
      <c r="A56" s="854">
        <v>2006</v>
      </c>
      <c r="B56" s="1228">
        <f t="shared" si="15"/>
        <v>1.0431852097427887</v>
      </c>
      <c r="C56" s="1231" t="s">
        <v>1128</v>
      </c>
      <c r="D56" s="1240">
        <v>-273.64789999999999</v>
      </c>
      <c r="E56" s="1241">
        <v>1.0435369999999999</v>
      </c>
      <c r="F56" s="1242" t="s">
        <v>1116</v>
      </c>
      <c r="G56" s="1243"/>
      <c r="H56" s="1243"/>
    </row>
    <row r="57" spans="1:8" x14ac:dyDescent="0.3">
      <c r="A57" s="854">
        <v>2007</v>
      </c>
      <c r="B57" s="1228">
        <f t="shared" si="15"/>
        <v>1.0431852097427887</v>
      </c>
      <c r="C57" s="1231" t="s">
        <v>1128</v>
      </c>
      <c r="D57" s="1240">
        <v>-273.64789999999999</v>
      </c>
      <c r="E57" s="1241">
        <v>1.0435369999999999</v>
      </c>
      <c r="F57" s="1242" t="s">
        <v>1116</v>
      </c>
      <c r="G57" s="1243"/>
      <c r="H57" s="1243"/>
    </row>
    <row r="58" spans="1:8" x14ac:dyDescent="0.3">
      <c r="A58" s="854">
        <v>2008</v>
      </c>
      <c r="B58" s="1228">
        <f t="shared" si="15"/>
        <v>1.0431852097427887</v>
      </c>
      <c r="C58" s="1231" t="s">
        <v>1128</v>
      </c>
      <c r="D58" s="1237">
        <v>-2550.8090000000002</v>
      </c>
      <c r="E58" s="1850">
        <v>1.063053</v>
      </c>
      <c r="F58" s="1238" t="s">
        <v>1130</v>
      </c>
      <c r="G58" s="1239"/>
      <c r="H58" s="1239"/>
    </row>
    <row r="59" spans="1:8" x14ac:dyDescent="0.3">
      <c r="A59" s="854">
        <v>2009</v>
      </c>
      <c r="B59" s="1228">
        <f t="shared" si="15"/>
        <v>1.0431852097427887</v>
      </c>
      <c r="C59" s="1231" t="s">
        <v>1128</v>
      </c>
      <c r="D59" s="1237">
        <v>-2550.8090000000002</v>
      </c>
      <c r="E59" s="1850">
        <v>1.063053</v>
      </c>
      <c r="F59" s="1238" t="s">
        <v>1130</v>
      </c>
      <c r="G59" s="1239"/>
      <c r="H59" s="1239"/>
    </row>
    <row r="60" spans="1:8" x14ac:dyDescent="0.3">
      <c r="A60" s="854">
        <v>2010</v>
      </c>
      <c r="B60" s="1228">
        <f t="shared" si="15"/>
        <v>1.0431852097427887</v>
      </c>
      <c r="C60" s="1231" t="s">
        <v>1128</v>
      </c>
      <c r="D60" s="1237">
        <v>-2550.8090000000002</v>
      </c>
      <c r="E60" s="1850">
        <v>1.063053</v>
      </c>
      <c r="F60" s="1238" t="s">
        <v>1130</v>
      </c>
      <c r="G60" s="1239"/>
      <c r="H60" s="1239"/>
    </row>
    <row r="61" spans="1:8" x14ac:dyDescent="0.3">
      <c r="A61" s="854">
        <v>2011</v>
      </c>
      <c r="B61" s="1228">
        <f t="shared" si="15"/>
        <v>1.0431852097427887</v>
      </c>
      <c r="C61" s="1231" t="s">
        <v>1128</v>
      </c>
      <c r="D61" s="1237">
        <v>-2550.8090000000002</v>
      </c>
      <c r="E61" s="1850">
        <v>1.063053</v>
      </c>
      <c r="F61" s="1238" t="s">
        <v>1130</v>
      </c>
      <c r="G61" s="1239"/>
      <c r="H61" s="1239"/>
    </row>
    <row r="62" spans="1:8" x14ac:dyDescent="0.3">
      <c r="A62" s="854">
        <v>2012</v>
      </c>
      <c r="B62" s="1228">
        <f t="shared" si="15"/>
        <v>1.0431852097427887</v>
      </c>
      <c r="C62" s="1231" t="s">
        <v>1128</v>
      </c>
      <c r="D62" s="1237">
        <v>-2550.8090000000002</v>
      </c>
      <c r="E62" s="1850">
        <v>1.063053</v>
      </c>
      <c r="F62" s="1238" t="s">
        <v>1130</v>
      </c>
      <c r="G62" s="1239"/>
      <c r="H62" s="1239"/>
    </row>
    <row r="63" spans="1:8" x14ac:dyDescent="0.3">
      <c r="A63" s="1057">
        <v>2013</v>
      </c>
      <c r="B63" s="1228">
        <f>J2</f>
        <v>1.0621987791864953</v>
      </c>
      <c r="C63" s="1827" t="s">
        <v>1131</v>
      </c>
      <c r="D63" s="1237">
        <v>-2550.8090000000002</v>
      </c>
      <c r="E63" s="1850">
        <v>1.063053</v>
      </c>
      <c r="F63" s="1238" t="s">
        <v>1130</v>
      </c>
      <c r="G63" s="1239"/>
      <c r="H63" s="1239"/>
    </row>
    <row r="64" spans="1:8" x14ac:dyDescent="0.3">
      <c r="A64" s="1057">
        <v>2014</v>
      </c>
      <c r="B64" s="1228">
        <f t="shared" ref="B64:B72" si="16">J3</f>
        <v>1.0638278735881874</v>
      </c>
      <c r="C64" s="1827" t="s">
        <v>1132</v>
      </c>
      <c r="D64" s="1237">
        <v>-2550.8090000000002</v>
      </c>
      <c r="E64" s="1850">
        <v>1.063053</v>
      </c>
      <c r="F64" s="1238" t="s">
        <v>1130</v>
      </c>
      <c r="G64" s="1239"/>
      <c r="H64" s="1239"/>
    </row>
    <row r="65" spans="1:8" x14ac:dyDescent="0.3">
      <c r="A65" s="1057">
        <v>2015</v>
      </c>
      <c r="B65" s="1228">
        <f t="shared" si="16"/>
        <v>1.0632736317677876</v>
      </c>
      <c r="C65" s="1827" t="s">
        <v>1133</v>
      </c>
      <c r="D65" s="1237">
        <v>-2550.8090000000002</v>
      </c>
      <c r="E65" s="1850">
        <v>1.063053</v>
      </c>
      <c r="F65" s="1238" t="s">
        <v>1130</v>
      </c>
      <c r="G65" s="1239"/>
      <c r="H65" s="1239"/>
    </row>
    <row r="66" spans="1:8" x14ac:dyDescent="0.3">
      <c r="A66" s="1057">
        <v>2016</v>
      </c>
      <c r="B66" s="1228">
        <f t="shared" si="16"/>
        <v>1.0429454539357117</v>
      </c>
      <c r="C66" s="1827" t="s">
        <v>1134</v>
      </c>
      <c r="D66" s="1237">
        <v>-2550.8090000000002</v>
      </c>
      <c r="E66" s="1850">
        <v>1.063053</v>
      </c>
      <c r="F66" s="1238" t="s">
        <v>1130</v>
      </c>
      <c r="G66" s="1239"/>
      <c r="H66" s="1239"/>
    </row>
    <row r="67" spans="1:8" x14ac:dyDescent="0.3">
      <c r="A67" s="1057">
        <v>2017</v>
      </c>
      <c r="B67" s="1228">
        <f t="shared" si="16"/>
        <v>1.0261130565282641</v>
      </c>
      <c r="C67" s="1827" t="s">
        <v>1135</v>
      </c>
      <c r="D67" s="1237">
        <v>-2550.8090000000002</v>
      </c>
      <c r="E67" s="1850">
        <v>1.063053</v>
      </c>
      <c r="F67" s="1238" t="s">
        <v>1130</v>
      </c>
      <c r="G67" s="1239"/>
      <c r="H67" s="1239"/>
    </row>
    <row r="68" spans="1:8" x14ac:dyDescent="0.3">
      <c r="A68" s="1057">
        <v>2018</v>
      </c>
      <c r="B68" s="1228">
        <f t="shared" si="16"/>
        <v>1.0221801665404997</v>
      </c>
      <c r="C68" s="1827" t="s">
        <v>1136</v>
      </c>
      <c r="D68" s="1237">
        <v>-2550.8090000000002</v>
      </c>
      <c r="E68" s="1850">
        <v>1.063053</v>
      </c>
      <c r="F68" s="1238" t="s">
        <v>1130</v>
      </c>
      <c r="G68" s="1239"/>
      <c r="H68" s="1239"/>
    </row>
    <row r="69" spans="1:8" x14ac:dyDescent="0.3">
      <c r="A69" s="1057">
        <v>2019</v>
      </c>
      <c r="B69" s="1228">
        <f t="shared" si="16"/>
        <v>1.0487786478371732</v>
      </c>
      <c r="C69" s="1827" t="s">
        <v>1137</v>
      </c>
      <c r="D69" s="1237">
        <v>-2550.8090000000002</v>
      </c>
      <c r="E69" s="1850">
        <v>1.063053</v>
      </c>
      <c r="F69" s="1238" t="s">
        <v>1130</v>
      </c>
      <c r="G69" s="1239"/>
      <c r="H69" s="1239"/>
    </row>
    <row r="70" spans="1:8" x14ac:dyDescent="0.3">
      <c r="A70" s="1057">
        <v>2020</v>
      </c>
      <c r="B70" s="1228">
        <f t="shared" si="16"/>
        <v>1.0442337542475983</v>
      </c>
      <c r="C70" s="1827" t="s">
        <v>1138</v>
      </c>
      <c r="D70" s="1237">
        <v>-2550.8090000000002</v>
      </c>
      <c r="E70" s="1850">
        <v>1.063053</v>
      </c>
      <c r="F70" s="1238" t="s">
        <v>1130</v>
      </c>
      <c r="G70" s="1239"/>
      <c r="H70" s="1239"/>
    </row>
    <row r="71" spans="1:8" x14ac:dyDescent="0.3">
      <c r="A71" s="1057">
        <v>2021</v>
      </c>
      <c r="B71" s="1228">
        <f t="shared" si="16"/>
        <v>1.0606508875739644</v>
      </c>
      <c r="C71" s="1827" t="s">
        <v>1139</v>
      </c>
      <c r="D71" s="1237">
        <v>-2550.8090000000002</v>
      </c>
      <c r="E71" s="1850">
        <v>1.063053</v>
      </c>
      <c r="F71" s="1238" t="s">
        <v>1130</v>
      </c>
      <c r="G71" s="1239"/>
      <c r="H71" s="1239"/>
    </row>
    <row r="72" spans="1:8" x14ac:dyDescent="0.3">
      <c r="A72" s="1057">
        <v>2022</v>
      </c>
      <c r="B72" s="1228">
        <f t="shared" si="16"/>
        <v>1.0483942936915247</v>
      </c>
      <c r="C72" s="1827" t="s">
        <v>1140</v>
      </c>
      <c r="D72" s="1237">
        <v>-2550.8090000000002</v>
      </c>
      <c r="E72" s="1850">
        <v>1.063053</v>
      </c>
      <c r="F72" s="1238" t="s">
        <v>1130</v>
      </c>
      <c r="G72" s="1239"/>
      <c r="H72" s="1239"/>
    </row>
    <row r="73" spans="1:8" x14ac:dyDescent="0.3">
      <c r="A73" s="854">
        <v>2023</v>
      </c>
      <c r="B73" s="1228"/>
      <c r="C73" s="1232"/>
      <c r="D73" s="1237">
        <v>-2550.8090000000002</v>
      </c>
      <c r="E73" s="1850">
        <v>1.063053</v>
      </c>
      <c r="F73" s="1238" t="s">
        <v>1130</v>
      </c>
      <c r="G73" s="1239"/>
      <c r="H73" s="1239"/>
    </row>
    <row r="74" spans="1:8" x14ac:dyDescent="0.3">
      <c r="A74" s="854">
        <v>2024</v>
      </c>
      <c r="B74" s="1228"/>
      <c r="C74" s="1232"/>
      <c r="D74" s="1237">
        <v>-2550.8090000000002</v>
      </c>
      <c r="E74" s="1850">
        <v>1.063053</v>
      </c>
      <c r="F74" s="1238" t="s">
        <v>1130</v>
      </c>
      <c r="G74" s="1239"/>
      <c r="H74" s="1239"/>
    </row>
    <row r="75" spans="1:8" ht="15" thickBot="1" x14ac:dyDescent="0.35">
      <c r="A75" s="854">
        <v>2025</v>
      </c>
      <c r="B75" s="1230"/>
      <c r="C75" s="1229"/>
      <c r="D75" s="1237"/>
      <c r="E75" s="1026"/>
    </row>
    <row r="81" spans="2:6" x14ac:dyDescent="0.3">
      <c r="C81" s="664" t="s">
        <v>1141</v>
      </c>
    </row>
    <row r="82" spans="2:6" ht="15" thickBot="1" x14ac:dyDescent="0.35">
      <c r="B82" s="2260"/>
      <c r="C82" s="2261" t="s">
        <v>1142</v>
      </c>
      <c r="D82" s="2261" t="s">
        <v>1143</v>
      </c>
      <c r="E82" s="2261" t="s">
        <v>1144</v>
      </c>
      <c r="F82" s="2261" t="s">
        <v>417</v>
      </c>
    </row>
    <row r="83" spans="2:6" ht="15" thickBot="1" x14ac:dyDescent="0.35">
      <c r="B83" s="2262">
        <v>11</v>
      </c>
      <c r="C83" s="2263">
        <v>1994</v>
      </c>
      <c r="D83" s="2265">
        <v>12666</v>
      </c>
      <c r="E83" s="2265">
        <v>13141</v>
      </c>
      <c r="F83" s="2265">
        <f>E83-D83</f>
        <v>475</v>
      </c>
    </row>
    <row r="84" spans="2:6" ht="15" thickBot="1" x14ac:dyDescent="0.35">
      <c r="B84" s="2262">
        <v>12</v>
      </c>
      <c r="C84" s="2263">
        <v>1995</v>
      </c>
      <c r="D84" s="2265">
        <v>8717</v>
      </c>
      <c r="E84" s="2265">
        <v>9075</v>
      </c>
      <c r="F84" s="2265">
        <f t="shared" ref="F84:F100" si="17">E84-D84</f>
        <v>358</v>
      </c>
    </row>
    <row r="85" spans="2:6" ht="15" thickBot="1" x14ac:dyDescent="0.35">
      <c r="B85" s="2262">
        <v>13</v>
      </c>
      <c r="C85" s="2263">
        <v>1996</v>
      </c>
      <c r="D85" s="2265">
        <v>30208</v>
      </c>
      <c r="E85" s="2265">
        <v>31149</v>
      </c>
      <c r="F85" s="2265">
        <f t="shared" si="17"/>
        <v>941</v>
      </c>
    </row>
    <row r="86" spans="2:6" ht="15" thickBot="1" x14ac:dyDescent="0.35">
      <c r="B86" s="2262">
        <v>14</v>
      </c>
      <c r="C86" s="2263">
        <v>1997</v>
      </c>
      <c r="D86" s="2265">
        <v>46617</v>
      </c>
      <c r="E86" s="2265">
        <v>47951</v>
      </c>
      <c r="F86" s="2265">
        <f>E86-D86</f>
        <v>1334</v>
      </c>
    </row>
    <row r="87" spans="2:6" ht="15" thickBot="1" x14ac:dyDescent="0.35">
      <c r="B87" s="2262">
        <v>15</v>
      </c>
      <c r="C87" s="2263">
        <v>1998</v>
      </c>
      <c r="D87" s="2265">
        <v>13127</v>
      </c>
      <c r="E87" s="2265">
        <v>13517</v>
      </c>
      <c r="F87" s="2265">
        <f t="shared" si="17"/>
        <v>390</v>
      </c>
    </row>
    <row r="88" spans="2:6" ht="15" thickBot="1" x14ac:dyDescent="0.35">
      <c r="B88" s="2262">
        <v>16</v>
      </c>
      <c r="C88" s="2263">
        <v>1999</v>
      </c>
      <c r="D88" s="2265">
        <v>17817</v>
      </c>
      <c r="E88" s="2265">
        <v>18242</v>
      </c>
      <c r="F88" s="2265">
        <f t="shared" si="17"/>
        <v>425</v>
      </c>
    </row>
    <row r="89" spans="2:6" ht="15" thickBot="1" x14ac:dyDescent="0.35">
      <c r="B89" s="2262">
        <v>17</v>
      </c>
      <c r="C89" s="2263">
        <v>2000</v>
      </c>
      <c r="D89" s="2265">
        <v>93192</v>
      </c>
      <c r="E89" s="2265">
        <v>97326</v>
      </c>
      <c r="F89" s="2265">
        <f>E89-D89</f>
        <v>4134</v>
      </c>
    </row>
    <row r="90" spans="2:6" ht="15" thickBot="1" x14ac:dyDescent="0.35">
      <c r="B90" s="2262">
        <v>18</v>
      </c>
      <c r="C90" s="2263">
        <v>2002</v>
      </c>
      <c r="D90" s="2265">
        <v>49519</v>
      </c>
      <c r="E90" s="2265">
        <v>51109</v>
      </c>
      <c r="F90" s="2265">
        <f t="shared" si="17"/>
        <v>1590</v>
      </c>
    </row>
    <row r="91" spans="2:6" ht="15" thickBot="1" x14ac:dyDescent="0.35">
      <c r="B91" s="2262">
        <v>1</v>
      </c>
      <c r="C91" s="2263">
        <v>2013</v>
      </c>
      <c r="D91" s="2265">
        <v>185438</v>
      </c>
      <c r="E91" s="2265">
        <v>197737</v>
      </c>
      <c r="F91" s="2265">
        <f t="shared" si="17"/>
        <v>12299</v>
      </c>
    </row>
    <row r="92" spans="2:6" ht="15" thickBot="1" x14ac:dyDescent="0.35">
      <c r="B92" s="2262">
        <v>2</v>
      </c>
      <c r="C92" s="2263">
        <v>2014</v>
      </c>
      <c r="D92" s="2265">
        <v>614113</v>
      </c>
      <c r="E92" s="2265">
        <v>655983</v>
      </c>
      <c r="F92" s="2265">
        <f>E92-D92</f>
        <v>41870</v>
      </c>
    </row>
    <row r="93" spans="2:6" ht="15" thickBot="1" x14ac:dyDescent="0.35">
      <c r="B93" s="2262">
        <v>3</v>
      </c>
      <c r="C93" s="2263">
        <v>2015</v>
      </c>
      <c r="D93" s="2265">
        <v>510662</v>
      </c>
      <c r="E93" s="2265">
        <v>545156</v>
      </c>
      <c r="F93" s="2265">
        <f t="shared" si="17"/>
        <v>34494</v>
      </c>
    </row>
    <row r="94" spans="2:6" ht="15" thickBot="1" x14ac:dyDescent="0.35">
      <c r="B94" s="2262">
        <v>4</v>
      </c>
      <c r="C94" s="2263">
        <v>2016</v>
      </c>
      <c r="D94" s="2265">
        <v>342459</v>
      </c>
      <c r="E94" s="2265">
        <v>357826</v>
      </c>
      <c r="F94" s="2265">
        <f t="shared" si="17"/>
        <v>15367</v>
      </c>
    </row>
    <row r="95" spans="2:6" ht="15" thickBot="1" x14ac:dyDescent="0.35">
      <c r="B95" s="2262">
        <v>5</v>
      </c>
      <c r="C95" s="2263">
        <v>2017</v>
      </c>
      <c r="D95" s="2265">
        <v>87606</v>
      </c>
      <c r="E95" s="2265">
        <v>89955</v>
      </c>
      <c r="F95" s="2265">
        <f>E95-D95</f>
        <v>2349</v>
      </c>
    </row>
    <row r="96" spans="2:6" ht="15" thickBot="1" x14ac:dyDescent="0.35">
      <c r="B96" s="2262">
        <v>6</v>
      </c>
      <c r="C96" s="2263">
        <v>2018</v>
      </c>
      <c r="D96" s="2265">
        <v>193755</v>
      </c>
      <c r="E96" s="2265">
        <v>198150</v>
      </c>
      <c r="F96" s="2265">
        <f t="shared" si="17"/>
        <v>4395</v>
      </c>
    </row>
    <row r="97" spans="2:9" ht="15" thickBot="1" x14ac:dyDescent="0.35">
      <c r="B97" s="2262">
        <v>7</v>
      </c>
      <c r="C97" s="2263">
        <v>2019</v>
      </c>
      <c r="D97" s="2265">
        <v>63046</v>
      </c>
      <c r="E97" s="2265">
        <v>66279</v>
      </c>
      <c r="F97" s="2265">
        <f t="shared" si="17"/>
        <v>3233</v>
      </c>
    </row>
    <row r="98" spans="2:9" ht="15" thickBot="1" x14ac:dyDescent="0.35">
      <c r="B98" s="2262">
        <v>8</v>
      </c>
      <c r="C98" s="2263">
        <v>2020</v>
      </c>
      <c r="D98" s="2265">
        <v>341739</v>
      </c>
      <c r="E98" s="2265">
        <v>357555</v>
      </c>
      <c r="F98" s="2265">
        <f>E98-D98</f>
        <v>15816</v>
      </c>
    </row>
    <row r="99" spans="2:9" ht="15" thickBot="1" x14ac:dyDescent="0.35">
      <c r="B99" s="2262">
        <v>9</v>
      </c>
      <c r="C99" s="2263">
        <v>2021</v>
      </c>
      <c r="D99" s="2265">
        <v>151765</v>
      </c>
      <c r="E99" s="2265">
        <v>161564</v>
      </c>
      <c r="F99" s="2265">
        <f t="shared" si="17"/>
        <v>9799</v>
      </c>
    </row>
    <row r="100" spans="2:9" ht="15" thickBot="1" x14ac:dyDescent="0.35">
      <c r="B100" s="2262">
        <v>10</v>
      </c>
      <c r="C100" s="2263">
        <v>2022</v>
      </c>
      <c r="D100" s="2265">
        <v>663253</v>
      </c>
      <c r="E100" s="2265">
        <v>696983</v>
      </c>
      <c r="F100" s="2265">
        <f t="shared" si="17"/>
        <v>33730</v>
      </c>
      <c r="I100">
        <f>SQRT(0.94)</f>
        <v>0.96953597148326576</v>
      </c>
    </row>
    <row r="101" spans="2:9" ht="28.8" x14ac:dyDescent="0.3">
      <c r="B101" s="2264" t="s">
        <v>1145</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9" t="str">
        <f>'Sockeye Returns Data'!A1</f>
        <v>Return Year</v>
      </c>
      <c r="B1" s="1768" t="str">
        <f>'Sockeye Returns Data'!C1</f>
        <v>Total Sox (Mouth)  [24-hour]</v>
      </c>
      <c r="C1" s="1768" t="str">
        <f>'Sockeye Returns Data'!E1</f>
        <v>Total Sox (Bonn)  [24-hour]</v>
      </c>
      <c r="D1" s="1768" t="str">
        <f>'Sockeye Returns Data'!AD1</f>
        <v>Estimated Okanagan Sockeye Returns</v>
      </c>
      <c r="E1" s="950" t="str">
        <f>'Sockeye Returns Data'!BW1</f>
        <v>Estimated Osoyoos Sockeye Returns (N-O)</v>
      </c>
      <c r="F1" s="950" t="str">
        <f>'Sockeye Returns Data'!BX1</f>
        <v>Estimated Skaha Sockeye Returns (H-O&amp;N-O)</v>
      </c>
      <c r="G1" s="950" t="str">
        <f>'Sockeye Returns Data'!AW1</f>
        <v xml:space="preserve">Ok Sox @Wells (incl. Harvest) </v>
      </c>
      <c r="H1" s="950" t="s">
        <v>1146</v>
      </c>
      <c r="I1" s="1769" t="s">
        <v>1147</v>
      </c>
      <c r="J1" s="1770" t="s">
        <v>1148</v>
      </c>
    </row>
    <row r="2" spans="1:10" x14ac:dyDescent="0.3">
      <c r="A2" s="489">
        <f>'Sockeye Returns Data'!A2</f>
        <v>1977</v>
      </c>
      <c r="B2" s="1765">
        <f>'Sockeye Returns Data'!C2</f>
        <v>103901.607273</v>
      </c>
      <c r="C2" s="1766">
        <f>'Sockeye Returns Data'!E2</f>
        <v>103901.607273</v>
      </c>
      <c r="D2" s="733">
        <f>'Sockeye Returns Data'!AD2</f>
        <v>33101.954327359999</v>
      </c>
      <c r="E2" s="1766">
        <f>'Sockeye Returns Data'!BW2</f>
        <v>0</v>
      </c>
      <c r="F2" s="1766">
        <f>'Sockeye Returns Data'!BX2</f>
        <v>0</v>
      </c>
      <c r="G2" s="1766">
        <f>'Sockeye Returns Data'!AW2</f>
        <v>24873.435999999998</v>
      </c>
      <c r="H2" s="735">
        <f>D2-G2</f>
        <v>8228.5183273600014</v>
      </c>
      <c r="I2" s="1767">
        <f>IF(G2/D2&gt;1,1,G2/D2)</f>
        <v>0.75141895714118534</v>
      </c>
      <c r="J2" s="1767">
        <f>G2/((C2-Total_Sockeye__Snake)*OK_Stock_Comp_______Best)</f>
        <v>0.75141895714118534</v>
      </c>
    </row>
    <row r="3" spans="1:10" x14ac:dyDescent="0.3">
      <c r="A3" s="669">
        <f>'Sockeye Returns Data'!A3</f>
        <v>1978</v>
      </c>
      <c r="B3" s="1763">
        <f>'Sockeye Returns Data'!C3</f>
        <v>18965.000231999999</v>
      </c>
      <c r="C3" s="1762">
        <f>'Sockeye Returns Data'!E3</f>
        <v>18965.000231999999</v>
      </c>
      <c r="D3" s="726">
        <f>'Sockeye Returns Data'!AD3</f>
        <v>11870.46014616</v>
      </c>
      <c r="E3" s="1762">
        <f>'Sockeye Returns Data'!BW3</f>
        <v>0</v>
      </c>
      <c r="F3" s="1762">
        <f>'Sockeye Returns Data'!BX3</f>
        <v>0</v>
      </c>
      <c r="G3" s="1762">
        <f>'Sockeye Returns Data'!AW3</f>
        <v>8653.0079999999998</v>
      </c>
      <c r="H3" s="728">
        <f t="shared" ref="H3:H47" si="0">D3-G3</f>
        <v>3217.4521461599998</v>
      </c>
      <c r="I3" s="1764">
        <f t="shared" ref="I3:I47" si="1">IF(G3/D3&gt;1,1,G3/D3)</f>
        <v>0.72895303917929244</v>
      </c>
      <c r="J3" s="1764">
        <f>IF(G3/((C3-'Sockeye Returns Data'!F3)*'Sockeye Returns Data'!U3)&gt;1,1,G3/((C3-'Sockeye Returns Data'!F3)*'Sockeye Returns Data'!U3))</f>
        <v>0.72895303917929244</v>
      </c>
    </row>
    <row r="4" spans="1:10" x14ac:dyDescent="0.3">
      <c r="A4" s="669">
        <f>'Sockeye Returns Data'!A4</f>
        <v>1979</v>
      </c>
      <c r="B4" s="1763">
        <f>'Sockeye Returns Data'!C4</f>
        <v>54645.617335999996</v>
      </c>
      <c r="C4" s="1762">
        <f>'Sockeye Returns Data'!E4</f>
        <v>54645.617335999996</v>
      </c>
      <c r="D4" s="726">
        <f>'Sockeye Returns Data'!AD4</f>
        <v>34957.195095039999</v>
      </c>
      <c r="E4" s="1762">
        <f>'Sockeye Returns Data'!BW4</f>
        <v>0</v>
      </c>
      <c r="F4" s="1762">
        <f>'Sockeye Returns Data'!BX4</f>
        <v>0</v>
      </c>
      <c r="G4" s="1762">
        <f>'Sockeye Returns Data'!AW4</f>
        <v>30173.459999999995</v>
      </c>
      <c r="H4" s="728">
        <f t="shared" si="0"/>
        <v>4783.7350950400032</v>
      </c>
      <c r="I4" s="1764">
        <f t="shared" si="1"/>
        <v>0.86315449274364819</v>
      </c>
      <c r="J4" s="1764">
        <f>IF(G4/((C4-'Sockeye Returns Data'!F4)*'Sockeye Returns Data'!U4)&gt;1,1,G4/((C4-'Sockeye Returns Data'!F4)*'Sockeye Returns Data'!U4))</f>
        <v>0.86315449274364819</v>
      </c>
    </row>
    <row r="5" spans="1:10" x14ac:dyDescent="0.3">
      <c r="A5" s="669">
        <f>'Sockeye Returns Data'!A5</f>
        <v>1980</v>
      </c>
      <c r="B5" s="1763">
        <f>'Sockeye Returns Data'!C5</f>
        <v>61175.897733999991</v>
      </c>
      <c r="C5" s="1762">
        <f>'Sockeye Returns Data'!E5</f>
        <v>61171.897733999991</v>
      </c>
      <c r="D5" s="726">
        <f>'Sockeye Returns Data'!AD5</f>
        <v>39084.094549759997</v>
      </c>
      <c r="E5" s="1762">
        <f>'Sockeye Returns Data'!BW5</f>
        <v>0</v>
      </c>
      <c r="F5" s="1762">
        <f>'Sockeye Returns Data'!BX5</f>
        <v>0</v>
      </c>
      <c r="G5" s="1762">
        <f>'Sockeye Returns Data'!AW5</f>
        <v>30487.675999999999</v>
      </c>
      <c r="H5" s="728">
        <f t="shared" si="0"/>
        <v>8596.4185497599974</v>
      </c>
      <c r="I5" s="1764">
        <f t="shared" si="1"/>
        <v>0.78005327617823028</v>
      </c>
      <c r="J5" s="1764">
        <f>IF(G5/((C5-'Sockeye Returns Data'!F5)*'Sockeye Returns Data'!U5)&gt;1,1,G5/((C5-'Sockeye Returns Data'!F5)*'Sockeye Returns Data'!U5))</f>
        <v>0.78010437285112266</v>
      </c>
    </row>
    <row r="6" spans="1:10" x14ac:dyDescent="0.3">
      <c r="A6" s="669">
        <f>'Sockeye Returns Data'!A6</f>
        <v>1981</v>
      </c>
      <c r="B6" s="1763">
        <f>'Sockeye Returns Data'!C6</f>
        <v>58203.034968999993</v>
      </c>
      <c r="C6" s="1762">
        <f>'Sockeye Returns Data'!E6</f>
        <v>58203.034968999993</v>
      </c>
      <c r="D6" s="726">
        <f>'Sockeye Returns Data'!AD6</f>
        <v>42315.935527369991</v>
      </c>
      <c r="E6" s="1762">
        <f>'Sockeye Returns Data'!BW6</f>
        <v>0</v>
      </c>
      <c r="F6" s="1762">
        <f>'Sockeye Returns Data'!BX6</f>
        <v>0</v>
      </c>
      <c r="G6" s="1762">
        <f>'Sockeye Returns Data'!AW6</f>
        <v>33060.997999999992</v>
      </c>
      <c r="H6" s="728">
        <f t="shared" si="0"/>
        <v>9254.9375273699989</v>
      </c>
      <c r="I6" s="1764">
        <f t="shared" si="1"/>
        <v>0.78128954465903522</v>
      </c>
      <c r="J6" s="1764">
        <f>IF(G6/((C6-'Sockeye Returns Data'!F6)*'Sockeye Returns Data'!U6)&gt;1,1,G6/((C6-'Sockeye Returns Data'!F6)*'Sockeye Returns Data'!U6))</f>
        <v>0.78128954465903522</v>
      </c>
    </row>
    <row r="7" spans="1:10" x14ac:dyDescent="0.3">
      <c r="A7" s="669">
        <f>'Sockeye Returns Data'!A7</f>
        <v>1982</v>
      </c>
      <c r="B7" s="1763">
        <f>'Sockeye Returns Data'!C7</f>
        <v>52231.736702999995</v>
      </c>
      <c r="C7" s="1762">
        <f>'Sockeye Returns Data'!E7</f>
        <v>52131.736702999995</v>
      </c>
      <c r="D7" s="726">
        <f>'Sockeye Returns Data'!AD7</f>
        <v>27026.863085559999</v>
      </c>
      <c r="E7" s="1762">
        <f>'Sockeye Returns Data'!BW7</f>
        <v>0</v>
      </c>
      <c r="F7" s="1762">
        <f>'Sockeye Returns Data'!BX7</f>
        <v>0</v>
      </c>
      <c r="G7" s="1762">
        <f>'Sockeye Returns Data'!AW7</f>
        <v>21916.659999999996</v>
      </c>
      <c r="H7" s="728">
        <f t="shared" si="0"/>
        <v>5110.2030855600024</v>
      </c>
      <c r="I7" s="1764">
        <f t="shared" si="1"/>
        <v>0.81092133891445584</v>
      </c>
      <c r="J7" s="1764">
        <f>IF(G7/((C7-'Sockeye Returns Data'!F7)*'Sockeye Returns Data'!U7)&gt;1,1,G7/((C7-'Sockeye Returns Data'!F7)*'Sockeye Returns Data'!U7))</f>
        <v>0.81248456870694086</v>
      </c>
    </row>
    <row r="8" spans="1:10" x14ac:dyDescent="0.3">
      <c r="A8" s="669">
        <f>'Sockeye Returns Data'!A8</f>
        <v>1983</v>
      </c>
      <c r="B8" s="1763">
        <f>'Sockeye Returns Data'!C8</f>
        <v>104712.996099</v>
      </c>
      <c r="C8" s="1762">
        <f>'Sockeye Returns Data'!E8</f>
        <v>104629.996099</v>
      </c>
      <c r="D8" s="726">
        <f>'Sockeye Returns Data'!AD8</f>
        <v>38654.638556630001</v>
      </c>
      <c r="E8" s="1762">
        <f>'Sockeye Returns Data'!BW8</f>
        <v>0</v>
      </c>
      <c r="F8" s="1762">
        <f>'Sockeye Returns Data'!BX8</f>
        <v>0</v>
      </c>
      <c r="G8" s="1762">
        <f>'Sockeye Returns Data'!AW8</f>
        <v>32850.229999999996</v>
      </c>
      <c r="H8" s="728">
        <f t="shared" si="0"/>
        <v>5804.4085566300055</v>
      </c>
      <c r="I8" s="1764">
        <f t="shared" si="1"/>
        <v>0.84983927483563448</v>
      </c>
      <c r="J8" s="1764">
        <f>IF(G8/((C8-'Sockeye Returns Data'!F8)*'Sockeye Returns Data'!U8)&gt;1,1,G8/((C8-'Sockeye Returns Data'!F8)*'Sockeye Returns Data'!U8))</f>
        <v>0.8505149845602924</v>
      </c>
    </row>
    <row r="9" spans="1:10" x14ac:dyDescent="0.3">
      <c r="A9" s="669">
        <f>'Sockeye Returns Data'!A9</f>
        <v>1984</v>
      </c>
      <c r="B9" s="1763">
        <f>'Sockeye Returns Data'!C9</f>
        <v>168257.70376499998</v>
      </c>
      <c r="C9" s="1762">
        <f>'Sockeye Returns Data'!E9</f>
        <v>158912.70376499998</v>
      </c>
      <c r="D9" s="726">
        <f>'Sockeye Returns Data'!AD9</f>
        <v>141211.31116259997</v>
      </c>
      <c r="E9" s="1762">
        <f>'Sockeye Returns Data'!BW9</f>
        <v>0</v>
      </c>
      <c r="F9" s="1762">
        <f>'Sockeye Returns Data'!BX9</f>
        <v>0</v>
      </c>
      <c r="G9" s="1762">
        <f>'Sockeye Returns Data'!AW9</f>
        <v>112430.568</v>
      </c>
      <c r="H9" s="728">
        <f t="shared" si="0"/>
        <v>28780.743162599974</v>
      </c>
      <c r="I9" s="1764">
        <f t="shared" si="1"/>
        <v>0.79618670115271473</v>
      </c>
      <c r="J9" s="1764">
        <f>IF(G9/((C9-'Sockeye Returns Data'!F9)*'Sockeye Returns Data'!U9)&gt;1,1,G9/((C9-'Sockeye Returns Data'!F9)*'Sockeye Returns Data'!U9))</f>
        <v>0.84305109487639129</v>
      </c>
    </row>
    <row r="10" spans="1:10" x14ac:dyDescent="0.3">
      <c r="A10" s="669">
        <f>'Sockeye Returns Data'!A10</f>
        <v>1985</v>
      </c>
      <c r="B10" s="1763">
        <f>'Sockeye Returns Data'!C10</f>
        <v>205521</v>
      </c>
      <c r="C10" s="1762">
        <f>'Sockeye Returns Data'!E10</f>
        <v>173308</v>
      </c>
      <c r="D10" s="726">
        <f>'Sockeye Returns Data'!AD10</f>
        <v>121223</v>
      </c>
      <c r="E10" s="1762">
        <f>'Sockeye Returns Data'!BW10</f>
        <v>0</v>
      </c>
      <c r="F10" s="1762">
        <f>'Sockeye Returns Data'!BX10</f>
        <v>0</v>
      </c>
      <c r="G10" s="1762">
        <f>'Sockeye Returns Data'!AW10</f>
        <v>89465.258000000002</v>
      </c>
      <c r="H10" s="728">
        <f t="shared" si="0"/>
        <v>31757.741999999998</v>
      </c>
      <c r="I10" s="1764">
        <f t="shared" si="1"/>
        <v>0.73802214101284414</v>
      </c>
      <c r="J10" s="1764">
        <f>IF(G10/((C10-'Sockeye Returns Data'!F10)*'Sockeye Returns Data'!U10)&gt;1,1,G10/((C10-'Sockeye Returns Data'!F10)*'Sockeye Returns Data'!U10))</f>
        <v>0.87524909528178862</v>
      </c>
    </row>
    <row r="11" spans="1:10" x14ac:dyDescent="0.3">
      <c r="A11" s="669">
        <f>'Sockeye Returns Data'!A11</f>
        <v>1986</v>
      </c>
      <c r="B11" s="1763">
        <f>'Sockeye Returns Data'!C11</f>
        <v>62220</v>
      </c>
      <c r="C11" s="1762">
        <f>'Sockeye Returns Data'!E11</f>
        <v>60380</v>
      </c>
      <c r="D11" s="726">
        <f>'Sockeye Returns Data'!AD11</f>
        <v>49135</v>
      </c>
      <c r="E11" s="1762">
        <f>'Sockeye Returns Data'!BW11</f>
        <v>0</v>
      </c>
      <c r="F11" s="1762">
        <f>'Sockeye Returns Data'!BX11</f>
        <v>0</v>
      </c>
      <c r="G11" s="1762">
        <f>'Sockeye Returns Data'!AW11</f>
        <v>44650.895999999993</v>
      </c>
      <c r="H11" s="728">
        <f t="shared" si="0"/>
        <v>4484.1040000000066</v>
      </c>
      <c r="I11" s="1764">
        <f t="shared" si="1"/>
        <v>0.90873910654319723</v>
      </c>
      <c r="J11" s="1764">
        <f>IF(G11/((C11-'Sockeye Returns Data'!F11)*'Sockeye Returns Data'!U11)&gt;1,1,G11/((C11-'Sockeye Returns Data'!F11)*'Sockeye Returns Data'!U11))</f>
        <v>0.9364457803530275</v>
      </c>
    </row>
    <row r="12" spans="1:10" x14ac:dyDescent="0.3">
      <c r="A12" s="669">
        <f>'Sockeye Returns Data'!A12</f>
        <v>1987</v>
      </c>
      <c r="B12" s="1763">
        <f>'Sockeye Returns Data'!C12</f>
        <v>150366</v>
      </c>
      <c r="C12" s="1762">
        <f>'Sockeye Returns Data'!E12</f>
        <v>121813</v>
      </c>
      <c r="D12" s="726">
        <f>'Sockeye Returns Data'!AD12</f>
        <v>99205</v>
      </c>
      <c r="E12" s="1762">
        <f>'Sockeye Returns Data'!BW12</f>
        <v>0</v>
      </c>
      <c r="F12" s="1762">
        <f>'Sockeye Returns Data'!BX12</f>
        <v>0</v>
      </c>
      <c r="G12" s="1762">
        <f>'Sockeye Returns Data'!AW12</f>
        <v>71525.440000000002</v>
      </c>
      <c r="H12" s="728">
        <f t="shared" si="0"/>
        <v>27679.559999999998</v>
      </c>
      <c r="I12" s="1764">
        <f t="shared" si="1"/>
        <v>0.72098624061287231</v>
      </c>
      <c r="J12" s="1764">
        <f>IF(G12/((C12-'Sockeye Returns Data'!F12)*'Sockeye Returns Data'!U12)&gt;1,1,G12/((C12-'Sockeye Returns Data'!F12)*'Sockeye Returns Data'!U12))</f>
        <v>0.89005961651701571</v>
      </c>
    </row>
    <row r="13" spans="1:10" x14ac:dyDescent="0.3">
      <c r="A13" s="669">
        <f>'Sockeye Returns Data'!A13</f>
        <v>1988</v>
      </c>
      <c r="B13" s="1763">
        <f>'Sockeye Returns Data'!C13</f>
        <v>100543</v>
      </c>
      <c r="C13" s="1762">
        <f>'Sockeye Returns Data'!E13</f>
        <v>82911</v>
      </c>
      <c r="D13" s="726">
        <f>'Sockeye Returns Data'!AD13</f>
        <v>78388</v>
      </c>
      <c r="E13" s="1762">
        <f>'Sockeye Returns Data'!BW13</f>
        <v>0</v>
      </c>
      <c r="F13" s="1762">
        <f>'Sockeye Returns Data'!BX13</f>
        <v>0</v>
      </c>
      <c r="G13" s="1762">
        <f>'Sockeye Returns Data'!AW13</f>
        <v>62635.296000000002</v>
      </c>
      <c r="H13" s="728">
        <f t="shared" si="0"/>
        <v>15752.703999999998</v>
      </c>
      <c r="I13" s="1764">
        <f t="shared" si="1"/>
        <v>0.79904189416747462</v>
      </c>
      <c r="J13" s="1764">
        <f>IF(G13/((C13-'Sockeye Returns Data'!F13)*'Sockeye Returns Data'!U13)&gt;1,1,G13/((C13-'Sockeye Returns Data'!F13)*'Sockeye Returns Data'!U13))</f>
        <v>0.96905439551156736</v>
      </c>
    </row>
    <row r="14" spans="1:10" x14ac:dyDescent="0.3">
      <c r="A14" s="669">
        <f>'Sockeye Returns Data'!A14</f>
        <v>1989</v>
      </c>
      <c r="B14" s="1763">
        <f>'Sockeye Returns Data'!C14</f>
        <v>43470</v>
      </c>
      <c r="C14" s="1762">
        <f>'Sockeye Returns Data'!E14</f>
        <v>43434</v>
      </c>
      <c r="D14" s="726">
        <f>'Sockeye Returns Data'!AD14</f>
        <v>18256</v>
      </c>
      <c r="E14" s="1762">
        <f>'Sockeye Returns Data'!BW14</f>
        <v>0</v>
      </c>
      <c r="F14" s="1762">
        <f>'Sockeye Returns Data'!BX14</f>
        <v>0</v>
      </c>
      <c r="G14" s="1762">
        <f>'Sockeye Returns Data'!AW14</f>
        <v>18982.791999999998</v>
      </c>
      <c r="H14" s="728">
        <f t="shared" si="0"/>
        <v>-726.79199999999764</v>
      </c>
      <c r="I14" s="1764">
        <f t="shared" si="1"/>
        <v>1</v>
      </c>
      <c r="J14" s="1764">
        <f>IF(G14/((C14-'Sockeye Returns Data'!F14)*'Sockeye Returns Data'!U14)&gt;1,1,G14/((C14-'Sockeye Returns Data'!F14)*'Sockeye Returns Data'!U14))</f>
        <v>1</v>
      </c>
    </row>
    <row r="15" spans="1:10" x14ac:dyDescent="0.3">
      <c r="A15" s="669">
        <f>'Sockeye Returns Data'!A15</f>
        <v>1990</v>
      </c>
      <c r="B15" s="1763">
        <f>'Sockeye Returns Data'!C15</f>
        <v>51639</v>
      </c>
      <c r="C15" s="1762">
        <f>'Sockeye Returns Data'!E15</f>
        <v>51466</v>
      </c>
      <c r="D15" s="726">
        <f>'Sockeye Returns Data'!AD15</f>
        <v>12393</v>
      </c>
      <c r="E15" s="1762">
        <f>'Sockeye Returns Data'!BW15</f>
        <v>0</v>
      </c>
      <c r="F15" s="1762">
        <f>'Sockeye Returns Data'!BX15</f>
        <v>0</v>
      </c>
      <c r="G15" s="1762">
        <f>'Sockeye Returns Data'!AW15</f>
        <v>9265.2279999999992</v>
      </c>
      <c r="H15" s="728">
        <f t="shared" si="0"/>
        <v>3127.7720000000008</v>
      </c>
      <c r="I15" s="1764">
        <f t="shared" si="1"/>
        <v>0.74761784878560467</v>
      </c>
      <c r="J15" s="1764">
        <f>IF(G15/((C15-'Sockeye Returns Data'!F15)*'Sockeye Returns Data'!U15)&gt;1,1,G15/((C15-'Sockeye Returns Data'!F15)*'Sockeye Returns Data'!U15))</f>
        <v>0.7501237086693221</v>
      </c>
    </row>
    <row r="16" spans="1:10" x14ac:dyDescent="0.3">
      <c r="A16" s="669">
        <f>'Sockeye Returns Data'!A16</f>
        <v>1991</v>
      </c>
      <c r="B16" s="1763">
        <f>'Sockeye Returns Data'!C16</f>
        <v>79540</v>
      </c>
      <c r="C16" s="1762">
        <f>'Sockeye Returns Data'!E16</f>
        <v>79537</v>
      </c>
      <c r="D16" s="726">
        <f>'Sockeye Returns Data'!AD16</f>
        <v>39765</v>
      </c>
      <c r="E16" s="1762">
        <f>'Sockeye Returns Data'!BW16</f>
        <v>0</v>
      </c>
      <c r="F16" s="1762">
        <f>'Sockeye Returns Data'!BX16</f>
        <v>0</v>
      </c>
      <c r="G16" s="1762">
        <f>'Sockeye Returns Data'!AW16</f>
        <v>32754.179999999997</v>
      </c>
      <c r="H16" s="728">
        <f t="shared" si="0"/>
        <v>7010.8200000000033</v>
      </c>
      <c r="I16" s="1764">
        <f t="shared" si="1"/>
        <v>0.82369370049038093</v>
      </c>
      <c r="J16" s="1764">
        <f>IF(G16/((C16-'Sockeye Returns Data'!F16)*'Sockeye Returns Data'!U16)&gt;1,1,G16/((C16-'Sockeye Returns Data'!F16)*'Sockeye Returns Data'!U16))</f>
        <v>0.82372477271869926</v>
      </c>
    </row>
    <row r="17" spans="1:10" x14ac:dyDescent="0.3">
      <c r="A17" s="669">
        <f>'Sockeye Returns Data'!A17</f>
        <v>1992</v>
      </c>
      <c r="B17" s="1763">
        <f>'Sockeye Returns Data'!C17</f>
        <v>88427</v>
      </c>
      <c r="C17" s="1762">
        <f>'Sockeye Returns Data'!E17</f>
        <v>88419</v>
      </c>
      <c r="D17" s="726">
        <f>'Sockeye Returns Data'!AD17</f>
        <v>60990</v>
      </c>
      <c r="E17" s="1762">
        <f>'Sockeye Returns Data'!BW17</f>
        <v>0</v>
      </c>
      <c r="F17" s="1762">
        <f>'Sockeye Returns Data'!BX17</f>
        <v>0</v>
      </c>
      <c r="G17" s="1762">
        <f>'Sockeye Returns Data'!AW17</f>
        <v>48996.181999999993</v>
      </c>
      <c r="H17" s="728">
        <f t="shared" si="0"/>
        <v>11993.818000000007</v>
      </c>
      <c r="I17" s="1764">
        <f t="shared" si="1"/>
        <v>0.80334779472044582</v>
      </c>
      <c r="J17" s="1764">
        <f>IF(G17/((C17-'Sockeye Returns Data'!F17)*'Sockeye Returns Data'!U17)&gt;1,1,G17/((C17-'Sockeye Returns Data'!F17)*'Sockeye Returns Data'!U17))</f>
        <v>0.80341418605505355</v>
      </c>
    </row>
    <row r="18" spans="1:10" x14ac:dyDescent="0.3">
      <c r="A18" s="669">
        <f>'Sockeye Returns Data'!A18</f>
        <v>1993</v>
      </c>
      <c r="B18" s="1763">
        <f>'Sockeye Returns Data'!C18</f>
        <v>83459</v>
      </c>
      <c r="C18" s="1762">
        <f>'Sockeye Returns Data'!E18</f>
        <v>83395</v>
      </c>
      <c r="D18" s="726">
        <f>'Sockeye Returns Data'!AD18</f>
        <v>40052</v>
      </c>
      <c r="E18" s="1762">
        <f>'Sockeye Returns Data'!BW18</f>
        <v>0</v>
      </c>
      <c r="F18" s="1762">
        <f>'Sockeye Returns Data'!BX18</f>
        <v>0</v>
      </c>
      <c r="G18" s="1762">
        <f>'Sockeye Returns Data'!AW18</f>
        <v>33934.667999999998</v>
      </c>
      <c r="H18" s="728">
        <f t="shared" si="0"/>
        <v>6117.3320000000022</v>
      </c>
      <c r="I18" s="1764">
        <f t="shared" si="1"/>
        <v>0.84726525516828122</v>
      </c>
      <c r="J18" s="1764">
        <f>IF(G18/((C18-'Sockeye Returns Data'!F18)*'Sockeye Returns Data'!U18)&gt;1,1,G18/((C18-'Sockeye Returns Data'!F18)*'Sockeye Returns Data'!U18))</f>
        <v>0.8479223886683378</v>
      </c>
    </row>
    <row r="19" spans="1:10" x14ac:dyDescent="0.3">
      <c r="A19" s="669">
        <f>'Sockeye Returns Data'!A19</f>
        <v>1994</v>
      </c>
      <c r="B19" s="1763">
        <f>'Sockeye Returns Data'!C19</f>
        <v>12957</v>
      </c>
      <c r="C19" s="1762">
        <f>'Sockeye Returns Data'!E19</f>
        <v>12956</v>
      </c>
      <c r="D19" s="726">
        <f>'Sockeye Returns Data'!AD19</f>
        <v>2202</v>
      </c>
      <c r="E19" s="1762">
        <f>'Sockeye Returns Data'!BW19</f>
        <v>2202</v>
      </c>
      <c r="F19" s="1762">
        <f>'Sockeye Returns Data'!BX19</f>
        <v>0</v>
      </c>
      <c r="G19" s="1762">
        <f>'Sockeye Returns Data'!AW19</f>
        <v>1966.1519999999998</v>
      </c>
      <c r="H19" s="728">
        <f t="shared" si="0"/>
        <v>235.84800000000018</v>
      </c>
      <c r="I19" s="1764">
        <f t="shared" si="1"/>
        <v>0.89289373297002717</v>
      </c>
      <c r="J19" s="1764">
        <f>IF(G19/((C19-'Sockeye Returns Data'!F19)*'Sockeye Returns Data'!U19)&gt;1,1,G19/((C19-'Sockeye Returns Data'!F19)*'Sockeye Returns Data'!U19))</f>
        <v>0.89302756543896211</v>
      </c>
    </row>
    <row r="20" spans="1:10" x14ac:dyDescent="0.3">
      <c r="A20" s="669">
        <f>'Sockeye Returns Data'!A20</f>
        <v>1995</v>
      </c>
      <c r="B20" s="1763">
        <f>'Sockeye Returns Data'!C20</f>
        <v>8883</v>
      </c>
      <c r="C20" s="1762">
        <f>'Sockeye Returns Data'!E20</f>
        <v>8882</v>
      </c>
      <c r="D20" s="726">
        <f>'Sockeye Returns Data'!AD20</f>
        <v>5238</v>
      </c>
      <c r="E20" s="1762">
        <f>'Sockeye Returns Data'!BW20</f>
        <v>5238</v>
      </c>
      <c r="F20" s="1762">
        <f>'Sockeye Returns Data'!BX20</f>
        <v>0</v>
      </c>
      <c r="G20" s="1762">
        <f>'Sockeye Returns Data'!AW20</f>
        <v>5800.2939999999999</v>
      </c>
      <c r="H20" s="728">
        <f t="shared" si="0"/>
        <v>-562.29399999999987</v>
      </c>
      <c r="I20" s="1764">
        <f t="shared" si="1"/>
        <v>1</v>
      </c>
      <c r="J20" s="1764">
        <f>IF(G20/((C20-'Sockeye Returns Data'!F20)*'Sockeye Returns Data'!U20)&gt;1,1,G20/((C20-'Sockeye Returns Data'!F20)*'Sockeye Returns Data'!U20))</f>
        <v>1</v>
      </c>
    </row>
    <row r="21" spans="1:10" x14ac:dyDescent="0.3">
      <c r="A21" s="669">
        <f>'Sockeye Returns Data'!A21</f>
        <v>1996</v>
      </c>
      <c r="B21" s="1763">
        <f>'Sockeye Returns Data'!C21</f>
        <v>31300</v>
      </c>
      <c r="C21" s="1762">
        <f>'Sockeye Returns Data'!E21</f>
        <v>31275</v>
      </c>
      <c r="D21" s="726">
        <f>'Sockeye Returns Data'!AD21</f>
        <v>23160</v>
      </c>
      <c r="E21" s="1762">
        <f>'Sockeye Returns Data'!BW21</f>
        <v>23160</v>
      </c>
      <c r="F21" s="1762">
        <f>'Sockeye Returns Data'!BX21</f>
        <v>0</v>
      </c>
      <c r="G21" s="1762">
        <f>'Sockeye Returns Data'!AW21</f>
        <v>21083.892</v>
      </c>
      <c r="H21" s="728">
        <f t="shared" si="0"/>
        <v>2076.1080000000002</v>
      </c>
      <c r="I21" s="1764">
        <f t="shared" si="1"/>
        <v>0.91035803108808289</v>
      </c>
      <c r="J21" s="1764">
        <f>IF(G21/((C21-'Sockeye Returns Data'!F21)*'Sockeye Returns Data'!U21)&gt;1,1,G21/((C21-'Sockeye Returns Data'!F21)*'Sockeye Returns Data'!U21))</f>
        <v>0.91109445977059178</v>
      </c>
    </row>
    <row r="22" spans="1:10" x14ac:dyDescent="0.3">
      <c r="A22" s="669">
        <f>'Sockeye Returns Data'!A22</f>
        <v>1997</v>
      </c>
      <c r="B22" s="1763">
        <f>'Sockeye Returns Data'!C22</f>
        <v>48793</v>
      </c>
      <c r="C22" s="1762">
        <f>'Sockeye Returns Data'!E22</f>
        <v>48781</v>
      </c>
      <c r="D22" s="726">
        <f>'Sockeye Returns Data'!AD22</f>
        <v>36095</v>
      </c>
      <c r="E22" s="1762">
        <f>'Sockeye Returns Data'!BW22</f>
        <v>36095</v>
      </c>
      <c r="F22" s="1762">
        <f>'Sockeye Returns Data'!BX22</f>
        <v>0</v>
      </c>
      <c r="G22" s="1762">
        <f>'Sockeye Returns Data'!AW22</f>
        <v>29385.011999999999</v>
      </c>
      <c r="H22" s="728">
        <f t="shared" si="0"/>
        <v>6709.9880000000012</v>
      </c>
      <c r="I22" s="1764">
        <f t="shared" si="1"/>
        <v>0.81410200858844717</v>
      </c>
      <c r="J22" s="1764">
        <f>IF(G22/((C22-'Sockeye Returns Data'!F22)*'Sockeye Returns Data'!U22)&gt;1,1,G22/((C22-'Sockeye Returns Data'!F22)*'Sockeye Returns Data'!U22))</f>
        <v>0.81430279248796633</v>
      </c>
    </row>
    <row r="23" spans="1:10" x14ac:dyDescent="0.3">
      <c r="A23" s="669">
        <f>'Sockeye Returns Data'!A23</f>
        <v>1998</v>
      </c>
      <c r="B23" s="1763">
        <f>'Sockeye Returns Data'!C23</f>
        <v>13522</v>
      </c>
      <c r="C23" s="1762">
        <f>'Sockeye Returns Data'!E23</f>
        <v>13520</v>
      </c>
      <c r="D23" s="726">
        <f>'Sockeye Returns Data'!AD23</f>
        <v>7705</v>
      </c>
      <c r="E23" s="1762">
        <f>'Sockeye Returns Data'!BW23</f>
        <v>7705</v>
      </c>
      <c r="F23" s="1762">
        <f>'Sockeye Returns Data'!BX23</f>
        <v>0</v>
      </c>
      <c r="G23" s="1762">
        <f>'Sockeye Returns Data'!AW23</f>
        <v>4908.25</v>
      </c>
      <c r="H23" s="728">
        <f t="shared" si="0"/>
        <v>2796.75</v>
      </c>
      <c r="I23" s="1764">
        <f t="shared" si="1"/>
        <v>0.63702141466580142</v>
      </c>
      <c r="J23" s="1764">
        <f>IF(G23/((C23-'Sockeye Returns Data'!F23)*'Sockeye Returns Data'!U23)&gt;1,1,G23/((C23-'Sockeye Returns Data'!F23)*'Sockeye Returns Data'!U23))</f>
        <v>0.63709417817998693</v>
      </c>
    </row>
    <row r="24" spans="1:10" x14ac:dyDescent="0.3">
      <c r="A24" s="669">
        <f>'Sockeye Returns Data'!A24</f>
        <v>1999</v>
      </c>
      <c r="B24" s="1763">
        <f>'Sockeye Returns Data'!C24</f>
        <v>18383</v>
      </c>
      <c r="C24" s="1762">
        <f>'Sockeye Returns Data'!E24</f>
        <v>18382</v>
      </c>
      <c r="D24" s="726">
        <f>'Sockeye Returns Data'!AD24</f>
        <v>16715</v>
      </c>
      <c r="E24" s="1762">
        <f>'Sockeye Returns Data'!BW24</f>
        <v>16715</v>
      </c>
      <c r="F24" s="1762">
        <f>'Sockeye Returns Data'!BX24</f>
        <v>0</v>
      </c>
      <c r="G24" s="1762">
        <f>'Sockeye Returns Data'!AW24</f>
        <v>13028.64</v>
      </c>
      <c r="H24" s="728">
        <f t="shared" si="0"/>
        <v>3686.3600000000006</v>
      </c>
      <c r="I24" s="1764">
        <f t="shared" si="1"/>
        <v>0.77945797188154353</v>
      </c>
      <c r="J24" s="1764">
        <f>IF(G24/((C24-'Sockeye Returns Data'!F24)*'Sockeye Returns Data'!U24)&gt;1,1,G24/((C24-'Sockeye Returns Data'!F24)*'Sockeye Returns Data'!U24))</f>
        <v>0.77950600605361853</v>
      </c>
    </row>
    <row r="25" spans="1:10" x14ac:dyDescent="0.3">
      <c r="A25" s="669">
        <f>'Sockeye Returns Data'!A25</f>
        <v>2000</v>
      </c>
      <c r="B25" s="1763">
        <f>'Sockeye Returns Data'!C25</f>
        <v>97557</v>
      </c>
      <c r="C25" s="1762">
        <f>'Sockeye Returns Data'!E25</f>
        <v>97191</v>
      </c>
      <c r="D25" s="726">
        <f>'Sockeye Returns Data'!AD25</f>
        <v>73866</v>
      </c>
      <c r="E25" s="1762">
        <f>'Sockeye Returns Data'!BW25</f>
        <v>73866</v>
      </c>
      <c r="F25" s="1762">
        <f>'Sockeye Returns Data'!BX25</f>
        <v>0</v>
      </c>
      <c r="G25" s="1762">
        <f>'Sockeye Returns Data'!AW25</f>
        <v>62155.6</v>
      </c>
      <c r="H25" s="728">
        <f t="shared" si="0"/>
        <v>11710.400000000001</v>
      </c>
      <c r="I25" s="1764">
        <f t="shared" si="1"/>
        <v>0.84146427314325944</v>
      </c>
      <c r="J25" s="1764">
        <f>IF(G25/((C25-'Sockeye Returns Data'!F25)*'Sockeye Returns Data'!U25)&gt;1,1,G25/((C25-'Sockeye Returns Data'!F25)*'Sockeye Returns Data'!U25))</f>
        <v>0.8446459030686625</v>
      </c>
    </row>
    <row r="26" spans="1:10" x14ac:dyDescent="0.3">
      <c r="A26" s="669">
        <f>'Sockeye Returns Data'!A26</f>
        <v>2001</v>
      </c>
      <c r="B26" s="1763">
        <f>'Sockeye Returns Data'!C26</f>
        <v>121355</v>
      </c>
      <c r="C26" s="1762">
        <f>'Sockeye Returns Data'!E26</f>
        <v>119664</v>
      </c>
      <c r="D26" s="726">
        <f>'Sockeye Returns Data'!AD26</f>
        <v>83707</v>
      </c>
      <c r="E26" s="1762">
        <f>'Sockeye Returns Data'!BW26</f>
        <v>83707</v>
      </c>
      <c r="F26" s="1762">
        <f>'Sockeye Returns Data'!BX26</f>
        <v>0</v>
      </c>
      <c r="G26" s="1762">
        <f>'Sockeye Returns Data'!AW26</f>
        <v>79523</v>
      </c>
      <c r="H26" s="728">
        <f t="shared" si="0"/>
        <v>4184</v>
      </c>
      <c r="I26" s="1764">
        <f t="shared" si="1"/>
        <v>0.95001612768346733</v>
      </c>
      <c r="J26" s="1764">
        <f>IF(G26/((C26-'Sockeye Returns Data'!F26)*'Sockeye Returns Data'!U26)&gt;1,1,G26/((C26-'Sockeye Returns Data'!F26)*'Sockeye Returns Data'!U26))</f>
        <v>0.96344954262709648</v>
      </c>
    </row>
    <row r="27" spans="1:10" x14ac:dyDescent="0.3">
      <c r="A27" s="669">
        <f>'Sockeye Returns Data'!A27</f>
        <v>2002</v>
      </c>
      <c r="B27" s="1763">
        <f>'Sockeye Returns Data'!C27</f>
        <v>51515</v>
      </c>
      <c r="C27" s="1762">
        <f>'Sockeye Returns Data'!E27</f>
        <v>51496</v>
      </c>
      <c r="D27" s="726">
        <f>'Sockeye Returns Data'!AD27</f>
        <v>14406</v>
      </c>
      <c r="E27" s="1762">
        <f>'Sockeye Returns Data'!BW27</f>
        <v>14406</v>
      </c>
      <c r="F27" s="1762">
        <f>'Sockeye Returns Data'!BX27</f>
        <v>0</v>
      </c>
      <c r="G27" s="1762">
        <f>'Sockeye Returns Data'!AW27</f>
        <v>11376.92</v>
      </c>
      <c r="H27" s="728">
        <f t="shared" si="0"/>
        <v>3029.08</v>
      </c>
      <c r="I27" s="1764">
        <f t="shared" si="1"/>
        <v>0.78973483270859368</v>
      </c>
      <c r="J27" s="1764">
        <f>IF(G27/((C27-'Sockeye Returns Data'!F27)*'Sockeye Returns Data'!U27)&gt;1,1,G27/((C27-'Sockeye Returns Data'!F27)*'Sockeye Returns Data'!U27))</f>
        <v>0.79001122147412395</v>
      </c>
    </row>
    <row r="28" spans="1:10" x14ac:dyDescent="0.3">
      <c r="A28" s="669">
        <f>'Sockeye Returns Data'!A28</f>
        <v>2003</v>
      </c>
      <c r="B28" s="1763">
        <f>'Sockeye Returns Data'!C28</f>
        <v>40728</v>
      </c>
      <c r="C28" s="1762">
        <f>'Sockeye Returns Data'!E28</f>
        <v>40728</v>
      </c>
      <c r="D28" s="726">
        <f>'Sockeye Returns Data'!AD28</f>
        <v>34992</v>
      </c>
      <c r="E28" s="1762">
        <f>'Sockeye Returns Data'!BW28</f>
        <v>34992</v>
      </c>
      <c r="F28" s="1762">
        <f>'Sockeye Returns Data'!BX28</f>
        <v>0</v>
      </c>
      <c r="G28" s="1762">
        <f>'Sockeye Returns Data'!AW28</f>
        <v>30311.4</v>
      </c>
      <c r="H28" s="728">
        <f t="shared" si="0"/>
        <v>4680.5999999999985</v>
      </c>
      <c r="I28" s="1764">
        <f t="shared" si="1"/>
        <v>0.86623799725651585</v>
      </c>
      <c r="J28" s="1764">
        <f>IF(G28/((C28-'Sockeye Returns Data'!F28)*'Sockeye Returns Data'!U28)&gt;1,1,G28/((C28-'Sockeye Returns Data'!F28)*'Sockeye Returns Data'!U28))</f>
        <v>0.86624591902989512</v>
      </c>
    </row>
    <row r="29" spans="1:10" x14ac:dyDescent="0.3">
      <c r="A29" s="669">
        <f>'Sockeye Returns Data'!A29</f>
        <v>2004</v>
      </c>
      <c r="B29" s="1763">
        <f>'Sockeye Returns Data'!C29</f>
        <v>129057</v>
      </c>
      <c r="C29" s="1762">
        <f>'Sockeye Returns Data'!E29</f>
        <v>128385</v>
      </c>
      <c r="D29" s="726">
        <f>'Sockeye Returns Data'!AD29</f>
        <v>91547</v>
      </c>
      <c r="E29" s="1762">
        <f>'Sockeye Returns Data'!BW29</f>
        <v>91547</v>
      </c>
      <c r="F29" s="1762">
        <f>'Sockeye Returns Data'!BX29</f>
        <v>0</v>
      </c>
      <c r="G29" s="1762">
        <f>'Sockeye Returns Data'!AW29</f>
        <v>81118.070000000007</v>
      </c>
      <c r="H29" s="728">
        <f t="shared" si="0"/>
        <v>10428.929999999993</v>
      </c>
      <c r="I29" s="1764">
        <f t="shared" si="1"/>
        <v>0.88608113865009241</v>
      </c>
      <c r="J29" s="1764">
        <f>IF(G29/((C29-'Sockeye Returns Data'!F29)*'Sockeye Returns Data'!U29)&gt;1,1,G29/((C29-'Sockeye Returns Data'!F29)*'Sockeye Returns Data'!U29))</f>
        <v>0.89072639741243986</v>
      </c>
    </row>
    <row r="30" spans="1:10" x14ac:dyDescent="0.3">
      <c r="A30" s="669">
        <f>'Sockeye Returns Data'!A30</f>
        <v>2005</v>
      </c>
      <c r="B30" s="1763">
        <f>'Sockeye Returns Data'!C30</f>
        <v>75878</v>
      </c>
      <c r="C30" s="1762">
        <f>'Sockeye Returns Data'!E30</f>
        <v>75874</v>
      </c>
      <c r="D30" s="726">
        <f>'Sockeye Returns Data'!AD30</f>
        <v>59170</v>
      </c>
      <c r="E30" s="1762">
        <f>'Sockeye Returns Data'!BW30</f>
        <v>59170</v>
      </c>
      <c r="F30" s="1762">
        <f>'Sockeye Returns Data'!BX30</f>
        <v>0</v>
      </c>
      <c r="G30" s="1762">
        <f>'Sockeye Returns Data'!AW30</f>
        <v>57716.480000000003</v>
      </c>
      <c r="H30" s="728">
        <f t="shared" si="0"/>
        <v>1453.5199999999968</v>
      </c>
      <c r="I30" s="1764">
        <f t="shared" si="1"/>
        <v>0.97543484874091602</v>
      </c>
      <c r="J30" s="1764">
        <f>IF(G30/((C30-'Sockeye Returns Data'!F30)*'Sockeye Returns Data'!U30)&gt;1,1,G30/((C30-'Sockeye Returns Data'!F30)*'Sockeye Returns Data'!U30))</f>
        <v>0.97548595583003339</v>
      </c>
    </row>
    <row r="31" spans="1:10" x14ac:dyDescent="0.3">
      <c r="A31" s="669">
        <f>'Sockeye Returns Data'!A31</f>
        <v>2006</v>
      </c>
      <c r="B31" s="1763">
        <f>'Sockeye Returns Data'!C31</f>
        <v>38407</v>
      </c>
      <c r="C31" s="1762">
        <f>'Sockeye Returns Data'!E31</f>
        <v>38406</v>
      </c>
      <c r="D31" s="726">
        <f>'Sockeye Returns Data'!AD31</f>
        <v>27616</v>
      </c>
      <c r="E31" s="1762">
        <f>'Sockeye Returns Data'!BW31</f>
        <v>27616</v>
      </c>
      <c r="F31" s="1762">
        <f>'Sockeye Returns Data'!BX31</f>
        <v>0</v>
      </c>
      <c r="G31" s="1762">
        <f>'Sockeye Returns Data'!AW31</f>
        <v>23224.12</v>
      </c>
      <c r="H31" s="728">
        <f t="shared" si="0"/>
        <v>4391.880000000001</v>
      </c>
      <c r="I31" s="1764">
        <f t="shared" si="1"/>
        <v>0.8409661066048667</v>
      </c>
      <c r="J31" s="1764">
        <f>IF(G31/((C31-'Sockeye Returns Data'!F31)*'Sockeye Returns Data'!U31)&gt;1,1,G31/((C31-'Sockeye Returns Data'!F31)*'Sockeye Returns Data'!U31))</f>
        <v>0.84097828763452542</v>
      </c>
    </row>
    <row r="32" spans="1:10" x14ac:dyDescent="0.3">
      <c r="A32" s="669">
        <f>'Sockeye Returns Data'!A32</f>
        <v>2007</v>
      </c>
      <c r="B32" s="1763">
        <f>'Sockeye Returns Data'!C32</f>
        <v>25164</v>
      </c>
      <c r="C32" s="1762">
        <f>'Sockeye Returns Data'!E32</f>
        <v>25164</v>
      </c>
      <c r="D32" s="726">
        <f>'Sockeye Returns Data'!AD32</f>
        <v>22344</v>
      </c>
      <c r="E32" s="1762">
        <f>'Sockeye Returns Data'!BW32</f>
        <v>19662.388732394367</v>
      </c>
      <c r="F32" s="1762">
        <f>'Sockeye Returns Data'!BX32</f>
        <v>2681.6112676056337</v>
      </c>
      <c r="G32" s="1762">
        <f>'Sockeye Returns Data'!AW32</f>
        <v>23531.46</v>
      </c>
      <c r="H32" s="728">
        <f t="shared" si="0"/>
        <v>-1187.4599999999991</v>
      </c>
      <c r="I32" s="1764">
        <f t="shared" si="1"/>
        <v>1</v>
      </c>
      <c r="J32" s="1764">
        <f>IF(G32/((C32-'Sockeye Returns Data'!F32)*'Sockeye Returns Data'!U32)&gt;1,1,G32/((C32-'Sockeye Returns Data'!F32)*'Sockeye Returns Data'!U32))</f>
        <v>1</v>
      </c>
    </row>
    <row r="33" spans="1:10" x14ac:dyDescent="0.3">
      <c r="A33" s="669">
        <f>'Sockeye Returns Data'!A33</f>
        <v>2008</v>
      </c>
      <c r="B33" s="1763">
        <f>'Sockeye Returns Data'!C33</f>
        <v>225383</v>
      </c>
      <c r="C33" s="1762">
        <f>'Sockeye Returns Data'!E33</f>
        <v>224525</v>
      </c>
      <c r="D33" s="726">
        <f>'Sockeye Returns Data'!AD33</f>
        <v>190819</v>
      </c>
      <c r="E33" s="1762">
        <f>'Sockeye Returns Data'!BW33</f>
        <v>178797.7576709826</v>
      </c>
      <c r="F33" s="1762">
        <f>'Sockeye Returns Data'!BX33</f>
        <v>12021.242329017421</v>
      </c>
      <c r="G33" s="1762">
        <f>'Sockeye Returns Data'!AW33</f>
        <v>173028.2</v>
      </c>
      <c r="H33" s="728">
        <f t="shared" si="0"/>
        <v>17790.799999999988</v>
      </c>
      <c r="I33" s="1764">
        <f t="shared" si="1"/>
        <v>0.90676609771563632</v>
      </c>
      <c r="J33" s="1764">
        <f>IF(G33/((C33-'Sockeye Returns Data'!F33)*'Sockeye Returns Data'!U33)&gt;1,1,G33/((C33-'Sockeye Returns Data'!F33)*'Sockeye Returns Data'!U33))</f>
        <v>0.91024476595923776</v>
      </c>
    </row>
    <row r="34" spans="1:10" x14ac:dyDescent="0.3">
      <c r="A34" s="669">
        <f>'Sockeye Returns Data'!A34</f>
        <v>2009</v>
      </c>
      <c r="B34" s="1763">
        <f>'Sockeye Returns Data'!C34</f>
        <v>187614</v>
      </c>
      <c r="C34" s="1762">
        <f>'Sockeye Returns Data'!E34</f>
        <v>186485</v>
      </c>
      <c r="D34" s="726">
        <f>'Sockeye Returns Data'!AD34</f>
        <v>154546</v>
      </c>
      <c r="E34" s="1762">
        <f>'Sockeye Returns Data'!BW34</f>
        <v>133812.08702041057</v>
      </c>
      <c r="F34" s="1762">
        <f>'Sockeye Returns Data'!BX34</f>
        <v>20733.912979589437</v>
      </c>
      <c r="G34" s="1762">
        <f>'Sockeye Returns Data'!AW34</f>
        <v>143056.89000000001</v>
      </c>
      <c r="H34" s="728">
        <f t="shared" si="0"/>
        <v>11489.109999999986</v>
      </c>
      <c r="I34" s="1764">
        <f t="shared" si="1"/>
        <v>0.9256589623801329</v>
      </c>
      <c r="J34" s="1764">
        <f>IF(G34/((C34-'Sockeye Returns Data'!F34)*'Sockeye Returns Data'!U34)&gt;1,1,G34/((C34-'Sockeye Returns Data'!F34)*'Sockeye Returns Data'!U34))</f>
        <v>0.93130581666052892</v>
      </c>
    </row>
    <row r="35" spans="1:10" x14ac:dyDescent="0.3">
      <c r="A35" s="669">
        <f>'Sockeye Returns Data'!A35</f>
        <v>2010</v>
      </c>
      <c r="B35" s="1763">
        <f>'Sockeye Returns Data'!C35</f>
        <v>409950</v>
      </c>
      <c r="C35" s="1762">
        <f>'Sockeye Returns Data'!E35</f>
        <v>408346</v>
      </c>
      <c r="D35" s="726">
        <f>'Sockeye Returns Data'!AD35</f>
        <v>355037</v>
      </c>
      <c r="E35" s="1762">
        <f>'Sockeye Returns Data'!BW35</f>
        <v>339944.98455698858</v>
      </c>
      <c r="F35" s="1762">
        <f>'Sockeye Returns Data'!BX35</f>
        <v>15092.015443011389</v>
      </c>
      <c r="G35" s="1762">
        <f>'Sockeye Returns Data'!AW35</f>
        <v>315144.38</v>
      </c>
      <c r="H35" s="728">
        <f t="shared" si="0"/>
        <v>39892.619999999995</v>
      </c>
      <c r="I35" s="1764">
        <f t="shared" si="1"/>
        <v>0.88763813349031229</v>
      </c>
      <c r="J35" s="1764">
        <f>IF(G35/((C35-'Sockeye Returns Data'!F35)*'Sockeye Returns Data'!U35)&gt;1,1,G35/((C35-'Sockeye Returns Data'!F35)*'Sockeye Returns Data'!U35))</f>
        <v>0.89113969652073233</v>
      </c>
    </row>
    <row r="36" spans="1:10" x14ac:dyDescent="0.3">
      <c r="A36" s="669">
        <f>'Sockeye Returns Data'!A36</f>
        <v>2011</v>
      </c>
      <c r="B36" s="1763">
        <f>'Sockeye Returns Data'!C36</f>
        <v>196529</v>
      </c>
      <c r="C36" s="1762">
        <f>'Sockeye Returns Data'!E36</f>
        <v>194960</v>
      </c>
      <c r="D36" s="726">
        <f>'Sockeye Returns Data'!AD36</f>
        <v>171572</v>
      </c>
      <c r="E36" s="1762">
        <f>'Sockeye Returns Data'!BW36</f>
        <v>56956.489206796672</v>
      </c>
      <c r="F36" s="1762">
        <f>'Sockeye Returns Data'!BX36</f>
        <v>114615.51079320333</v>
      </c>
      <c r="G36" s="1762">
        <f>'Sockeye Returns Data'!AW36</f>
        <v>125350.39999999999</v>
      </c>
      <c r="H36" s="728">
        <f t="shared" si="0"/>
        <v>46221.600000000006</v>
      </c>
      <c r="I36" s="1764">
        <f t="shared" si="1"/>
        <v>0.73059939850325228</v>
      </c>
      <c r="J36" s="1764">
        <f>IF(G36/((C36-'Sockeye Returns Data'!F36)*'Sockeye Returns Data'!U36)&gt;1,1,G36/((C36-'Sockeye Returns Data'!F36)*'Sockeye Returns Data'!U36))</f>
        <v>0.73652726417218473</v>
      </c>
    </row>
    <row r="37" spans="1:10" x14ac:dyDescent="0.3">
      <c r="A37" s="669">
        <f>'Sockeye Returns Data'!A37</f>
        <v>2012</v>
      </c>
      <c r="B37" s="1763">
        <f>'Sockeye Returns Data'!C37</f>
        <v>550232</v>
      </c>
      <c r="C37" s="1762">
        <f>'Sockeye Returns Data'!E37</f>
        <v>545637</v>
      </c>
      <c r="D37" s="726">
        <f>'Sockeye Returns Data'!AD37</f>
        <v>461765</v>
      </c>
      <c r="E37" s="1762">
        <f>'Sockeye Returns Data'!BW37</f>
        <v>401558.28786681773</v>
      </c>
      <c r="F37" s="1762">
        <f>'Sockeye Returns Data'!BX37</f>
        <v>60206.7121331823</v>
      </c>
      <c r="G37" s="1762">
        <f>'Sockeye Returns Data'!AW37</f>
        <v>367851.64</v>
      </c>
      <c r="H37" s="728">
        <f t="shared" si="0"/>
        <v>93913.359999999986</v>
      </c>
      <c r="I37" s="1764">
        <f t="shared" si="1"/>
        <v>0.79662087858542763</v>
      </c>
      <c r="J37" s="1764">
        <f>IF(G37/((C37-'Sockeye Returns Data'!F37)*'Sockeye Returns Data'!U37)&gt;1,1,G37/((C37-'Sockeye Returns Data'!F37)*'Sockeye Returns Data'!U37))</f>
        <v>0.80333615051156904</v>
      </c>
    </row>
    <row r="38" spans="1:10" x14ac:dyDescent="0.3">
      <c r="A38" s="669">
        <f>'Sockeye Returns Data'!A38</f>
        <v>2013</v>
      </c>
      <c r="B38" s="1763">
        <f>'Sockeye Returns Data'!C38</f>
        <v>195327</v>
      </c>
      <c r="C38" s="1762">
        <f>'Sockeye Returns Data'!E38</f>
        <v>194651</v>
      </c>
      <c r="D38" s="726">
        <f>'Sockeye Returns Data'!AD38</f>
        <v>159339</v>
      </c>
      <c r="E38" s="1762">
        <f>'Sockeye Returns Data'!BW38</f>
        <v>104583.98942719486</v>
      </c>
      <c r="F38" s="1762">
        <f>'Sockeye Returns Data'!BX38</f>
        <v>54755.010572805135</v>
      </c>
      <c r="G38" s="1762">
        <f>'Sockeye Returns Data'!AW38</f>
        <v>137509.94</v>
      </c>
      <c r="H38" s="728">
        <f t="shared" si="0"/>
        <v>21829.059999999998</v>
      </c>
      <c r="I38" s="1764">
        <f t="shared" si="1"/>
        <v>0.86300240368020387</v>
      </c>
      <c r="J38" s="1764">
        <f>IF(G38/((C38-'Sockeye Returns Data'!F38)*'Sockeye Returns Data'!U38)&gt;1,1,G38/((C38-'Sockeye Returns Data'!F38)*'Sockeye Returns Data'!U38))</f>
        <v>0.8660145051667415</v>
      </c>
    </row>
    <row r="39" spans="1:10" x14ac:dyDescent="0.3">
      <c r="A39" s="669">
        <f>'Sockeye Returns Data'!A39</f>
        <v>2014</v>
      </c>
      <c r="B39" s="1763">
        <f>'Sockeye Returns Data'!C39</f>
        <v>651702</v>
      </c>
      <c r="C39" s="1762">
        <f>'Sockeye Returns Data'!E39</f>
        <v>650354</v>
      </c>
      <c r="D39" s="726">
        <f>'Sockeye Returns Data'!AD39</f>
        <v>538819</v>
      </c>
      <c r="E39" s="1762">
        <f>'Sockeye Returns Data'!BW39</f>
        <v>391663.6338020282</v>
      </c>
      <c r="F39" s="1762">
        <f>'Sockeye Returns Data'!BX39</f>
        <v>147155.36619797183</v>
      </c>
      <c r="G39" s="1762">
        <f>'Sockeye Returns Data'!AW39</f>
        <v>522809.63</v>
      </c>
      <c r="H39" s="728">
        <f t="shared" si="0"/>
        <v>16009.369999999995</v>
      </c>
      <c r="I39" s="1764">
        <f t="shared" si="1"/>
        <v>0.97028803735577251</v>
      </c>
      <c r="J39" s="1764">
        <f>IF(G39/((C39-'Sockeye Returns Data'!F39)*'Sockeye Returns Data'!U39)&gt;1,1,G39/((C39-'Sockeye Returns Data'!F39)*'Sockeye Returns Data'!U39))</f>
        <v>0.97230777854398409</v>
      </c>
    </row>
    <row r="40" spans="1:10" x14ac:dyDescent="0.3">
      <c r="A40" s="669">
        <f>'Sockeye Returns Data'!A40</f>
        <v>2015</v>
      </c>
      <c r="B40" s="1763">
        <f>'Sockeye Returns Data'!C40</f>
        <v>542103</v>
      </c>
      <c r="C40" s="1762">
        <f>'Sockeye Returns Data'!E40</f>
        <v>540357</v>
      </c>
      <c r="D40" s="726">
        <f>'Sockeye Returns Data'!AD40</f>
        <v>437687</v>
      </c>
      <c r="E40" s="1762">
        <f>'Sockeye Returns Data'!BW40</f>
        <v>180919.31652446877</v>
      </c>
      <c r="F40" s="1762">
        <f>'Sockeye Returns Data'!BX40</f>
        <v>256767.68347553123</v>
      </c>
      <c r="G40" s="1762">
        <f>'Sockeye Returns Data'!AW40</f>
        <v>213501.95860171798</v>
      </c>
      <c r="H40" s="728">
        <f t="shared" si="0"/>
        <v>224185.04139828202</v>
      </c>
      <c r="I40" s="1764">
        <f t="shared" si="1"/>
        <v>0.48779597886553172</v>
      </c>
      <c r="J40" s="1764">
        <f>IF(G40/((C40-'Sockeye Returns Data'!F40)*'Sockeye Returns Data'!U40)&gt;1,1,G40/((C40-'Sockeye Returns Data'!F40)*'Sockeye Returns Data'!U40))</f>
        <v>0.48937755276637657</v>
      </c>
    </row>
    <row r="41" spans="1:10" x14ac:dyDescent="0.3">
      <c r="A41" s="669">
        <f>'Sockeye Returns Data'!A41</f>
        <v>2016</v>
      </c>
      <c r="B41" s="1763">
        <f>'Sockeye Returns Data'!C41</f>
        <v>363350</v>
      </c>
      <c r="C41" s="1762">
        <f>'Sockeye Returns Data'!E41</f>
        <v>361543</v>
      </c>
      <c r="D41" s="726">
        <f>'Sockeye Returns Data'!AD41</f>
        <v>275427</v>
      </c>
      <c r="E41" s="1762">
        <f>'Sockeye Returns Data'!BW41</f>
        <v>162368.05036650912</v>
      </c>
      <c r="F41" s="1762">
        <f>'Sockeye Returns Data'!BX41</f>
        <v>111873.78138264046</v>
      </c>
      <c r="G41" s="1762">
        <f>'Sockeye Returns Data'!AW41</f>
        <v>230206.96</v>
      </c>
      <c r="H41" s="728">
        <f t="shared" si="0"/>
        <v>45220.040000000008</v>
      </c>
      <c r="I41" s="1764">
        <f t="shared" si="1"/>
        <v>0.83581842012584096</v>
      </c>
      <c r="J41" s="1764">
        <f>IF(G41/((C41-'Sockeye Returns Data'!F41)*'Sockeye Returns Data'!U41)&gt;1,1,G41/((C41-'Sockeye Returns Data'!F41)*'Sockeye Returns Data'!U41))</f>
        <v>0.8400066964973143</v>
      </c>
    </row>
    <row r="42" spans="1:10" x14ac:dyDescent="0.3">
      <c r="A42" s="669">
        <f>'Sockeye Returns Data'!A42</f>
        <v>2017</v>
      </c>
      <c r="B42" s="1763">
        <f>'Sockeye Returns Data'!C42</f>
        <v>91242</v>
      </c>
      <c r="C42" s="1762">
        <f>'Sockeye Returns Data'!E42</f>
        <v>90672</v>
      </c>
      <c r="D42" s="726">
        <f>'Sockeye Returns Data'!AD42</f>
        <v>58111</v>
      </c>
      <c r="E42" s="1762">
        <f>'Sockeye Returns Data'!BW42</f>
        <v>15714.374307684035</v>
      </c>
      <c r="F42" s="1762">
        <f>'Sockeye Returns Data'!BX42</f>
        <v>42396.625692315967</v>
      </c>
      <c r="G42" s="1762">
        <f>'Sockeye Returns Data'!AW42</f>
        <v>45339.64</v>
      </c>
      <c r="H42" s="728">
        <f t="shared" si="0"/>
        <v>12771.36</v>
      </c>
      <c r="I42" s="1764">
        <f t="shared" si="1"/>
        <v>0.78022474230352257</v>
      </c>
      <c r="J42" s="1764">
        <f>IF(G42/((C42-'Sockeye Returns Data'!F42)*'Sockeye Returns Data'!U42)&gt;1,1,G42/((C42-'Sockeye Returns Data'!F42)*'Sockeye Returns Data'!U42))</f>
        <v>0.78515746220685378</v>
      </c>
    </row>
    <row r="43" spans="1:10" x14ac:dyDescent="0.3">
      <c r="A43" s="669">
        <f>'Sockeye Returns Data'!A43</f>
        <v>2018</v>
      </c>
      <c r="B43" s="1763">
        <f>'Sockeye Returns Data'!C43</f>
        <v>203637</v>
      </c>
      <c r="C43" s="1762">
        <f>'Sockeye Returns Data'!E43</f>
        <v>203486</v>
      </c>
      <c r="D43" s="726">
        <f>'Sockeye Returns Data'!AD43</f>
        <v>187073</v>
      </c>
      <c r="E43" s="1762">
        <f>'Sockeye Returns Data'!BW43</f>
        <v>78967.627382958686</v>
      </c>
      <c r="F43" s="1762">
        <f>'Sockeye Returns Data'!BX43</f>
        <v>107909.42316944095</v>
      </c>
      <c r="G43" s="1762">
        <f>'Sockeye Returns Data'!AW43</f>
        <v>163078.96</v>
      </c>
      <c r="H43" s="728">
        <f t="shared" si="0"/>
        <v>23994.040000000008</v>
      </c>
      <c r="I43" s="1764">
        <f t="shared" si="1"/>
        <v>0.87173969519920025</v>
      </c>
      <c r="J43" s="1764">
        <f>IF(G43/((C43-'Sockeye Returns Data'!F43)*'Sockeye Returns Data'!U43)&gt;1,1,G43/((C43-'Sockeye Returns Data'!F43)*'Sockeye Returns Data'!U43))</f>
        <v>0.87238846163146022</v>
      </c>
    </row>
    <row r="44" spans="1:10" x14ac:dyDescent="0.3">
      <c r="A44" s="669">
        <f>'Sockeye Returns Data'!A44</f>
        <v>2019</v>
      </c>
      <c r="B44" s="1763">
        <f>'Sockeye Returns Data'!C44</f>
        <v>64511</v>
      </c>
      <c r="C44" s="1762">
        <f>'Sockeye Returns Data'!E44</f>
        <v>64470</v>
      </c>
      <c r="D44" s="726">
        <f>'Sockeye Returns Data'!AD44</f>
        <v>54550</v>
      </c>
      <c r="E44" s="1762">
        <f>'Sockeye Returns Data'!BW44</f>
        <v>27808.12446155211</v>
      </c>
      <c r="F44" s="1762">
        <f>'Sockeye Returns Data'!BX44</f>
        <v>25264.300600963616</v>
      </c>
      <c r="G44" s="1762">
        <f>'Sockeye Returns Data'!AW44</f>
        <v>50819.1</v>
      </c>
      <c r="H44" s="728">
        <f t="shared" si="0"/>
        <v>3730.9000000000015</v>
      </c>
      <c r="I44" s="1764">
        <f t="shared" si="1"/>
        <v>0.93160586617781849</v>
      </c>
      <c r="J44" s="1764">
        <f>IF(G44/((C44-'Sockeye Returns Data'!F44)*'Sockeye Returns Data'!U44)&gt;1,1,G44/((C44-'Sockeye Returns Data'!F44)*'Sockeye Returns Data'!U44))</f>
        <v>0.93220825556386111</v>
      </c>
    </row>
    <row r="45" spans="1:10" x14ac:dyDescent="0.3">
      <c r="A45" s="669">
        <f>'Sockeye Returns Data'!A45</f>
        <v>2020</v>
      </c>
      <c r="B45" s="1763">
        <f>'Sockeye Returns Data'!C45</f>
        <v>364015</v>
      </c>
      <c r="C45" s="1762">
        <f>'Sockeye Returns Data'!E45</f>
        <v>360736</v>
      </c>
      <c r="D45" s="726">
        <f>'Sockeye Returns Data'!AD45</f>
        <v>308775</v>
      </c>
      <c r="E45" s="1762">
        <f>'Sockeye Returns Data'!BW45</f>
        <v>159970.04156710723</v>
      </c>
      <c r="F45" s="1762">
        <f>'Sockeye Returns Data'!BX45</f>
        <v>144557.96617889882</v>
      </c>
      <c r="G45" s="1762">
        <f>'Sockeye Returns Data'!AW45</f>
        <v>246614.95</v>
      </c>
      <c r="H45" s="728">
        <f t="shared" si="0"/>
        <v>62160.049999999988</v>
      </c>
      <c r="I45" s="1764">
        <f t="shared" si="1"/>
        <v>0.79868820338434143</v>
      </c>
      <c r="J45" s="1764">
        <f>IF(G45/((C45-'Sockeye Returns Data'!F45)*'Sockeye Returns Data'!U45)&gt;1,1,G45/((C45-'Sockeye Returns Data'!F45)*'Sockeye Returns Data'!U45))</f>
        <v>0.80596255213846557</v>
      </c>
    </row>
    <row r="46" spans="1:10" x14ac:dyDescent="0.3">
      <c r="A46" s="669">
        <f>'Sockeye Returns Data'!A46</f>
        <v>2021</v>
      </c>
      <c r="B46" s="1763">
        <f>'Sockeye Returns Data'!C46</f>
        <v>159340</v>
      </c>
      <c r="C46" s="1762">
        <f>'Sockeye Returns Data'!E46</f>
        <v>158783</v>
      </c>
      <c r="D46" s="726">
        <f>'Sockeye Returns Data'!AD46</f>
        <v>114039</v>
      </c>
      <c r="E46" s="1762">
        <f>'Sockeye Returns Data'!BW46</f>
        <v>55371.464605909532</v>
      </c>
      <c r="F46" s="1762">
        <f>'Sockeye Returns Data'!BX46</f>
        <v>55262.001124478731</v>
      </c>
      <c r="G46" s="1762">
        <f>'Sockeye Returns Data'!AW46</f>
        <v>85778.44</v>
      </c>
      <c r="H46" s="728">
        <f t="shared" si="0"/>
        <v>28260.559999999998</v>
      </c>
      <c r="I46" s="1764">
        <f t="shared" si="1"/>
        <v>0.75218512964862905</v>
      </c>
      <c r="J46" s="1764">
        <f>IF(G46/((C46-'Sockeye Returns Data'!F46)*'Sockeye Returns Data'!U46)&gt;1,1,G46/((C46-'Sockeye Returns Data'!F46)*'Sockeye Returns Data'!U46))</f>
        <v>0.75483727672144407</v>
      </c>
    </row>
    <row r="47" spans="1:10" ht="15" thickBot="1" x14ac:dyDescent="0.35">
      <c r="A47" s="1771">
        <f>'Sockeye Returns Data'!A47</f>
        <v>2022</v>
      </c>
      <c r="B47" s="1772">
        <f>'Sockeye Returns Data'!C47</f>
        <v>704203</v>
      </c>
      <c r="C47" s="1773">
        <f>'Sockeye Returns Data'!E47</f>
        <v>702522</v>
      </c>
      <c r="D47" s="1774">
        <f>'Sockeye Returns Data'!AD47</f>
        <v>582555</v>
      </c>
      <c r="E47" s="1773">
        <f>'Sockeye Returns Data'!BW47</f>
        <v>414583.32661141601</v>
      </c>
      <c r="F47" s="1773">
        <f>'Sockeye Returns Data'!BX47</f>
        <v>169642.35050568002</v>
      </c>
      <c r="G47" s="1773">
        <f>'Sockeye Returns Data'!AW47</f>
        <v>478418</v>
      </c>
      <c r="H47" s="1775">
        <f t="shared" si="0"/>
        <v>104137</v>
      </c>
      <c r="I47" s="1776">
        <f t="shared" si="1"/>
        <v>0.8212409128751792</v>
      </c>
      <c r="J47" s="1776">
        <f>IF(G47/((C47-'Sockeye Returns Data'!F47)*'Sockeye Returns Data'!U47)&gt;1,1,G47/((C47-'Sockeye Returns Data'!F47)*'Sockeye Returns Data'!U47))</f>
        <v>0.82321192716245761</v>
      </c>
    </row>
    <row r="48" spans="1:10" ht="15" thickBot="1" x14ac:dyDescent="0.35">
      <c r="A48" s="2640" t="s">
        <v>1149</v>
      </c>
      <c r="B48" s="2641"/>
      <c r="C48" s="2641"/>
      <c r="D48" s="2641"/>
      <c r="E48" s="2641"/>
      <c r="F48" s="2641"/>
      <c r="G48" s="2641"/>
      <c r="H48" s="2641"/>
      <c r="I48" s="1777">
        <f>AVERAGE(I2:I47)</f>
        <v>0.83248199892560282</v>
      </c>
      <c r="J48" s="1778">
        <f>AVERAGE(J2:J47)</f>
        <v>0.84625129108095298</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3" t="s">
        <v>1150</v>
      </c>
      <c r="B1" s="1824" t="s">
        <v>1151</v>
      </c>
      <c r="C1" s="1824" t="s">
        <v>1152</v>
      </c>
      <c r="D1" s="1824" t="s">
        <v>1153</v>
      </c>
      <c r="E1" s="1824" t="s">
        <v>1</v>
      </c>
      <c r="F1" s="1824" t="s">
        <v>1154</v>
      </c>
      <c r="G1" s="1824" t="s">
        <v>1155</v>
      </c>
      <c r="H1" s="1824" t="s">
        <v>1156</v>
      </c>
    </row>
    <row r="2" spans="1:8" x14ac:dyDescent="0.3">
      <c r="A2" s="1012">
        <v>1998</v>
      </c>
      <c r="B2" s="1825">
        <v>66973</v>
      </c>
      <c r="C2" s="1825">
        <v>76947</v>
      </c>
      <c r="D2" s="1825">
        <v>67140</v>
      </c>
      <c r="E2" s="1825">
        <v>1209167</v>
      </c>
      <c r="F2" s="1826">
        <v>5.5E-2</v>
      </c>
      <c r="G2" s="1826">
        <v>6.4000000000000001E-2</v>
      </c>
      <c r="H2" s="1826">
        <v>5.6000000000000001E-2</v>
      </c>
    </row>
    <row r="3" spans="1:8" x14ac:dyDescent="0.3">
      <c r="A3" s="1012">
        <v>1999</v>
      </c>
      <c r="B3" s="1825">
        <v>93367</v>
      </c>
      <c r="C3" s="1825">
        <v>84033</v>
      </c>
      <c r="D3" s="1825">
        <v>92948</v>
      </c>
      <c r="E3" s="1825">
        <v>3099743</v>
      </c>
      <c r="F3" s="1826">
        <v>0.03</v>
      </c>
      <c r="G3" s="1826">
        <v>2.7E-2</v>
      </c>
      <c r="H3" s="1826">
        <v>0.03</v>
      </c>
    </row>
    <row r="4" spans="1:8" x14ac:dyDescent="0.3">
      <c r="A4" s="1012">
        <v>2000</v>
      </c>
      <c r="B4" s="1825">
        <v>13752</v>
      </c>
      <c r="C4" s="1825">
        <v>14593</v>
      </c>
      <c r="D4" s="1825">
        <v>14552</v>
      </c>
      <c r="E4" s="1825">
        <v>281333</v>
      </c>
      <c r="F4" s="1826">
        <v>4.9000000000000002E-2</v>
      </c>
      <c r="G4" s="1826">
        <v>5.1999999999999998E-2</v>
      </c>
      <c r="H4" s="1826">
        <v>5.1999999999999998E-2</v>
      </c>
    </row>
    <row r="5" spans="1:8" x14ac:dyDescent="0.3">
      <c r="A5" s="1012">
        <v>2001</v>
      </c>
      <c r="B5" s="1825">
        <v>17901</v>
      </c>
      <c r="C5" s="1825">
        <v>32305</v>
      </c>
      <c r="D5" s="1825">
        <v>31167</v>
      </c>
      <c r="E5" s="1825">
        <v>1446600</v>
      </c>
      <c r="F5" s="1826">
        <v>1.2E-2</v>
      </c>
      <c r="G5" s="1826">
        <v>2.1999999999999999E-2</v>
      </c>
      <c r="H5" s="1826">
        <v>2.1999999999999999E-2</v>
      </c>
    </row>
    <row r="6" spans="1:8" x14ac:dyDescent="0.3">
      <c r="A6" s="1012">
        <v>2002</v>
      </c>
      <c r="B6" s="1825">
        <v>109060</v>
      </c>
      <c r="C6" s="1825">
        <v>91074</v>
      </c>
      <c r="D6" s="1825">
        <v>91074</v>
      </c>
      <c r="E6" s="1825">
        <v>2927009</v>
      </c>
      <c r="F6" s="1826">
        <v>3.6999999999999998E-2</v>
      </c>
      <c r="G6" s="1826">
        <v>3.1E-2</v>
      </c>
      <c r="H6" s="1826">
        <v>3.1E-2</v>
      </c>
    </row>
    <row r="7" spans="1:8" x14ac:dyDescent="0.3">
      <c r="A7" s="1012">
        <v>2003</v>
      </c>
      <c r="B7" s="1825">
        <v>60981</v>
      </c>
      <c r="C7" s="1825">
        <v>62695</v>
      </c>
      <c r="D7" s="1825">
        <v>62695</v>
      </c>
      <c r="E7" s="1825">
        <v>2080978</v>
      </c>
      <c r="F7" s="1826">
        <v>2.9000000000000001E-2</v>
      </c>
      <c r="G7" s="1826">
        <v>0.03</v>
      </c>
      <c r="H7" s="1826">
        <v>0.03</v>
      </c>
    </row>
    <row r="8" spans="1:8" x14ac:dyDescent="0.3">
      <c r="A8" s="1012">
        <v>2004</v>
      </c>
      <c r="B8" s="1825">
        <v>27291</v>
      </c>
      <c r="C8" s="1825">
        <v>28000</v>
      </c>
      <c r="D8" s="1825">
        <v>28000</v>
      </c>
      <c r="E8" s="1825">
        <v>627855</v>
      </c>
      <c r="F8" s="1826">
        <v>4.2999999999999997E-2</v>
      </c>
      <c r="G8" s="1826">
        <v>4.4999999999999998E-2</v>
      </c>
      <c r="H8" s="1826">
        <v>4.4999999999999998E-2</v>
      </c>
    </row>
    <row r="9" spans="1:8" x14ac:dyDescent="0.3">
      <c r="A9" s="1012">
        <v>2005</v>
      </c>
      <c r="B9" s="1825">
        <v>12556</v>
      </c>
      <c r="C9" s="1825">
        <v>13709</v>
      </c>
      <c r="D9" s="1825">
        <v>13709</v>
      </c>
      <c r="E9" s="1825">
        <v>735805</v>
      </c>
      <c r="F9" s="1826">
        <v>1.7000000000000001E-2</v>
      </c>
      <c r="G9" s="1826">
        <v>1.9E-2</v>
      </c>
      <c r="H9" s="1826">
        <v>1.9E-2</v>
      </c>
    </row>
    <row r="10" spans="1:8" x14ac:dyDescent="0.3">
      <c r="A10" s="1012">
        <v>2006</v>
      </c>
      <c r="B10" s="1825">
        <v>174713</v>
      </c>
      <c r="C10" s="1825">
        <v>185084</v>
      </c>
      <c r="D10" s="1825">
        <v>185084</v>
      </c>
      <c r="E10" s="1825">
        <v>1783500</v>
      </c>
      <c r="F10" s="1826">
        <v>9.8000000000000004E-2</v>
      </c>
      <c r="G10" s="1826">
        <v>0.104</v>
      </c>
      <c r="H10" s="1826">
        <v>0.104</v>
      </c>
    </row>
    <row r="11" spans="1:8" x14ac:dyDescent="0.3">
      <c r="A11" s="1012">
        <v>2007</v>
      </c>
      <c r="B11" s="1825">
        <v>132470</v>
      </c>
      <c r="C11" s="1825">
        <v>154865</v>
      </c>
      <c r="D11" s="1825">
        <v>154865</v>
      </c>
      <c r="E11" s="1825">
        <v>2026709</v>
      </c>
      <c r="F11" s="1826">
        <v>6.5000000000000002E-2</v>
      </c>
      <c r="G11" s="1826">
        <v>7.5999999999999998E-2</v>
      </c>
      <c r="H11" s="1826">
        <v>7.5999999999999998E-2</v>
      </c>
    </row>
    <row r="12" spans="1:8" x14ac:dyDescent="0.3">
      <c r="A12" s="1012">
        <v>2008</v>
      </c>
      <c r="B12" s="1825">
        <v>354925</v>
      </c>
      <c r="C12" s="1825">
        <v>313000</v>
      </c>
      <c r="D12" s="1825">
        <v>313000</v>
      </c>
      <c r="E12" s="1825">
        <v>2133694</v>
      </c>
      <c r="F12" s="1826">
        <v>0.16600000000000001</v>
      </c>
      <c r="G12" s="1826">
        <v>0.14699999999999999</v>
      </c>
      <c r="H12" s="1826">
        <v>0.14699999999999999</v>
      </c>
    </row>
    <row r="13" spans="1:8" x14ac:dyDescent="0.3">
      <c r="A13" s="1012">
        <v>2009</v>
      </c>
      <c r="B13" s="1825">
        <v>52555</v>
      </c>
      <c r="C13" s="1825">
        <v>63175</v>
      </c>
      <c r="D13" s="1825">
        <v>63175</v>
      </c>
      <c r="E13" s="1825">
        <v>875327</v>
      </c>
      <c r="F13" s="1826">
        <v>0.06</v>
      </c>
      <c r="G13" s="1826">
        <v>7.1999999999999995E-2</v>
      </c>
      <c r="H13" s="1826">
        <v>7.1999999999999995E-2</v>
      </c>
    </row>
    <row r="14" spans="1:8" x14ac:dyDescent="0.3">
      <c r="A14" s="1012">
        <v>2010</v>
      </c>
      <c r="B14" s="1825">
        <v>415454</v>
      </c>
      <c r="C14" s="1825">
        <v>407984</v>
      </c>
      <c r="D14" s="1825">
        <v>407984</v>
      </c>
      <c r="E14" s="1825">
        <v>7488306</v>
      </c>
      <c r="F14" s="1826">
        <v>5.5E-2</v>
      </c>
      <c r="G14" s="1826">
        <v>5.3999999999999999E-2</v>
      </c>
      <c r="H14" s="1826">
        <v>5.3999999999999999E-2</v>
      </c>
    </row>
    <row r="15" spans="1:8" x14ac:dyDescent="0.3">
      <c r="A15" s="1012">
        <v>2011</v>
      </c>
      <c r="B15" s="1825">
        <v>74985</v>
      </c>
      <c r="C15" s="1825">
        <v>92188</v>
      </c>
      <c r="D15" s="1825">
        <v>92188</v>
      </c>
      <c r="E15" s="1825">
        <v>812440</v>
      </c>
      <c r="F15" s="1826">
        <v>9.1999999999999998E-2</v>
      </c>
      <c r="G15" s="1826">
        <v>0.113</v>
      </c>
      <c r="H15" s="1826">
        <v>0.113</v>
      </c>
    </row>
    <row r="16" spans="1:8" x14ac:dyDescent="0.3">
      <c r="A16" s="1012">
        <v>2012</v>
      </c>
      <c r="B16" s="1825">
        <v>346044</v>
      </c>
      <c r="C16" s="1825">
        <v>380167</v>
      </c>
      <c r="D16" s="1825">
        <v>380167</v>
      </c>
      <c r="E16" s="1825">
        <v>4435800</v>
      </c>
      <c r="F16" s="1826">
        <v>7.8E-2</v>
      </c>
      <c r="G16" s="1826">
        <v>8.5999999999999993E-2</v>
      </c>
      <c r="H16" s="1826">
        <v>8.5999999999999993E-2</v>
      </c>
    </row>
    <row r="17" spans="1:8" x14ac:dyDescent="0.3">
      <c r="A17" s="1012">
        <v>2013</v>
      </c>
      <c r="B17" s="1825">
        <v>249738</v>
      </c>
      <c r="C17" s="1825">
        <v>202285</v>
      </c>
      <c r="D17" s="1825">
        <v>202285</v>
      </c>
      <c r="E17" s="1825">
        <v>2603607</v>
      </c>
      <c r="F17" s="1826">
        <v>9.6000000000000002E-2</v>
      </c>
      <c r="G17" s="1826">
        <v>7.8E-2</v>
      </c>
      <c r="H17" s="1826">
        <v>7.8E-2</v>
      </c>
    </row>
    <row r="18" spans="1:8" x14ac:dyDescent="0.3">
      <c r="A18" s="1012">
        <v>2014</v>
      </c>
      <c r="B18" s="1825">
        <v>164417</v>
      </c>
      <c r="C18" s="1825">
        <v>161042</v>
      </c>
      <c r="D18" s="1825">
        <v>161042</v>
      </c>
      <c r="E18" s="1825">
        <v>4938991</v>
      </c>
      <c r="F18" s="1826">
        <v>3.3000000000000002E-2</v>
      </c>
      <c r="G18" s="1826">
        <v>3.3000000000000002E-2</v>
      </c>
      <c r="H18" s="1826">
        <v>3.3000000000000002E-2</v>
      </c>
    </row>
    <row r="19" spans="1:8" x14ac:dyDescent="0.3">
      <c r="A19" s="1012">
        <v>2015</v>
      </c>
      <c r="B19" s="1825">
        <v>10953</v>
      </c>
      <c r="C19" s="1825">
        <v>15044</v>
      </c>
      <c r="D19" s="1825">
        <v>15044</v>
      </c>
      <c r="E19" s="1825">
        <v>2209546</v>
      </c>
      <c r="F19" s="1826">
        <v>5.0000000000000001E-3</v>
      </c>
      <c r="G19" s="1826">
        <v>7.0000000000000001E-3</v>
      </c>
      <c r="H19" s="1826">
        <v>7.0000000000000001E-3</v>
      </c>
    </row>
    <row r="20" spans="1:8" x14ac:dyDescent="0.3">
      <c r="A20" s="1012">
        <v>2016</v>
      </c>
      <c r="B20" s="1825">
        <v>87885</v>
      </c>
      <c r="C20" s="1825">
        <v>88046</v>
      </c>
      <c r="D20" s="1825">
        <v>87648</v>
      </c>
      <c r="E20" s="1825">
        <v>7383151</v>
      </c>
      <c r="F20" s="1826">
        <v>1.2E-2</v>
      </c>
      <c r="G20" s="1826">
        <v>1.2E-2</v>
      </c>
      <c r="H20" s="1826">
        <v>1.2E-2</v>
      </c>
    </row>
    <row r="21" spans="1:8" x14ac:dyDescent="0.3">
      <c r="A21" s="1012">
        <v>2017</v>
      </c>
      <c r="B21" s="1825">
        <v>8515</v>
      </c>
      <c r="C21" s="1825">
        <v>17794</v>
      </c>
      <c r="D21" s="1825">
        <v>17794</v>
      </c>
      <c r="E21" s="1825">
        <v>1885712</v>
      </c>
      <c r="F21" s="1826">
        <v>5.0000000000000001E-3</v>
      </c>
      <c r="G21" s="1826">
        <v>8.9999999999999993E-3</v>
      </c>
      <c r="H21" s="1826">
        <v>8.9999999999999993E-3</v>
      </c>
    </row>
    <row r="22" spans="1:8" x14ac:dyDescent="0.3">
      <c r="A22" s="1012">
        <v>2018</v>
      </c>
      <c r="B22" s="1825">
        <v>185015</v>
      </c>
      <c r="C22" s="1825">
        <v>168418</v>
      </c>
      <c r="D22" s="1825">
        <v>168418</v>
      </c>
      <c r="E22" s="1825">
        <v>4122796</v>
      </c>
      <c r="F22" s="1826">
        <v>4.4999999999999998E-2</v>
      </c>
      <c r="G22" s="1826">
        <v>4.1000000000000002E-2</v>
      </c>
      <c r="H22" s="1826">
        <v>4.1000000000000002E-2</v>
      </c>
    </row>
    <row r="23" spans="1:8" x14ac:dyDescent="0.3">
      <c r="A23" s="1012">
        <v>2019</v>
      </c>
      <c r="B23" s="1825">
        <v>35679</v>
      </c>
      <c r="C23" s="1825">
        <v>44248</v>
      </c>
      <c r="D23" s="1825">
        <v>44248</v>
      </c>
      <c r="E23" s="1825">
        <v>1556054</v>
      </c>
      <c r="F23" s="1826">
        <v>2.3E-2</v>
      </c>
      <c r="G23" s="1826">
        <v>2.8000000000000001E-2</v>
      </c>
      <c r="H23" s="1826">
        <v>2.8000000000000001E-2</v>
      </c>
    </row>
    <row r="24" spans="1:8" x14ac:dyDescent="0.3">
      <c r="A24" s="1012">
        <v>2020</v>
      </c>
      <c r="B24" s="1825">
        <v>15970</v>
      </c>
      <c r="C24" s="1825">
        <v>11230</v>
      </c>
      <c r="D24" s="1825">
        <v>11230</v>
      </c>
      <c r="E24" s="1825">
        <v>2540161</v>
      </c>
      <c r="F24" s="1826">
        <v>6.0000000000000001E-3</v>
      </c>
      <c r="G24" s="1826">
        <v>4.0000000000000001E-3</v>
      </c>
      <c r="H24" s="1826">
        <v>4.0000000000000001E-3</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5" t="s">
        <v>1157</v>
      </c>
      <c r="B1" s="1746" t="s">
        <v>1158</v>
      </c>
      <c r="C1" s="1747" t="s">
        <v>1159</v>
      </c>
      <c r="D1" s="1747" t="s">
        <v>1160</v>
      </c>
      <c r="E1" s="1747" t="s">
        <v>1161</v>
      </c>
      <c r="F1" s="1747" t="s">
        <v>1162</v>
      </c>
      <c r="G1" s="1747" t="s">
        <v>1163</v>
      </c>
      <c r="H1" s="1747" t="s">
        <v>1164</v>
      </c>
      <c r="I1" s="1747" t="s">
        <v>1165</v>
      </c>
      <c r="J1" s="1747" t="s">
        <v>1166</v>
      </c>
      <c r="K1" s="1747" t="s">
        <v>1167</v>
      </c>
      <c r="L1" s="1747" t="s">
        <v>1168</v>
      </c>
      <c r="M1" s="1747" t="s">
        <v>1169</v>
      </c>
      <c r="N1" s="1747" t="s">
        <v>1170</v>
      </c>
    </row>
    <row r="2" spans="1:14" ht="15.6" thickBot="1" x14ac:dyDescent="0.35">
      <c r="A2" s="1748" t="s">
        <v>1171</v>
      </c>
      <c r="B2" s="1749">
        <v>2006</v>
      </c>
      <c r="C2" s="1749">
        <v>496</v>
      </c>
      <c r="D2" s="1749">
        <v>0</v>
      </c>
      <c r="E2" s="1749">
        <v>322</v>
      </c>
      <c r="F2" s="1749">
        <v>175</v>
      </c>
      <c r="G2" s="1749">
        <v>19397</v>
      </c>
      <c r="H2" s="1749">
        <v>0</v>
      </c>
      <c r="I2" s="1749">
        <v>0</v>
      </c>
      <c r="J2" s="1749">
        <v>0</v>
      </c>
      <c r="K2" s="1749">
        <v>0</v>
      </c>
      <c r="L2" s="1749">
        <v>0</v>
      </c>
      <c r="M2" s="1749">
        <v>0</v>
      </c>
      <c r="N2" s="1749">
        <v>0</v>
      </c>
    </row>
    <row r="3" spans="1:14" ht="15.6" thickBot="1" x14ac:dyDescent="0.35">
      <c r="A3" s="1750" t="s">
        <v>1171</v>
      </c>
      <c r="B3" s="1751">
        <v>2007</v>
      </c>
      <c r="C3" s="1751">
        <v>454</v>
      </c>
      <c r="D3" s="1751">
        <v>0</v>
      </c>
      <c r="E3" s="1751">
        <v>218</v>
      </c>
      <c r="F3" s="1751">
        <v>46</v>
      </c>
      <c r="G3" s="1751">
        <v>17708</v>
      </c>
      <c r="H3" s="1751">
        <v>0</v>
      </c>
      <c r="I3" s="1751">
        <v>0</v>
      </c>
      <c r="J3" s="1751">
        <v>0</v>
      </c>
      <c r="K3" s="1751">
        <v>0</v>
      </c>
      <c r="L3" s="1751">
        <v>0</v>
      </c>
      <c r="M3" s="1751">
        <v>0</v>
      </c>
      <c r="N3" s="1751">
        <v>0</v>
      </c>
    </row>
    <row r="4" spans="1:14" ht="15.6" thickBot="1" x14ac:dyDescent="0.35">
      <c r="A4" s="1748" t="s">
        <v>1171</v>
      </c>
      <c r="B4" s="1749">
        <v>2008</v>
      </c>
      <c r="C4" s="1749">
        <v>328</v>
      </c>
      <c r="D4" s="1749">
        <v>0</v>
      </c>
      <c r="E4" s="1749">
        <v>173</v>
      </c>
      <c r="F4" s="1749">
        <v>50</v>
      </c>
      <c r="G4" s="1749">
        <v>77533</v>
      </c>
      <c r="H4" s="1749">
        <v>0</v>
      </c>
      <c r="I4" s="1749">
        <v>0</v>
      </c>
      <c r="J4" s="1749">
        <v>0</v>
      </c>
      <c r="K4" s="1749">
        <v>0</v>
      </c>
      <c r="L4" s="1749">
        <v>0</v>
      </c>
      <c r="M4" s="1749">
        <v>0</v>
      </c>
      <c r="N4" s="1749">
        <v>0</v>
      </c>
    </row>
    <row r="5" spans="1:14" ht="15.6" thickBot="1" x14ac:dyDescent="0.35">
      <c r="A5" s="1750" t="s">
        <v>1171</v>
      </c>
      <c r="B5" s="1751">
        <v>2009</v>
      </c>
      <c r="C5" s="1751">
        <v>128</v>
      </c>
      <c r="D5" s="1751">
        <v>0</v>
      </c>
      <c r="E5" s="1751">
        <v>444</v>
      </c>
      <c r="F5" s="1751">
        <v>69</v>
      </c>
      <c r="G5" s="1751">
        <v>60970</v>
      </c>
      <c r="H5" s="1751">
        <v>0</v>
      </c>
      <c r="I5" s="1751">
        <v>0</v>
      </c>
      <c r="J5" s="1751">
        <v>0</v>
      </c>
      <c r="K5" s="1751">
        <v>0</v>
      </c>
      <c r="L5" s="1751">
        <v>0</v>
      </c>
      <c r="M5" s="1751">
        <v>0</v>
      </c>
      <c r="N5" s="1751">
        <v>0</v>
      </c>
    </row>
    <row r="6" spans="1:14" ht="15.6" thickBot="1" x14ac:dyDescent="0.35">
      <c r="A6" s="1748" t="s">
        <v>1171</v>
      </c>
      <c r="B6" s="1749">
        <v>2010</v>
      </c>
      <c r="C6" s="1749">
        <v>245</v>
      </c>
      <c r="D6" s="1749">
        <v>0</v>
      </c>
      <c r="E6" s="1749">
        <v>450</v>
      </c>
      <c r="F6" s="1749">
        <v>127</v>
      </c>
      <c r="G6" s="1749">
        <v>208303</v>
      </c>
      <c r="H6" s="1749">
        <v>0</v>
      </c>
      <c r="I6" s="1749">
        <v>0</v>
      </c>
      <c r="J6" s="1749">
        <v>0</v>
      </c>
      <c r="K6" s="1749">
        <v>0</v>
      </c>
      <c r="L6" s="1749">
        <v>0</v>
      </c>
      <c r="M6" s="1749">
        <v>0</v>
      </c>
      <c r="N6" s="1749">
        <v>0</v>
      </c>
    </row>
    <row r="7" spans="1:14" ht="15.6" thickBot="1" x14ac:dyDescent="0.35">
      <c r="A7" s="1750" t="s">
        <v>1171</v>
      </c>
      <c r="B7" s="1751">
        <v>2011</v>
      </c>
      <c r="C7" s="1751">
        <v>917</v>
      </c>
      <c r="D7" s="1751">
        <v>492</v>
      </c>
      <c r="E7" s="1751">
        <v>282</v>
      </c>
      <c r="F7" s="1751">
        <v>72</v>
      </c>
      <c r="G7" s="1751">
        <v>2005</v>
      </c>
      <c r="H7" s="1751">
        <v>0</v>
      </c>
      <c r="I7" s="1751">
        <v>0</v>
      </c>
      <c r="J7" s="1751">
        <v>0</v>
      </c>
      <c r="K7" s="1751">
        <v>0</v>
      </c>
      <c r="L7" s="1751">
        <v>0</v>
      </c>
      <c r="M7" s="1751">
        <v>0</v>
      </c>
      <c r="N7" s="1751">
        <v>0</v>
      </c>
    </row>
    <row r="8" spans="1:14" ht="15.6" thickBot="1" x14ac:dyDescent="0.35">
      <c r="A8" s="1748" t="s">
        <v>1171</v>
      </c>
      <c r="B8" s="1749">
        <v>2012</v>
      </c>
      <c r="C8" s="1749">
        <v>616</v>
      </c>
      <c r="D8" s="1749">
        <v>210</v>
      </c>
      <c r="E8" s="1749">
        <v>209</v>
      </c>
      <c r="F8" s="1749">
        <v>49</v>
      </c>
      <c r="G8" s="1749">
        <v>17219</v>
      </c>
      <c r="H8" s="1749">
        <v>16</v>
      </c>
      <c r="I8" s="1749">
        <v>0</v>
      </c>
      <c r="J8" s="1749">
        <v>0</v>
      </c>
      <c r="K8" s="1749">
        <v>0</v>
      </c>
      <c r="L8" s="1749">
        <v>0</v>
      </c>
      <c r="M8" s="1749">
        <v>0</v>
      </c>
      <c r="N8" s="1749">
        <v>0</v>
      </c>
    </row>
    <row r="9" spans="1:14" ht="15.6" thickBot="1" x14ac:dyDescent="0.35">
      <c r="A9" s="1750" t="s">
        <v>1171</v>
      </c>
      <c r="B9" s="1751">
        <v>2013</v>
      </c>
      <c r="C9" s="1751">
        <v>2025</v>
      </c>
      <c r="D9" s="1751">
        <v>255</v>
      </c>
      <c r="E9" s="1751">
        <v>230</v>
      </c>
      <c r="F9" s="1751">
        <v>76</v>
      </c>
      <c r="G9" s="1751">
        <v>16670</v>
      </c>
      <c r="H9" s="1751">
        <v>1</v>
      </c>
      <c r="I9" s="1751">
        <v>0</v>
      </c>
      <c r="J9" s="1751">
        <v>0</v>
      </c>
      <c r="K9" s="1751">
        <v>0</v>
      </c>
      <c r="L9" s="1751">
        <v>2</v>
      </c>
      <c r="M9" s="1751">
        <v>0</v>
      </c>
      <c r="N9" s="1751">
        <v>0</v>
      </c>
    </row>
    <row r="10" spans="1:14" ht="15.6" thickBot="1" x14ac:dyDescent="0.35">
      <c r="A10" s="1748" t="s">
        <v>1171</v>
      </c>
      <c r="B10" s="1749">
        <v>2014</v>
      </c>
      <c r="C10" s="1749">
        <v>1614</v>
      </c>
      <c r="D10" s="1749">
        <v>362</v>
      </c>
      <c r="E10" s="1749">
        <v>21</v>
      </c>
      <c r="F10" s="1749">
        <v>15</v>
      </c>
      <c r="G10" s="1749">
        <v>325277</v>
      </c>
      <c r="H10" s="1749">
        <v>80</v>
      </c>
      <c r="I10" s="1749">
        <v>0</v>
      </c>
      <c r="J10" s="1749">
        <v>0</v>
      </c>
      <c r="K10" s="1749">
        <v>0</v>
      </c>
      <c r="L10" s="1749">
        <v>0</v>
      </c>
      <c r="M10" s="1749">
        <v>0</v>
      </c>
      <c r="N10" s="1749">
        <v>0</v>
      </c>
    </row>
    <row r="11" spans="1:14" ht="15.6" thickBot="1" x14ac:dyDescent="0.35">
      <c r="A11" s="1750" t="s">
        <v>1171</v>
      </c>
      <c r="B11" s="1751">
        <v>2015</v>
      </c>
      <c r="C11" s="1751">
        <v>1185</v>
      </c>
      <c r="D11" s="1751">
        <v>22</v>
      </c>
      <c r="E11" s="1751">
        <v>267</v>
      </c>
      <c r="F11" s="1751">
        <v>183</v>
      </c>
      <c r="G11" s="1751">
        <v>37624</v>
      </c>
      <c r="H11" s="1751">
        <v>8</v>
      </c>
      <c r="I11" s="1751">
        <v>0</v>
      </c>
      <c r="J11" s="1751">
        <v>0</v>
      </c>
      <c r="K11" s="1751">
        <v>0</v>
      </c>
      <c r="L11" s="1751">
        <v>0</v>
      </c>
      <c r="M11" s="1751">
        <v>0</v>
      </c>
      <c r="N11" s="1751">
        <v>0</v>
      </c>
    </row>
    <row r="12" spans="1:14" ht="15.6" thickBot="1" x14ac:dyDescent="0.35">
      <c r="A12" s="1748" t="s">
        <v>1171</v>
      </c>
      <c r="B12" s="1749">
        <v>2016</v>
      </c>
      <c r="C12" s="1749">
        <v>1644</v>
      </c>
      <c r="D12" s="1749">
        <v>179</v>
      </c>
      <c r="E12" s="1749">
        <v>8</v>
      </c>
      <c r="F12" s="1749">
        <v>6</v>
      </c>
      <c r="G12" s="1749">
        <v>179868</v>
      </c>
      <c r="H12" s="1749">
        <v>0</v>
      </c>
      <c r="I12" s="1749">
        <v>0</v>
      </c>
      <c r="J12" s="1749">
        <v>0</v>
      </c>
      <c r="K12" s="1749">
        <v>0</v>
      </c>
      <c r="L12" s="1749">
        <v>0</v>
      </c>
      <c r="M12" s="1749">
        <v>0</v>
      </c>
      <c r="N12" s="1749">
        <v>0</v>
      </c>
    </row>
    <row r="13" spans="1:14" ht="15.6" thickBot="1" x14ac:dyDescent="0.35">
      <c r="A13" s="1750" t="s">
        <v>1171</v>
      </c>
      <c r="B13" s="1751">
        <v>2017</v>
      </c>
      <c r="C13" s="1751">
        <v>585</v>
      </c>
      <c r="D13" s="1751">
        <v>155</v>
      </c>
      <c r="E13" s="1751">
        <v>0</v>
      </c>
      <c r="F13" s="1751">
        <v>0</v>
      </c>
      <c r="G13" s="1751">
        <v>6692</v>
      </c>
      <c r="H13" s="1751">
        <v>3</v>
      </c>
      <c r="I13" s="1751">
        <v>0</v>
      </c>
      <c r="J13" s="1751">
        <v>0</v>
      </c>
      <c r="K13" s="1751">
        <v>0</v>
      </c>
      <c r="L13" s="1751">
        <v>0</v>
      </c>
      <c r="M13" s="1751">
        <v>0</v>
      </c>
      <c r="N13" s="1751">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00" t="s">
        <v>209</v>
      </c>
      <c r="B1" s="2498" t="s">
        <v>330</v>
      </c>
      <c r="C1" s="2523" t="s">
        <v>1172</v>
      </c>
      <c r="D1" s="2524"/>
      <c r="E1" s="2524"/>
      <c r="F1" s="2525"/>
      <c r="G1" s="2525"/>
      <c r="H1" s="2525"/>
      <c r="I1" s="2525"/>
      <c r="J1" s="2525"/>
      <c r="K1" s="2525"/>
      <c r="L1" s="2526"/>
      <c r="M1" s="2493" t="s">
        <v>355</v>
      </c>
      <c r="N1" s="2494"/>
      <c r="O1" s="2494"/>
      <c r="P1" s="2494"/>
      <c r="Q1" s="2494"/>
      <c r="R1" s="2494"/>
      <c r="S1" s="2494"/>
      <c r="T1" s="2494"/>
      <c r="U1" s="2494"/>
      <c r="V1" s="2494"/>
      <c r="W1" s="2494"/>
      <c r="X1" s="2494"/>
      <c r="Y1" s="2494"/>
      <c r="Z1" s="2494"/>
      <c r="AA1" s="2494"/>
      <c r="AB1" s="2494"/>
      <c r="AC1" s="2494"/>
      <c r="AD1" s="2494"/>
      <c r="AE1" s="2494"/>
      <c r="AF1" s="2494"/>
      <c r="AG1" s="2494"/>
      <c r="AH1" s="2494"/>
      <c r="AI1" s="2494"/>
      <c r="AJ1" s="2495"/>
      <c r="AK1" s="2495"/>
      <c r="AL1" s="2495"/>
      <c r="AM1" s="2527"/>
      <c r="AN1" s="2527"/>
      <c r="AO1" s="2527"/>
      <c r="AP1" s="2408" t="s">
        <v>356</v>
      </c>
      <c r="AQ1" s="2409"/>
      <c r="AR1" s="2409"/>
      <c r="AS1" s="2409"/>
      <c r="AT1" s="2409"/>
      <c r="AU1" s="2411"/>
      <c r="AV1" s="2472" t="s">
        <v>215</v>
      </c>
      <c r="AW1" s="2470" t="s">
        <v>216</v>
      </c>
      <c r="AX1" s="2405" t="s">
        <v>217</v>
      </c>
    </row>
    <row r="2" spans="1:66" s="2" customFormat="1" ht="40.950000000000003" customHeight="1" thickBot="1" x14ac:dyDescent="0.4">
      <c r="A2" s="2442"/>
      <c r="B2" s="2522"/>
      <c r="C2" s="2533" t="s">
        <v>357</v>
      </c>
      <c r="D2" s="2534"/>
      <c r="E2" s="2534"/>
      <c r="F2" s="2534"/>
      <c r="G2" s="2534"/>
      <c r="H2" s="2534"/>
      <c r="I2" s="2534"/>
      <c r="J2" s="2535"/>
      <c r="K2" s="2511" t="s">
        <v>1173</v>
      </c>
      <c r="L2" s="2513" t="s">
        <v>222</v>
      </c>
      <c r="M2" s="2518" t="s">
        <v>358</v>
      </c>
      <c r="N2" s="2517"/>
      <c r="O2" s="2517"/>
      <c r="P2" s="2517" t="s">
        <v>359</v>
      </c>
      <c r="Q2" s="2517"/>
      <c r="R2" s="2517"/>
      <c r="S2" s="2517" t="s">
        <v>360</v>
      </c>
      <c r="T2" s="2517"/>
      <c r="U2" s="2517"/>
      <c r="V2" s="2517" t="s">
        <v>361</v>
      </c>
      <c r="W2" s="2517"/>
      <c r="X2" s="2517"/>
      <c r="Y2" s="2517" t="s">
        <v>362</v>
      </c>
      <c r="Z2" s="2517"/>
      <c r="AA2" s="2517"/>
      <c r="AB2" s="2517" t="s">
        <v>363</v>
      </c>
      <c r="AC2" s="2517"/>
      <c r="AD2" s="2517"/>
      <c r="AE2" s="2517" t="s">
        <v>364</v>
      </c>
      <c r="AF2" s="2517"/>
      <c r="AG2" s="2517"/>
      <c r="AH2" s="2528">
        <f>OtherAgeAUC</f>
        <v>3.1</v>
      </c>
      <c r="AI2" s="2528"/>
      <c r="AJ2" s="2528"/>
      <c r="AK2" s="2529" t="s">
        <v>224</v>
      </c>
      <c r="AL2" s="2530"/>
      <c r="AM2" s="2530"/>
      <c r="AN2" s="2437" t="s">
        <v>365</v>
      </c>
      <c r="AO2" s="2531" t="s">
        <v>222</v>
      </c>
      <c r="AP2" s="2519" t="s">
        <v>225</v>
      </c>
      <c r="AQ2" s="2520" t="s">
        <v>366</v>
      </c>
      <c r="AR2" s="2520" t="s">
        <v>367</v>
      </c>
      <c r="AS2" s="2520" t="s">
        <v>368</v>
      </c>
      <c r="AT2" s="2520" t="s">
        <v>229</v>
      </c>
      <c r="AU2" s="2521" t="s">
        <v>222</v>
      </c>
      <c r="AV2" s="2515"/>
      <c r="AW2" s="2516"/>
      <c r="AX2" s="2406"/>
      <c r="AY2" s="2533" t="s">
        <v>539</v>
      </c>
      <c r="AZ2" s="2534"/>
      <c r="BA2" s="2534"/>
      <c r="BB2" s="2534"/>
      <c r="BC2" s="2534"/>
      <c r="BD2" s="2534"/>
      <c r="BE2" s="2534"/>
      <c r="BF2" s="2535"/>
      <c r="BI2" s="2642" t="s">
        <v>1174</v>
      </c>
      <c r="BJ2" s="2643"/>
      <c r="BK2" s="2643"/>
      <c r="BL2" s="2643"/>
      <c r="BM2" s="2643"/>
      <c r="BN2" s="2644"/>
    </row>
    <row r="3" spans="1:66" s="1" customFormat="1" ht="44.4" thickBot="1" x14ac:dyDescent="0.4">
      <c r="A3" s="2501"/>
      <c r="B3" s="2499"/>
      <c r="C3" s="379" t="s">
        <v>358</v>
      </c>
      <c r="D3" s="380" t="s">
        <v>369</v>
      </c>
      <c r="E3" s="380" t="s">
        <v>370</v>
      </c>
      <c r="F3" s="380" t="s">
        <v>361</v>
      </c>
      <c r="G3" s="380" t="s">
        <v>362</v>
      </c>
      <c r="H3" s="380" t="s">
        <v>371</v>
      </c>
      <c r="I3" s="380" t="s">
        <v>372</v>
      </c>
      <c r="J3" s="446">
        <v>3.1</v>
      </c>
      <c r="K3" s="2512"/>
      <c r="L3" s="2514"/>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38"/>
      <c r="AO3" s="2532"/>
      <c r="AP3" s="2432"/>
      <c r="AQ3" s="2426"/>
      <c r="AR3" s="2426"/>
      <c r="AS3" s="2426"/>
      <c r="AT3" s="2426"/>
      <c r="AU3" s="2428"/>
      <c r="AV3" s="2473"/>
      <c r="AW3" s="2471"/>
      <c r="AX3" s="2407" t="s">
        <v>217</v>
      </c>
      <c r="AY3" s="379" t="s">
        <v>358</v>
      </c>
      <c r="AZ3" s="380" t="s">
        <v>369</v>
      </c>
      <c r="BA3" s="380" t="s">
        <v>370</v>
      </c>
      <c r="BB3" s="380" t="s">
        <v>361</v>
      </c>
      <c r="BC3" s="380" t="s">
        <v>362</v>
      </c>
      <c r="BD3" s="380" t="s">
        <v>371</v>
      </c>
      <c r="BE3" s="380" t="s">
        <v>372</v>
      </c>
      <c r="BF3" s="446">
        <v>3.1</v>
      </c>
      <c r="BI3" s="949" t="s">
        <v>807</v>
      </c>
      <c r="BJ3" s="950">
        <v>6</v>
      </c>
      <c r="BK3" s="950">
        <v>5</v>
      </c>
      <c r="BL3" s="950">
        <v>4</v>
      </c>
      <c r="BM3" s="950">
        <v>3</v>
      </c>
      <c r="BN3" s="951" t="s">
        <v>1175</v>
      </c>
    </row>
    <row r="4" spans="1:66" x14ac:dyDescent="0.3">
      <c r="A4" s="425" t="s">
        <v>373</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1176</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375</v>
      </c>
      <c r="AX4" s="325"/>
      <c r="AY4">
        <f>$B4-3</f>
        <v>1977</v>
      </c>
      <c r="AZ4">
        <f>$B4-4</f>
        <v>1976</v>
      </c>
      <c r="BA4">
        <f>$B4-4</f>
        <v>1976</v>
      </c>
      <c r="BB4">
        <f>$B4-5</f>
        <v>1975</v>
      </c>
      <c r="BC4">
        <f>$B4-5</f>
        <v>1975</v>
      </c>
      <c r="BD4">
        <f>$B4-6</f>
        <v>1974</v>
      </c>
      <c r="BE4">
        <f t="shared" ref="BE4:BE19" si="10">$B4-6</f>
        <v>1974</v>
      </c>
      <c r="BF4">
        <f>$B4-5</f>
        <v>1975</v>
      </c>
      <c r="BI4" s="958">
        <v>1974</v>
      </c>
      <c r="BJ4" s="959">
        <f>SUM(H4:I4)</f>
        <v>0</v>
      </c>
      <c r="BK4" s="960"/>
      <c r="BL4" s="960"/>
      <c r="BM4" s="960"/>
      <c r="BN4" s="961">
        <f>SUM(BJ4:BM4)</f>
        <v>0</v>
      </c>
    </row>
    <row r="5" spans="1:66" x14ac:dyDescent="0.3">
      <c r="A5" s="425" t="s">
        <v>373</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1176</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375</v>
      </c>
      <c r="AX5" s="453" t="s">
        <v>376</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2">
        <v>1975</v>
      </c>
      <c r="BJ5" s="953">
        <f t="shared" ref="BJ5:BJ45" si="16">SUM(H5:I5)</f>
        <v>0</v>
      </c>
      <c r="BK5" s="953">
        <f t="shared" ref="BK5:BK47" si="17">SUM(F4:G4,J4)</f>
        <v>1566.4634234234236</v>
      </c>
      <c r="BL5" s="952"/>
      <c r="BM5" s="952"/>
      <c r="BN5" s="954">
        <f t="shared" ref="BN5:BN49" si="18">SUM(BJ5:BM5)</f>
        <v>1566.4634234234236</v>
      </c>
    </row>
    <row r="6" spans="1:66" x14ac:dyDescent="0.3">
      <c r="A6" s="425" t="s">
        <v>373</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1176</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375</v>
      </c>
      <c r="AX6" s="453" t="s">
        <v>376</v>
      </c>
      <c r="AY6">
        <f t="shared" si="11"/>
        <v>1979</v>
      </c>
      <c r="AZ6">
        <f t="shared" si="12"/>
        <v>1978</v>
      </c>
      <c r="BA6">
        <f t="shared" si="12"/>
        <v>1978</v>
      </c>
      <c r="BB6">
        <f t="shared" si="13"/>
        <v>1977</v>
      </c>
      <c r="BC6">
        <f t="shared" si="13"/>
        <v>1977</v>
      </c>
      <c r="BD6">
        <f t="shared" si="14"/>
        <v>1976</v>
      </c>
      <c r="BE6">
        <f t="shared" si="10"/>
        <v>1976</v>
      </c>
      <c r="BF6">
        <f t="shared" si="15"/>
        <v>1977</v>
      </c>
      <c r="BI6" s="962">
        <v>1976</v>
      </c>
      <c r="BJ6" s="953">
        <f t="shared" si="16"/>
        <v>0</v>
      </c>
      <c r="BK6" s="953">
        <f t="shared" si="17"/>
        <v>1678.5706666666663</v>
      </c>
      <c r="BL6" s="953">
        <f t="shared" ref="BL6:BL48" si="19">SUM(D4:E4)</f>
        <v>13417.78770770771</v>
      </c>
      <c r="BM6" s="952"/>
      <c r="BN6" s="954">
        <f t="shared" si="18"/>
        <v>15096.358374374377</v>
      </c>
    </row>
    <row r="7" spans="1:66" x14ac:dyDescent="0.3">
      <c r="A7" s="425" t="s">
        <v>373</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1176</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375</v>
      </c>
      <c r="AX7" s="453" t="s">
        <v>376</v>
      </c>
      <c r="AY7">
        <f t="shared" si="11"/>
        <v>1980</v>
      </c>
      <c r="AZ7">
        <f t="shared" si="12"/>
        <v>1979</v>
      </c>
      <c r="BA7">
        <f t="shared" si="12"/>
        <v>1979</v>
      </c>
      <c r="BB7">
        <f t="shared" si="13"/>
        <v>1978</v>
      </c>
      <c r="BC7">
        <f t="shared" si="13"/>
        <v>1978</v>
      </c>
      <c r="BD7">
        <f t="shared" si="14"/>
        <v>1977</v>
      </c>
      <c r="BE7">
        <f t="shared" si="10"/>
        <v>1977</v>
      </c>
      <c r="BF7">
        <f t="shared" si="15"/>
        <v>1978</v>
      </c>
      <c r="BI7" s="948">
        <v>1977</v>
      </c>
      <c r="BJ7" s="701">
        <f t="shared" si="16"/>
        <v>0</v>
      </c>
      <c r="BK7" s="701">
        <f t="shared" si="17"/>
        <v>1159.7607207207209</v>
      </c>
      <c r="BL7" s="701">
        <f t="shared" si="19"/>
        <v>14378.059851851849</v>
      </c>
      <c r="BM7" s="701">
        <f t="shared" ref="BM7:BM49" si="20">C4</f>
        <v>822.78886886886892</v>
      </c>
      <c r="BN7" s="947">
        <f t="shared" si="18"/>
        <v>16360.609441441438</v>
      </c>
    </row>
    <row r="8" spans="1:66" x14ac:dyDescent="0.3">
      <c r="A8" s="425" t="s">
        <v>373</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1176</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375</v>
      </c>
      <c r="AX8" s="453" t="s">
        <v>376</v>
      </c>
      <c r="AY8">
        <f t="shared" si="11"/>
        <v>1981</v>
      </c>
      <c r="AZ8">
        <f t="shared" si="12"/>
        <v>1980</v>
      </c>
      <c r="BA8">
        <f t="shared" si="12"/>
        <v>1980</v>
      </c>
      <c r="BB8">
        <f t="shared" si="13"/>
        <v>1979</v>
      </c>
      <c r="BC8">
        <f t="shared" si="13"/>
        <v>1979</v>
      </c>
      <c r="BD8">
        <f t="shared" si="14"/>
        <v>1978</v>
      </c>
      <c r="BE8">
        <f t="shared" si="10"/>
        <v>1978</v>
      </c>
      <c r="BF8">
        <f t="shared" si="15"/>
        <v>1979</v>
      </c>
      <c r="BI8" s="948">
        <v>1978</v>
      </c>
      <c r="BJ8" s="701">
        <f t="shared" si="16"/>
        <v>0</v>
      </c>
      <c r="BK8" s="701">
        <f t="shared" si="17"/>
        <v>1661.0467747747746</v>
      </c>
      <c r="BL8" s="701">
        <f t="shared" si="19"/>
        <v>9934.1120320320315</v>
      </c>
      <c r="BM8" s="701">
        <f t="shared" si="20"/>
        <v>881.6734814814813</v>
      </c>
      <c r="BN8" s="947">
        <f t="shared" si="18"/>
        <v>12476.832288288288</v>
      </c>
    </row>
    <row r="9" spans="1:66" x14ac:dyDescent="0.3">
      <c r="A9" s="425" t="s">
        <v>373</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1176</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375</v>
      </c>
      <c r="AX9" s="453" t="s">
        <v>376</v>
      </c>
      <c r="AY9">
        <f t="shared" si="11"/>
        <v>1982</v>
      </c>
      <c r="AZ9">
        <f t="shared" si="12"/>
        <v>1981</v>
      </c>
      <c r="BA9">
        <f t="shared" si="12"/>
        <v>1981</v>
      </c>
      <c r="BB9">
        <f t="shared" si="13"/>
        <v>1980</v>
      </c>
      <c r="BC9">
        <f t="shared" si="13"/>
        <v>1980</v>
      </c>
      <c r="BD9">
        <f t="shared" si="14"/>
        <v>1979</v>
      </c>
      <c r="BE9">
        <f t="shared" si="10"/>
        <v>1979</v>
      </c>
      <c r="BF9">
        <f t="shared" si="15"/>
        <v>1980</v>
      </c>
      <c r="BI9" s="948">
        <v>1979</v>
      </c>
      <c r="BJ9" s="701">
        <f t="shared" si="16"/>
        <v>0</v>
      </c>
      <c r="BK9" s="701">
        <f t="shared" si="17"/>
        <v>5323.6709767207221</v>
      </c>
      <c r="BL9" s="701">
        <f t="shared" si="19"/>
        <v>14227.95621221221</v>
      </c>
      <c r="BM9" s="701">
        <f t="shared" si="20"/>
        <v>609.16724724724725</v>
      </c>
      <c r="BN9" s="947">
        <f t="shared" si="18"/>
        <v>20160.794436180178</v>
      </c>
    </row>
    <row r="10" spans="1:66" x14ac:dyDescent="0.3">
      <c r="A10" s="425" t="s">
        <v>373</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1176</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377</v>
      </c>
      <c r="AX10" s="453" t="s">
        <v>376</v>
      </c>
      <c r="AY10">
        <f t="shared" si="11"/>
        <v>1983</v>
      </c>
      <c r="AZ10">
        <f t="shared" si="12"/>
        <v>1982</v>
      </c>
      <c r="BA10">
        <f t="shared" si="12"/>
        <v>1982</v>
      </c>
      <c r="BB10">
        <f t="shared" si="13"/>
        <v>1981</v>
      </c>
      <c r="BC10">
        <f t="shared" si="13"/>
        <v>1981</v>
      </c>
      <c r="BD10">
        <f t="shared" si="14"/>
        <v>1980</v>
      </c>
      <c r="BE10">
        <f t="shared" si="10"/>
        <v>1980</v>
      </c>
      <c r="BF10">
        <f t="shared" si="15"/>
        <v>1981</v>
      </c>
      <c r="BI10" s="948">
        <v>1980</v>
      </c>
      <c r="BJ10" s="701">
        <f t="shared" si="16"/>
        <v>0</v>
      </c>
      <c r="BK10" s="701">
        <f t="shared" si="17"/>
        <v>1277.8298584000001</v>
      </c>
      <c r="BL10" s="701">
        <f t="shared" si="19"/>
        <v>45600.737255143147</v>
      </c>
      <c r="BM10" s="701">
        <f t="shared" si="20"/>
        <v>872.46901301301295</v>
      </c>
      <c r="BN10" s="947">
        <f t="shared" si="18"/>
        <v>47751.036126556159</v>
      </c>
    </row>
    <row r="11" spans="1:66" x14ac:dyDescent="0.3">
      <c r="A11" s="425" t="s">
        <v>373</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1176</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377</v>
      </c>
      <c r="AX11" s="453" t="s">
        <v>376</v>
      </c>
      <c r="AY11">
        <f t="shared" si="11"/>
        <v>1984</v>
      </c>
      <c r="AZ11">
        <f t="shared" si="12"/>
        <v>1983</v>
      </c>
      <c r="BA11">
        <f t="shared" si="12"/>
        <v>1983</v>
      </c>
      <c r="BB11">
        <f t="shared" si="13"/>
        <v>1982</v>
      </c>
      <c r="BC11">
        <f t="shared" si="13"/>
        <v>1982</v>
      </c>
      <c r="BD11">
        <f t="shared" si="14"/>
        <v>1981</v>
      </c>
      <c r="BE11">
        <f t="shared" si="10"/>
        <v>1981</v>
      </c>
      <c r="BF11">
        <f t="shared" si="15"/>
        <v>1982</v>
      </c>
      <c r="BI11" s="948">
        <v>1981</v>
      </c>
      <c r="BJ11" s="701">
        <f t="shared" si="16"/>
        <v>0</v>
      </c>
      <c r="BK11" s="701">
        <f t="shared" si="17"/>
        <v>1533.2769308108109</v>
      </c>
      <c r="BL11" s="701">
        <f t="shared" si="19"/>
        <v>28463.660095859996</v>
      </c>
      <c r="BM11" s="701">
        <f t="shared" si="20"/>
        <v>2796.2716241361363</v>
      </c>
      <c r="BN11" s="947">
        <f t="shared" si="18"/>
        <v>32793.208650806941</v>
      </c>
    </row>
    <row r="12" spans="1:66" x14ac:dyDescent="0.3">
      <c r="A12" s="425" t="s">
        <v>373</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1176</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377</v>
      </c>
      <c r="AX12" s="453" t="s">
        <v>376</v>
      </c>
      <c r="AY12">
        <f t="shared" si="11"/>
        <v>1985</v>
      </c>
      <c r="AZ12">
        <f t="shared" si="12"/>
        <v>1984</v>
      </c>
      <c r="BA12">
        <f t="shared" si="12"/>
        <v>1984</v>
      </c>
      <c r="BB12">
        <f t="shared" si="13"/>
        <v>1983</v>
      </c>
      <c r="BC12">
        <f t="shared" si="13"/>
        <v>1983</v>
      </c>
      <c r="BD12">
        <f t="shared" si="14"/>
        <v>1982</v>
      </c>
      <c r="BE12">
        <f t="shared" si="10"/>
        <v>1982</v>
      </c>
      <c r="BF12">
        <f t="shared" si="15"/>
        <v>1983</v>
      </c>
      <c r="BI12" s="948">
        <v>1982</v>
      </c>
      <c r="BJ12" s="701">
        <f t="shared" si="16"/>
        <v>0</v>
      </c>
      <c r="BK12" s="701">
        <f t="shared" si="17"/>
        <v>801.42357351999999</v>
      </c>
      <c r="BL12" s="701">
        <f t="shared" si="19"/>
        <v>13133.523609369369</v>
      </c>
      <c r="BM12" s="701">
        <f t="shared" si="20"/>
        <v>2204.2565057399997</v>
      </c>
      <c r="BN12" s="947">
        <f t="shared" si="18"/>
        <v>16139.203688629368</v>
      </c>
    </row>
    <row r="13" spans="1:66" x14ac:dyDescent="0.3">
      <c r="A13" s="425" t="s">
        <v>373</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1176</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377</v>
      </c>
      <c r="AX13" s="453" t="s">
        <v>376</v>
      </c>
      <c r="AY13">
        <f t="shared" si="11"/>
        <v>1986</v>
      </c>
      <c r="AZ13">
        <f t="shared" si="12"/>
        <v>1985</v>
      </c>
      <c r="BA13">
        <f t="shared" si="12"/>
        <v>1985</v>
      </c>
      <c r="BB13">
        <f t="shared" si="13"/>
        <v>1984</v>
      </c>
      <c r="BC13">
        <f t="shared" si="13"/>
        <v>1984</v>
      </c>
      <c r="BD13">
        <f t="shared" si="14"/>
        <v>1983</v>
      </c>
      <c r="BE13">
        <f t="shared" si="10"/>
        <v>1983</v>
      </c>
      <c r="BF13">
        <f t="shared" si="15"/>
        <v>1984</v>
      </c>
      <c r="BI13" s="948">
        <v>1983</v>
      </c>
      <c r="BJ13" s="701">
        <f t="shared" si="16"/>
        <v>0</v>
      </c>
      <c r="BK13" s="701">
        <f t="shared" si="17"/>
        <v>392.40563200000003</v>
      </c>
      <c r="BL13" s="701">
        <f t="shared" si="19"/>
        <v>9912.3441988000031</v>
      </c>
      <c r="BM13" s="701">
        <f t="shared" si="20"/>
        <v>805.35757981981988</v>
      </c>
      <c r="BN13" s="947">
        <f t="shared" si="18"/>
        <v>11110.107410619823</v>
      </c>
    </row>
    <row r="14" spans="1:66" x14ac:dyDescent="0.3">
      <c r="A14" s="425" t="s">
        <v>373</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1176</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377</v>
      </c>
      <c r="AX14" s="453" t="s">
        <v>376</v>
      </c>
      <c r="AY14">
        <f t="shared" si="11"/>
        <v>1987</v>
      </c>
      <c r="AZ14">
        <f t="shared" si="12"/>
        <v>1986</v>
      </c>
      <c r="BA14">
        <f t="shared" si="12"/>
        <v>1986</v>
      </c>
      <c r="BB14">
        <f t="shared" si="13"/>
        <v>1985</v>
      </c>
      <c r="BC14">
        <f t="shared" si="13"/>
        <v>1985</v>
      </c>
      <c r="BD14">
        <f t="shared" si="14"/>
        <v>1984</v>
      </c>
      <c r="BE14">
        <f t="shared" si="10"/>
        <v>1984</v>
      </c>
      <c r="BF14">
        <f t="shared" si="15"/>
        <v>1985</v>
      </c>
      <c r="BI14" s="948">
        <v>1984</v>
      </c>
      <c r="BJ14" s="701">
        <f t="shared" si="16"/>
        <v>37.568969242500003</v>
      </c>
      <c r="BK14" s="701">
        <f t="shared" si="17"/>
        <v>574.8937462262262</v>
      </c>
      <c r="BL14" s="701">
        <f t="shared" si="19"/>
        <v>20219.216511999995</v>
      </c>
      <c r="BM14" s="701">
        <f t="shared" si="20"/>
        <v>10376.32626768</v>
      </c>
      <c r="BN14" s="947">
        <f t="shared" si="18"/>
        <v>31208.005495148722</v>
      </c>
    </row>
    <row r="15" spans="1:66" x14ac:dyDescent="0.3">
      <c r="A15" s="425" t="s">
        <v>373</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1176</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377</v>
      </c>
      <c r="AX15" s="453" t="s">
        <v>376</v>
      </c>
      <c r="AY15">
        <f t="shared" si="11"/>
        <v>1988</v>
      </c>
      <c r="AZ15">
        <f t="shared" si="12"/>
        <v>1987</v>
      </c>
      <c r="BA15">
        <f t="shared" si="12"/>
        <v>1987</v>
      </c>
      <c r="BB15">
        <f t="shared" si="13"/>
        <v>1986</v>
      </c>
      <c r="BC15">
        <f t="shared" si="13"/>
        <v>1986</v>
      </c>
      <c r="BD15">
        <f t="shared" si="14"/>
        <v>1985</v>
      </c>
      <c r="BE15">
        <f t="shared" si="10"/>
        <v>1985</v>
      </c>
      <c r="BF15">
        <f t="shared" si="15"/>
        <v>1986</v>
      </c>
      <c r="BI15" s="948">
        <v>1985</v>
      </c>
      <c r="BJ15" s="701">
        <f t="shared" si="16"/>
        <v>59.212693163839276</v>
      </c>
      <c r="BK15" s="701">
        <f t="shared" si="17"/>
        <v>1634.2501620487501</v>
      </c>
      <c r="BL15" s="701">
        <f t="shared" si="19"/>
        <v>16833.607506686687</v>
      </c>
      <c r="BM15" s="701">
        <f t="shared" si="20"/>
        <v>41.305855999999999</v>
      </c>
      <c r="BN15" s="947">
        <f t="shared" si="18"/>
        <v>18568.376217899277</v>
      </c>
    </row>
    <row r="16" spans="1:66" x14ac:dyDescent="0.3">
      <c r="A16" s="425" t="s">
        <v>373</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1176</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377</v>
      </c>
      <c r="AX16" s="453" t="s">
        <v>376</v>
      </c>
      <c r="AY16">
        <f t="shared" si="11"/>
        <v>1989</v>
      </c>
      <c r="AZ16">
        <f t="shared" si="12"/>
        <v>1988</v>
      </c>
      <c r="BA16">
        <f t="shared" si="12"/>
        <v>1988</v>
      </c>
      <c r="BB16">
        <f t="shared" si="13"/>
        <v>1987</v>
      </c>
      <c r="BC16">
        <f t="shared" si="13"/>
        <v>1987</v>
      </c>
      <c r="BD16">
        <f t="shared" si="14"/>
        <v>1986</v>
      </c>
      <c r="BE16">
        <f t="shared" si="10"/>
        <v>1986</v>
      </c>
      <c r="BF16">
        <f t="shared" si="15"/>
        <v>1987</v>
      </c>
      <c r="BI16" s="948">
        <v>1986</v>
      </c>
      <c r="BJ16" s="701">
        <f t="shared" si="16"/>
        <v>0</v>
      </c>
      <c r="BK16" s="701">
        <f t="shared" si="17"/>
        <v>315.80103020714273</v>
      </c>
      <c r="BL16" s="701">
        <f t="shared" si="19"/>
        <v>1759.4800595237502</v>
      </c>
      <c r="BM16" s="701">
        <f t="shared" si="20"/>
        <v>538.9628870870871</v>
      </c>
      <c r="BN16" s="947">
        <f t="shared" si="18"/>
        <v>2614.2439768179797</v>
      </c>
    </row>
    <row r="17" spans="1:66" x14ac:dyDescent="0.3">
      <c r="A17" s="425" t="s">
        <v>373</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1176</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377</v>
      </c>
      <c r="AX17" s="453" t="s">
        <v>376</v>
      </c>
      <c r="AY17">
        <f t="shared" si="11"/>
        <v>1990</v>
      </c>
      <c r="AZ17">
        <f t="shared" si="12"/>
        <v>1989</v>
      </c>
      <c r="BA17">
        <f t="shared" si="12"/>
        <v>1989</v>
      </c>
      <c r="BB17">
        <f t="shared" si="13"/>
        <v>1988</v>
      </c>
      <c r="BC17">
        <f t="shared" si="13"/>
        <v>1988</v>
      </c>
      <c r="BD17">
        <f t="shared" si="14"/>
        <v>1987</v>
      </c>
      <c r="BE17">
        <f t="shared" si="10"/>
        <v>1987</v>
      </c>
      <c r="BF17">
        <f t="shared" si="15"/>
        <v>1988</v>
      </c>
      <c r="BI17" s="948">
        <v>1987</v>
      </c>
      <c r="BJ17" s="701">
        <f t="shared" si="16"/>
        <v>34.268579420579428</v>
      </c>
      <c r="BK17" s="701">
        <f t="shared" si="17"/>
        <v>929.16090909090929</v>
      </c>
      <c r="BL17" s="701">
        <f t="shared" si="19"/>
        <v>16322.965748831695</v>
      </c>
      <c r="BM17" s="701">
        <f t="shared" si="20"/>
        <v>2830.1956829350001</v>
      </c>
      <c r="BN17" s="947">
        <f t="shared" si="18"/>
        <v>20116.590920278184</v>
      </c>
    </row>
    <row r="18" spans="1:66" x14ac:dyDescent="0.3">
      <c r="A18" s="425" t="s">
        <v>373</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1176</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377</v>
      </c>
      <c r="AX18" s="453" t="s">
        <v>376</v>
      </c>
      <c r="AY18">
        <f t="shared" si="11"/>
        <v>1991</v>
      </c>
      <c r="AZ18">
        <f t="shared" si="12"/>
        <v>1990</v>
      </c>
      <c r="BA18">
        <f t="shared" si="12"/>
        <v>1990</v>
      </c>
      <c r="BB18">
        <f t="shared" si="13"/>
        <v>1989</v>
      </c>
      <c r="BC18">
        <f t="shared" si="13"/>
        <v>1989</v>
      </c>
      <c r="BD18">
        <f t="shared" si="14"/>
        <v>1988</v>
      </c>
      <c r="BE18">
        <f t="shared" si="10"/>
        <v>1988</v>
      </c>
      <c r="BF18">
        <f t="shared" si="15"/>
        <v>1989</v>
      </c>
      <c r="BI18" s="948">
        <v>1988</v>
      </c>
      <c r="BJ18" s="701">
        <f t="shared" si="16"/>
        <v>0</v>
      </c>
      <c r="BK18" s="701">
        <f t="shared" si="17"/>
        <v>1884.7718681318684</v>
      </c>
      <c r="BL18" s="701">
        <f t="shared" si="19"/>
        <v>26647.007500000007</v>
      </c>
      <c r="BM18" s="701">
        <f t="shared" si="20"/>
        <v>3039.5849157437497</v>
      </c>
      <c r="BN18" s="947">
        <f t="shared" si="18"/>
        <v>31571.364283875628</v>
      </c>
    </row>
    <row r="19" spans="1:66" x14ac:dyDescent="0.3">
      <c r="A19" s="425" t="s">
        <v>373</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1176</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377</v>
      </c>
      <c r="AX19" s="453" t="s">
        <v>376</v>
      </c>
      <c r="AY19">
        <f t="shared" si="11"/>
        <v>1992</v>
      </c>
      <c r="AZ19">
        <f t="shared" si="12"/>
        <v>1991</v>
      </c>
      <c r="BA19">
        <f t="shared" si="12"/>
        <v>1991</v>
      </c>
      <c r="BB19">
        <f t="shared" si="13"/>
        <v>1990</v>
      </c>
      <c r="BC19">
        <f t="shared" si="13"/>
        <v>1990</v>
      </c>
      <c r="BD19">
        <f t="shared" si="14"/>
        <v>1989</v>
      </c>
      <c r="BE19">
        <f t="shared" si="10"/>
        <v>1989</v>
      </c>
      <c r="BF19">
        <f t="shared" si="15"/>
        <v>1990</v>
      </c>
      <c r="BI19" s="948">
        <v>1989</v>
      </c>
      <c r="BJ19" s="701">
        <f t="shared" si="16"/>
        <v>0</v>
      </c>
      <c r="BK19" s="701">
        <f t="shared" si="17"/>
        <v>1413.3433599999998</v>
      </c>
      <c r="BL19" s="701">
        <f t="shared" si="19"/>
        <v>15232.383552447553</v>
      </c>
      <c r="BM19" s="701">
        <f t="shared" si="20"/>
        <v>5608.1497727272736</v>
      </c>
      <c r="BN19" s="947">
        <f t="shared" si="18"/>
        <v>22253.876685174826</v>
      </c>
    </row>
    <row r="20" spans="1:66" x14ac:dyDescent="0.3">
      <c r="A20" s="425" t="s">
        <v>373</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1176</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377</v>
      </c>
      <c r="AX20" s="453" t="s">
        <v>376</v>
      </c>
      <c r="AY20">
        <f t="shared" si="11"/>
        <v>1993</v>
      </c>
      <c r="AZ20">
        <f t="shared" si="12"/>
        <v>1992</v>
      </c>
      <c r="BA20">
        <f t="shared" si="12"/>
        <v>1992</v>
      </c>
      <c r="BB20">
        <f t="shared" si="13"/>
        <v>1991</v>
      </c>
      <c r="BC20">
        <f t="shared" si="13"/>
        <v>1991</v>
      </c>
      <c r="BD20">
        <f t="shared" si="14"/>
        <v>1990</v>
      </c>
      <c r="BE20">
        <f t="shared" si="14"/>
        <v>1990</v>
      </c>
      <c r="BF20">
        <f t="shared" si="15"/>
        <v>1991</v>
      </c>
      <c r="BI20" s="948">
        <v>1990</v>
      </c>
      <c r="BJ20" s="701">
        <f t="shared" si="16"/>
        <v>0</v>
      </c>
      <c r="BK20" s="701">
        <f t="shared" si="17"/>
        <v>59.676124020768796</v>
      </c>
      <c r="BL20" s="701">
        <f t="shared" si="19"/>
        <v>280.69196800000003</v>
      </c>
      <c r="BM20" s="701">
        <f t="shared" si="20"/>
        <v>0</v>
      </c>
      <c r="BN20" s="947">
        <f t="shared" si="18"/>
        <v>340.36809202076881</v>
      </c>
    </row>
    <row r="21" spans="1:66" x14ac:dyDescent="0.3">
      <c r="A21" s="425" t="s">
        <v>373</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1176</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377</v>
      </c>
      <c r="AX21" s="453" t="s">
        <v>376</v>
      </c>
      <c r="AY21">
        <f t="shared" si="11"/>
        <v>1994</v>
      </c>
      <c r="AZ21">
        <f t="shared" si="12"/>
        <v>1993</v>
      </c>
      <c r="BA21">
        <f t="shared" si="12"/>
        <v>1993</v>
      </c>
      <c r="BB21">
        <f t="shared" si="13"/>
        <v>1992</v>
      </c>
      <c r="BC21">
        <f t="shared" si="13"/>
        <v>1992</v>
      </c>
      <c r="BD21">
        <f t="shared" si="14"/>
        <v>1991</v>
      </c>
      <c r="BE21">
        <f t="shared" si="14"/>
        <v>1991</v>
      </c>
      <c r="BF21">
        <f t="shared" si="15"/>
        <v>1992</v>
      </c>
      <c r="BI21" s="948">
        <v>1991</v>
      </c>
      <c r="BJ21" s="701">
        <f t="shared" si="16"/>
        <v>0</v>
      </c>
      <c r="BK21" s="701">
        <f t="shared" si="17"/>
        <v>1107.2709395799995</v>
      </c>
      <c r="BL21" s="701">
        <f t="shared" si="19"/>
        <v>2625.7494569138275</v>
      </c>
      <c r="BM21" s="701">
        <f t="shared" si="20"/>
        <v>282.66867199999996</v>
      </c>
      <c r="BN21" s="947">
        <f t="shared" si="18"/>
        <v>4015.6890684938271</v>
      </c>
    </row>
    <row r="22" spans="1:66" x14ac:dyDescent="0.3">
      <c r="A22" s="425" t="s">
        <v>373</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1176</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377</v>
      </c>
      <c r="AX22" s="453" t="s">
        <v>376</v>
      </c>
      <c r="AY22">
        <f t="shared" si="11"/>
        <v>1995</v>
      </c>
      <c r="AZ22">
        <f t="shared" si="12"/>
        <v>1994</v>
      </c>
      <c r="BA22">
        <f t="shared" si="12"/>
        <v>1994</v>
      </c>
      <c r="BB22">
        <f t="shared" si="13"/>
        <v>1993</v>
      </c>
      <c r="BC22">
        <f t="shared" si="13"/>
        <v>1993</v>
      </c>
      <c r="BD22">
        <f t="shared" si="14"/>
        <v>1992</v>
      </c>
      <c r="BE22">
        <f t="shared" si="14"/>
        <v>1992</v>
      </c>
      <c r="BF22">
        <f t="shared" si="15"/>
        <v>1993</v>
      </c>
      <c r="BI22" s="948">
        <v>1992</v>
      </c>
      <c r="BJ22" s="701">
        <f t="shared" si="16"/>
        <v>0</v>
      </c>
      <c r="BK22" s="701">
        <f t="shared" si="17"/>
        <v>407.85945351999999</v>
      </c>
      <c r="BL22" s="701">
        <f t="shared" si="19"/>
        <v>14633.011339987994</v>
      </c>
      <c r="BM22" s="701">
        <f t="shared" si="20"/>
        <v>1895.8645554290395</v>
      </c>
      <c r="BN22" s="947">
        <f t="shared" si="18"/>
        <v>16936.735348937033</v>
      </c>
    </row>
    <row r="23" spans="1:66" x14ac:dyDescent="0.3">
      <c r="A23" s="425" t="s">
        <v>373</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1176</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377</v>
      </c>
      <c r="AX23" s="453" t="s">
        <v>376</v>
      </c>
      <c r="AY23">
        <f t="shared" si="11"/>
        <v>1996</v>
      </c>
      <c r="AZ23">
        <f t="shared" si="12"/>
        <v>1995</v>
      </c>
      <c r="BA23">
        <f t="shared" si="12"/>
        <v>1995</v>
      </c>
      <c r="BB23">
        <f t="shared" si="13"/>
        <v>1994</v>
      </c>
      <c r="BC23">
        <f t="shared" si="13"/>
        <v>1994</v>
      </c>
      <c r="BD23">
        <f t="shared" si="14"/>
        <v>1993</v>
      </c>
      <c r="BE23">
        <f t="shared" si="14"/>
        <v>1993</v>
      </c>
      <c r="BF23">
        <f t="shared" si="15"/>
        <v>1994</v>
      </c>
      <c r="BI23" s="948">
        <v>1993</v>
      </c>
      <c r="BJ23" s="701">
        <f t="shared" si="16"/>
        <v>0</v>
      </c>
      <c r="BK23" s="701">
        <f t="shared" si="17"/>
        <v>585.88427772</v>
      </c>
      <c r="BL23" s="701">
        <f t="shared" si="19"/>
        <v>11588.006826479999</v>
      </c>
      <c r="BM23" s="701">
        <f t="shared" si="20"/>
        <v>1294.6552524319995</v>
      </c>
      <c r="BN23" s="947">
        <f t="shared" si="18"/>
        <v>13468.546356632</v>
      </c>
    </row>
    <row r="24" spans="1:66" x14ac:dyDescent="0.3">
      <c r="A24" s="425" t="s">
        <v>373</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1176</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377</v>
      </c>
      <c r="AX24" s="453" t="s">
        <v>376</v>
      </c>
      <c r="AY24">
        <f t="shared" si="11"/>
        <v>1997</v>
      </c>
      <c r="AZ24">
        <f t="shared" si="12"/>
        <v>1996</v>
      </c>
      <c r="BA24">
        <f t="shared" si="12"/>
        <v>1996</v>
      </c>
      <c r="BB24">
        <f t="shared" si="13"/>
        <v>1995</v>
      </c>
      <c r="BC24">
        <f t="shared" si="13"/>
        <v>1995</v>
      </c>
      <c r="BD24">
        <f t="shared" si="14"/>
        <v>1994</v>
      </c>
      <c r="BE24">
        <f t="shared" si="14"/>
        <v>1994</v>
      </c>
      <c r="BF24">
        <f t="shared" si="15"/>
        <v>1995</v>
      </c>
      <c r="BI24" s="948">
        <v>1994</v>
      </c>
      <c r="BJ24" s="701">
        <f t="shared" si="16"/>
        <v>0</v>
      </c>
      <c r="BK24" s="701">
        <f t="shared" si="17"/>
        <v>0</v>
      </c>
      <c r="BL24" s="701">
        <f t="shared" si="19"/>
        <v>2925.7132602600004</v>
      </c>
      <c r="BM24" s="701">
        <f t="shared" si="20"/>
        <v>0</v>
      </c>
      <c r="BN24" s="947">
        <f t="shared" si="18"/>
        <v>2925.7132602600004</v>
      </c>
    </row>
    <row r="25" spans="1:66" x14ac:dyDescent="0.3">
      <c r="A25" s="425" t="s">
        <v>373</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1176</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377</v>
      </c>
      <c r="AX25" s="453" t="s">
        <v>376</v>
      </c>
      <c r="AY25">
        <f t="shared" si="11"/>
        <v>1998</v>
      </c>
      <c r="AZ25">
        <f t="shared" si="12"/>
        <v>1997</v>
      </c>
      <c r="BA25">
        <f t="shared" si="12"/>
        <v>1997</v>
      </c>
      <c r="BB25">
        <f t="shared" si="13"/>
        <v>1996</v>
      </c>
      <c r="BC25">
        <f t="shared" si="13"/>
        <v>1996</v>
      </c>
      <c r="BD25">
        <f t="shared" si="14"/>
        <v>1995</v>
      </c>
      <c r="BE25">
        <f t="shared" si="14"/>
        <v>1995</v>
      </c>
      <c r="BF25">
        <f t="shared" si="15"/>
        <v>1996</v>
      </c>
      <c r="BI25" s="948">
        <v>1995</v>
      </c>
      <c r="BJ25" s="701">
        <f t="shared" si="16"/>
        <v>0</v>
      </c>
      <c r="BK25" s="701">
        <f t="shared" si="17"/>
        <v>584.8599999999999</v>
      </c>
      <c r="BL25" s="701">
        <f t="shared" si="19"/>
        <v>5004.7712287712284</v>
      </c>
      <c r="BM25" s="701">
        <f t="shared" si="20"/>
        <v>196.53080202000001</v>
      </c>
      <c r="BN25" s="947">
        <f t="shared" si="18"/>
        <v>5786.1620307912281</v>
      </c>
    </row>
    <row r="26" spans="1:66" x14ac:dyDescent="0.3">
      <c r="A26" s="425" t="s">
        <v>373</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1176</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377</v>
      </c>
      <c r="AX26" s="453" t="s">
        <v>376</v>
      </c>
      <c r="AY26">
        <f t="shared" si="11"/>
        <v>1999</v>
      </c>
      <c r="AZ26">
        <f t="shared" si="12"/>
        <v>1998</v>
      </c>
      <c r="BA26">
        <f t="shared" si="12"/>
        <v>1998</v>
      </c>
      <c r="BB26">
        <f t="shared" si="13"/>
        <v>1997</v>
      </c>
      <c r="BC26">
        <f t="shared" si="13"/>
        <v>1997</v>
      </c>
      <c r="BD26">
        <f t="shared" si="14"/>
        <v>1996</v>
      </c>
      <c r="BE26">
        <f t="shared" si="14"/>
        <v>1996</v>
      </c>
      <c r="BF26">
        <f t="shared" si="15"/>
        <v>1997</v>
      </c>
      <c r="BI26" s="948">
        <v>1996</v>
      </c>
      <c r="BJ26" s="701">
        <f t="shared" si="16"/>
        <v>494.69800000000004</v>
      </c>
      <c r="BK26" s="701">
        <f t="shared" si="17"/>
        <v>942.83404798005029</v>
      </c>
      <c r="BL26" s="701">
        <f t="shared" si="19"/>
        <v>24856.549999999992</v>
      </c>
      <c r="BM26" s="701">
        <f t="shared" si="20"/>
        <v>643.22877122877128</v>
      </c>
      <c r="BN26" s="947">
        <f t="shared" si="18"/>
        <v>26937.310819208815</v>
      </c>
    </row>
    <row r="27" spans="1:66" x14ac:dyDescent="0.3">
      <c r="A27" s="425" t="s">
        <v>373</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1176</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263</v>
      </c>
      <c r="AW27" s="327" t="s">
        <v>377</v>
      </c>
      <c r="AX27" s="453" t="s">
        <v>376</v>
      </c>
      <c r="AY27">
        <f t="shared" si="11"/>
        <v>2000</v>
      </c>
      <c r="AZ27">
        <f t="shared" si="12"/>
        <v>1999</v>
      </c>
      <c r="BA27">
        <f t="shared" si="12"/>
        <v>1999</v>
      </c>
      <c r="BB27">
        <f t="shared" si="13"/>
        <v>1998</v>
      </c>
      <c r="BC27">
        <f t="shared" si="13"/>
        <v>1998</v>
      </c>
      <c r="BD27">
        <f t="shared" si="14"/>
        <v>1997</v>
      </c>
      <c r="BE27">
        <f t="shared" si="14"/>
        <v>1997</v>
      </c>
      <c r="BF27">
        <f t="shared" si="15"/>
        <v>1998</v>
      </c>
      <c r="BI27" s="948">
        <v>1997</v>
      </c>
      <c r="BJ27" s="701">
        <f t="shared" si="16"/>
        <v>0</v>
      </c>
      <c r="BK27" s="701">
        <f t="shared" si="17"/>
        <v>1807.3620000000001</v>
      </c>
      <c r="BL27" s="701">
        <f t="shared" si="19"/>
        <v>39595.257002075487</v>
      </c>
      <c r="BM27" s="701">
        <f t="shared" si="20"/>
        <v>3801.5899999999992</v>
      </c>
      <c r="BN27" s="947">
        <f t="shared" si="18"/>
        <v>45204.209002075484</v>
      </c>
    </row>
    <row r="28" spans="1:66" x14ac:dyDescent="0.3">
      <c r="A28" s="425" t="s">
        <v>373</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1176</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377</v>
      </c>
      <c r="AX28" s="453" t="s">
        <v>376</v>
      </c>
      <c r="AY28">
        <f t="shared" si="11"/>
        <v>2001</v>
      </c>
      <c r="AZ28">
        <f t="shared" si="12"/>
        <v>2000</v>
      </c>
      <c r="BA28">
        <f t="shared" si="12"/>
        <v>2000</v>
      </c>
      <c r="BB28">
        <f t="shared" si="13"/>
        <v>1999</v>
      </c>
      <c r="BC28">
        <f t="shared" si="13"/>
        <v>1999</v>
      </c>
      <c r="BD28">
        <f t="shared" si="14"/>
        <v>1998</v>
      </c>
      <c r="BE28">
        <f t="shared" si="14"/>
        <v>1998</v>
      </c>
      <c r="BF28">
        <f t="shared" si="15"/>
        <v>1999</v>
      </c>
      <c r="BI28" s="948">
        <v>1998</v>
      </c>
      <c r="BJ28" s="701">
        <f t="shared" si="16"/>
        <v>0</v>
      </c>
      <c r="BK28" s="701">
        <f t="shared" si="17"/>
        <v>2039.7063829787235</v>
      </c>
      <c r="BL28" s="701">
        <f t="shared" si="19"/>
        <v>2497.98</v>
      </c>
      <c r="BM28" s="701">
        <f t="shared" si="20"/>
        <v>1383.4381317626351</v>
      </c>
      <c r="BN28" s="947">
        <f t="shared" si="18"/>
        <v>5921.1245147413583</v>
      </c>
    </row>
    <row r="29" spans="1:66" x14ac:dyDescent="0.3">
      <c r="A29" s="425" t="s">
        <v>373</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1176</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377</v>
      </c>
      <c r="AX29" s="453" t="s">
        <v>376</v>
      </c>
      <c r="AY29">
        <f t="shared" si="11"/>
        <v>2002</v>
      </c>
      <c r="AZ29">
        <f t="shared" si="12"/>
        <v>2001</v>
      </c>
      <c r="BA29">
        <f t="shared" si="12"/>
        <v>2001</v>
      </c>
      <c r="BB29">
        <f t="shared" si="13"/>
        <v>2000</v>
      </c>
      <c r="BC29">
        <f t="shared" si="13"/>
        <v>2000</v>
      </c>
      <c r="BD29">
        <f t="shared" si="14"/>
        <v>1999</v>
      </c>
      <c r="BE29">
        <f t="shared" si="14"/>
        <v>1999</v>
      </c>
      <c r="BF29">
        <f t="shared" si="15"/>
        <v>2000</v>
      </c>
      <c r="BI29" s="948">
        <v>1999</v>
      </c>
      <c r="BJ29" s="701">
        <f t="shared" si="16"/>
        <v>0</v>
      </c>
      <c r="BK29" s="701">
        <f t="shared" si="17"/>
        <v>846.65987780040734</v>
      </c>
      <c r="BL29" s="701">
        <f t="shared" si="19"/>
        <v>14731.212765957447</v>
      </c>
      <c r="BM29" s="701">
        <f t="shared" si="20"/>
        <v>97.960000000000008</v>
      </c>
      <c r="BN29" s="947">
        <f t="shared" si="18"/>
        <v>15675.832643757854</v>
      </c>
    </row>
    <row r="30" spans="1:66" x14ac:dyDescent="0.3">
      <c r="A30" s="425" t="s">
        <v>373</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1176</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377</v>
      </c>
      <c r="AX30" s="453" t="s">
        <v>376</v>
      </c>
      <c r="AY30">
        <f t="shared" si="11"/>
        <v>2003</v>
      </c>
      <c r="AZ30">
        <f t="shared" si="12"/>
        <v>2002</v>
      </c>
      <c r="BA30">
        <f t="shared" si="12"/>
        <v>2002</v>
      </c>
      <c r="BB30">
        <f t="shared" si="13"/>
        <v>2001</v>
      </c>
      <c r="BC30">
        <f t="shared" si="13"/>
        <v>2001</v>
      </c>
      <c r="BD30">
        <f t="shared" si="14"/>
        <v>2000</v>
      </c>
      <c r="BE30">
        <f t="shared" si="14"/>
        <v>2000</v>
      </c>
      <c r="BF30">
        <f t="shared" si="15"/>
        <v>2001</v>
      </c>
      <c r="BI30" s="948">
        <v>2000</v>
      </c>
      <c r="BJ30" s="701">
        <f t="shared" si="16"/>
        <v>0</v>
      </c>
      <c r="BK30" s="701">
        <f t="shared" si="17"/>
        <v>1035.8540145985401</v>
      </c>
      <c r="BL30" s="701">
        <f t="shared" si="19"/>
        <v>39623.682281059067</v>
      </c>
      <c r="BM30" s="701">
        <f t="shared" si="20"/>
        <v>982.08085106382975</v>
      </c>
      <c r="BN30" s="947">
        <f t="shared" si="18"/>
        <v>41641.617146721437</v>
      </c>
    </row>
    <row r="31" spans="1:66" x14ac:dyDescent="0.3">
      <c r="A31" s="425" t="s">
        <v>373</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1176</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377</v>
      </c>
      <c r="AX31" s="453" t="s">
        <v>376</v>
      </c>
      <c r="AY31">
        <f t="shared" si="11"/>
        <v>2004</v>
      </c>
      <c r="AZ31">
        <f t="shared" si="12"/>
        <v>2003</v>
      </c>
      <c r="BA31">
        <f t="shared" si="12"/>
        <v>2003</v>
      </c>
      <c r="BB31">
        <f t="shared" si="13"/>
        <v>2002</v>
      </c>
      <c r="BC31">
        <f t="shared" si="13"/>
        <v>2002</v>
      </c>
      <c r="BD31">
        <f t="shared" si="14"/>
        <v>2001</v>
      </c>
      <c r="BE31">
        <f t="shared" si="14"/>
        <v>2001</v>
      </c>
      <c r="BF31">
        <f t="shared" si="15"/>
        <v>2002</v>
      </c>
      <c r="BI31" s="948">
        <v>2001</v>
      </c>
      <c r="BJ31" s="701">
        <f t="shared" si="16"/>
        <v>40.071621257081198</v>
      </c>
      <c r="BK31" s="701">
        <f t="shared" si="17"/>
        <v>2379.3142857142857</v>
      </c>
      <c r="BL31" s="701">
        <f t="shared" si="19"/>
        <v>30385.051094890514</v>
      </c>
      <c r="BM31" s="701">
        <f t="shared" si="20"/>
        <v>1100.6578411405296</v>
      </c>
      <c r="BN31" s="947">
        <f t="shared" si="18"/>
        <v>33905.094843002407</v>
      </c>
    </row>
    <row r="32" spans="1:66" x14ac:dyDescent="0.3">
      <c r="A32" s="425" t="s">
        <v>373</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1176</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377</v>
      </c>
      <c r="AX32" s="453" t="s">
        <v>376</v>
      </c>
      <c r="AY32">
        <f t="shared" si="11"/>
        <v>2005</v>
      </c>
      <c r="AZ32">
        <f t="shared" si="12"/>
        <v>2004</v>
      </c>
      <c r="BA32">
        <f t="shared" si="12"/>
        <v>2004</v>
      </c>
      <c r="BB32">
        <f t="shared" si="13"/>
        <v>2003</v>
      </c>
      <c r="BC32">
        <f t="shared" si="13"/>
        <v>2003</v>
      </c>
      <c r="BD32">
        <f t="shared" si="14"/>
        <v>2002</v>
      </c>
      <c r="BE32">
        <f t="shared" si="14"/>
        <v>2002</v>
      </c>
      <c r="BF32">
        <f t="shared" si="15"/>
        <v>2003</v>
      </c>
      <c r="BI32" s="948">
        <v>2002</v>
      </c>
      <c r="BJ32" s="701">
        <f t="shared" si="16"/>
        <v>0</v>
      </c>
      <c r="BK32" s="701">
        <f t="shared" si="17"/>
        <v>2083.7243053682223</v>
      </c>
      <c r="BL32" s="701">
        <f t="shared" si="19"/>
        <v>18390.116666666665</v>
      </c>
      <c r="BM32" s="701">
        <f t="shared" si="20"/>
        <v>115.0948905109489</v>
      </c>
      <c r="BN32" s="947">
        <f t="shared" si="18"/>
        <v>20588.935862545834</v>
      </c>
    </row>
    <row r="33" spans="1:66" x14ac:dyDescent="0.3">
      <c r="A33" s="425" t="s">
        <v>373</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1176</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377</v>
      </c>
      <c r="AX33" s="453" t="s">
        <v>376</v>
      </c>
      <c r="AY33">
        <f t="shared" si="11"/>
        <v>2006</v>
      </c>
      <c r="AZ33">
        <f t="shared" si="12"/>
        <v>2005</v>
      </c>
      <c r="BA33">
        <f t="shared" si="12"/>
        <v>2005</v>
      </c>
      <c r="BB33">
        <f t="shared" si="13"/>
        <v>2004</v>
      </c>
      <c r="BC33">
        <f t="shared" si="13"/>
        <v>2004</v>
      </c>
      <c r="BD33">
        <f t="shared" si="14"/>
        <v>2003</v>
      </c>
      <c r="BE33">
        <f t="shared" si="14"/>
        <v>2003</v>
      </c>
      <c r="BF33">
        <f t="shared" si="15"/>
        <v>2004</v>
      </c>
      <c r="BI33" s="948">
        <v>2003</v>
      </c>
      <c r="BJ33" s="701">
        <f t="shared" si="16"/>
        <v>0</v>
      </c>
      <c r="BK33" s="701">
        <f t="shared" si="17"/>
        <v>1868.6551920882462</v>
      </c>
      <c r="BL33" s="701">
        <f t="shared" si="19"/>
        <v>8054.3958726733217</v>
      </c>
      <c r="BM33" s="701">
        <f t="shared" si="20"/>
        <v>49.569047619047623</v>
      </c>
      <c r="BN33" s="947">
        <f t="shared" si="18"/>
        <v>9972.6201123806168</v>
      </c>
    </row>
    <row r="34" spans="1:66" x14ac:dyDescent="0.3">
      <c r="A34" s="425" t="s">
        <v>373</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1176</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272</v>
      </c>
      <c r="AW34" s="327" t="s">
        <v>377</v>
      </c>
      <c r="AX34" s="453" t="s">
        <v>376</v>
      </c>
      <c r="AY34">
        <f t="shared" si="11"/>
        <v>2007</v>
      </c>
      <c r="AZ34">
        <f t="shared" si="12"/>
        <v>2006</v>
      </c>
      <c r="BA34">
        <f t="shared" si="12"/>
        <v>2006</v>
      </c>
      <c r="BB34">
        <f t="shared" si="13"/>
        <v>2005</v>
      </c>
      <c r="BC34">
        <f t="shared" si="13"/>
        <v>2005</v>
      </c>
      <c r="BD34">
        <f t="shared" si="14"/>
        <v>2004</v>
      </c>
      <c r="BE34">
        <f t="shared" si="14"/>
        <v>2004</v>
      </c>
      <c r="BF34">
        <f t="shared" si="15"/>
        <v>2005</v>
      </c>
      <c r="BI34" s="948">
        <v>2004</v>
      </c>
      <c r="BJ34" s="701">
        <f t="shared" si="16"/>
        <v>0</v>
      </c>
      <c r="BK34" s="701">
        <f t="shared" si="17"/>
        <v>6225.4852941176468</v>
      </c>
      <c r="BL34" s="701">
        <f t="shared" si="19"/>
        <v>120661.73526055535</v>
      </c>
      <c r="BM34" s="701">
        <f t="shared" si="20"/>
        <v>3325.9445643377398</v>
      </c>
      <c r="BN34" s="947">
        <f t="shared" si="18"/>
        <v>130213.16511901074</v>
      </c>
    </row>
    <row r="35" spans="1:66" x14ac:dyDescent="0.3">
      <c r="A35" s="425" t="s">
        <v>373</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1176</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377</v>
      </c>
      <c r="AX35" s="453" t="s">
        <v>376</v>
      </c>
      <c r="AY35">
        <f t="shared" si="11"/>
        <v>2008</v>
      </c>
      <c r="AZ35">
        <f t="shared" si="12"/>
        <v>2007</v>
      </c>
      <c r="BA35">
        <f t="shared" si="12"/>
        <v>2007</v>
      </c>
      <c r="BB35">
        <f t="shared" si="13"/>
        <v>2006</v>
      </c>
      <c r="BC35">
        <f t="shared" si="13"/>
        <v>2006</v>
      </c>
      <c r="BD35">
        <f t="shared" si="14"/>
        <v>2005</v>
      </c>
      <c r="BE35">
        <f t="shared" si="14"/>
        <v>2005</v>
      </c>
      <c r="BF35">
        <f t="shared" si="15"/>
        <v>2006</v>
      </c>
      <c r="BI35" s="948">
        <v>2005</v>
      </c>
      <c r="BJ35" s="701">
        <f t="shared" si="16"/>
        <v>0</v>
      </c>
      <c r="BK35" s="701">
        <f t="shared" si="17"/>
        <v>15886.190789473685</v>
      </c>
      <c r="BL35" s="701">
        <f t="shared" si="19"/>
        <v>56406.669786096259</v>
      </c>
      <c r="BM35" s="701">
        <f t="shared" si="20"/>
        <v>5072.0640928109542</v>
      </c>
      <c r="BN35" s="947">
        <f t="shared" si="18"/>
        <v>77364.924668380889</v>
      </c>
    </row>
    <row r="36" spans="1:66" x14ac:dyDescent="0.3">
      <c r="A36" s="425" t="s">
        <v>373</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1176</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377</v>
      </c>
      <c r="AX36" s="453" t="s">
        <v>376</v>
      </c>
      <c r="AY36">
        <f t="shared" si="11"/>
        <v>2009</v>
      </c>
      <c r="AZ36">
        <f t="shared" si="12"/>
        <v>2008</v>
      </c>
      <c r="BA36">
        <f t="shared" si="12"/>
        <v>2008</v>
      </c>
      <c r="BB36">
        <f t="shared" si="13"/>
        <v>2007</v>
      </c>
      <c r="BC36">
        <f t="shared" si="13"/>
        <v>2007</v>
      </c>
      <c r="BD36">
        <f t="shared" si="14"/>
        <v>2006</v>
      </c>
      <c r="BE36">
        <f t="shared" si="14"/>
        <v>2006</v>
      </c>
      <c r="BF36">
        <f t="shared" si="15"/>
        <v>2007</v>
      </c>
      <c r="BI36" s="948">
        <v>2006</v>
      </c>
      <c r="BJ36" s="701">
        <f t="shared" si="16"/>
        <v>0</v>
      </c>
      <c r="BK36" s="701">
        <f t="shared" si="17"/>
        <v>3182.3770491803275</v>
      </c>
      <c r="BL36" s="701">
        <f t="shared" si="19"/>
        <v>192706.40131578947</v>
      </c>
      <c r="BM36" s="701">
        <f t="shared" si="20"/>
        <v>1509.2085561497327</v>
      </c>
      <c r="BN36" s="947">
        <f t="shared" si="18"/>
        <v>197397.98692111953</v>
      </c>
    </row>
    <row r="37" spans="1:66" x14ac:dyDescent="0.3">
      <c r="A37" s="425" t="s">
        <v>373</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1176</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377</v>
      </c>
      <c r="AX37" s="453" t="s">
        <v>376</v>
      </c>
      <c r="AY37">
        <f t="shared" si="11"/>
        <v>2010</v>
      </c>
      <c r="AZ37">
        <f t="shared" si="12"/>
        <v>2009</v>
      </c>
      <c r="BA37">
        <f t="shared" si="12"/>
        <v>2009</v>
      </c>
      <c r="BB37">
        <f t="shared" si="13"/>
        <v>2008</v>
      </c>
      <c r="BC37">
        <f t="shared" si="13"/>
        <v>2008</v>
      </c>
      <c r="BD37">
        <f t="shared" si="14"/>
        <v>2007</v>
      </c>
      <c r="BE37">
        <f t="shared" si="14"/>
        <v>2007</v>
      </c>
      <c r="BF37">
        <f t="shared" si="15"/>
        <v>2008</v>
      </c>
      <c r="BI37" s="948">
        <v>2007</v>
      </c>
      <c r="BJ37" s="701">
        <f t="shared" si="16"/>
        <v>0</v>
      </c>
      <c r="BK37" s="701">
        <f t="shared" si="17"/>
        <v>1202.9580330155777</v>
      </c>
      <c r="BL37" s="701">
        <f t="shared" si="19"/>
        <v>62586.748633879775</v>
      </c>
      <c r="BM37" s="701">
        <f t="shared" si="20"/>
        <v>1381.4078947368421</v>
      </c>
      <c r="BN37" s="947">
        <f t="shared" si="18"/>
        <v>65171.114561632196</v>
      </c>
    </row>
    <row r="38" spans="1:66" x14ac:dyDescent="0.3">
      <c r="A38" s="425" t="s">
        <v>373</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1176</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377</v>
      </c>
      <c r="AX38" s="453" t="s">
        <v>376</v>
      </c>
      <c r="AY38">
        <f t="shared" si="11"/>
        <v>2011</v>
      </c>
      <c r="AZ38">
        <f t="shared" si="12"/>
        <v>2010</v>
      </c>
      <c r="BA38">
        <f t="shared" si="12"/>
        <v>2010</v>
      </c>
      <c r="BB38">
        <f t="shared" si="13"/>
        <v>2009</v>
      </c>
      <c r="BC38">
        <f t="shared" si="13"/>
        <v>2009</v>
      </c>
      <c r="BD38">
        <f t="shared" si="14"/>
        <v>2008</v>
      </c>
      <c r="BE38">
        <f t="shared" si="14"/>
        <v>2008</v>
      </c>
      <c r="BF38">
        <f t="shared" si="15"/>
        <v>2009</v>
      </c>
      <c r="BI38" s="948">
        <v>2008</v>
      </c>
      <c r="BJ38" s="701">
        <f t="shared" si="16"/>
        <v>0</v>
      </c>
      <c r="BK38" s="701">
        <f t="shared" si="17"/>
        <v>4706.9098712446348</v>
      </c>
      <c r="BL38" s="701">
        <f t="shared" si="19"/>
        <v>92627.768542199483</v>
      </c>
      <c r="BM38" s="701">
        <f t="shared" si="20"/>
        <v>11880.874316939891</v>
      </c>
      <c r="BN38" s="947">
        <f t="shared" si="18"/>
        <v>109215.55273038401</v>
      </c>
    </row>
    <row r="39" spans="1:66" x14ac:dyDescent="0.3">
      <c r="A39" s="425" t="s">
        <v>373</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1176</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378</v>
      </c>
      <c r="AW39" s="327" t="s">
        <v>377</v>
      </c>
      <c r="AX39" s="453" t="s">
        <v>376</v>
      </c>
      <c r="AY39">
        <f t="shared" si="11"/>
        <v>2012</v>
      </c>
      <c r="AZ39">
        <f t="shared" si="12"/>
        <v>2011</v>
      </c>
      <c r="BA39">
        <f t="shared" si="12"/>
        <v>2011</v>
      </c>
      <c r="BB39">
        <f t="shared" si="13"/>
        <v>2010</v>
      </c>
      <c r="BC39">
        <f t="shared" si="13"/>
        <v>2010</v>
      </c>
      <c r="BD39">
        <f t="shared" si="14"/>
        <v>2009</v>
      </c>
      <c r="BE39">
        <f t="shared" si="14"/>
        <v>2009</v>
      </c>
      <c r="BF39">
        <f t="shared" si="15"/>
        <v>2010</v>
      </c>
      <c r="BI39" s="948">
        <v>2009</v>
      </c>
      <c r="BJ39" s="701">
        <f t="shared" si="16"/>
        <v>0</v>
      </c>
      <c r="BK39" s="701">
        <f t="shared" si="17"/>
        <v>5129.4008264462809</v>
      </c>
      <c r="BL39" s="701">
        <f t="shared" si="19"/>
        <v>25260.416309012879</v>
      </c>
      <c r="BM39" s="701">
        <f t="shared" si="20"/>
        <v>240.59160660311557</v>
      </c>
      <c r="BN39" s="947">
        <f t="shared" si="18"/>
        <v>30630.408742062278</v>
      </c>
    </row>
    <row r="40" spans="1:66" x14ac:dyDescent="0.3">
      <c r="A40" s="425" t="s">
        <v>373</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1176</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377</v>
      </c>
      <c r="AX40" s="453" t="s">
        <v>376</v>
      </c>
      <c r="AY40">
        <f t="shared" si="11"/>
        <v>2013</v>
      </c>
      <c r="AZ40">
        <f t="shared" si="12"/>
        <v>2012</v>
      </c>
      <c r="BA40">
        <f t="shared" si="12"/>
        <v>2012</v>
      </c>
      <c r="BB40">
        <f t="shared" si="13"/>
        <v>2011</v>
      </c>
      <c r="BC40">
        <f t="shared" si="13"/>
        <v>2011</v>
      </c>
      <c r="BD40">
        <f t="shared" si="14"/>
        <v>2010</v>
      </c>
      <c r="BE40">
        <f t="shared" si="14"/>
        <v>2010</v>
      </c>
      <c r="BF40">
        <f t="shared" si="15"/>
        <v>2011</v>
      </c>
      <c r="BI40" s="948">
        <v>2010</v>
      </c>
      <c r="BJ40" s="701">
        <f t="shared" si="16"/>
        <v>0</v>
      </c>
      <c r="BK40" s="701">
        <f t="shared" si="17"/>
        <v>544.85217391304343</v>
      </c>
      <c r="BL40" s="701">
        <f t="shared" si="19"/>
        <v>131312.66115702479</v>
      </c>
      <c r="BM40" s="701">
        <f t="shared" si="20"/>
        <v>6589.6738197424893</v>
      </c>
      <c r="BN40" s="947">
        <f t="shared" si="18"/>
        <v>138447.18715068031</v>
      </c>
    </row>
    <row r="41" spans="1:66" x14ac:dyDescent="0.3">
      <c r="A41" s="425" t="s">
        <v>373</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1176</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377</v>
      </c>
      <c r="AX41" s="453" t="s">
        <v>376</v>
      </c>
      <c r="AY41">
        <f t="shared" si="11"/>
        <v>2014</v>
      </c>
      <c r="AZ41">
        <f t="shared" si="12"/>
        <v>2013</v>
      </c>
      <c r="BA41">
        <f t="shared" si="12"/>
        <v>2013</v>
      </c>
      <c r="BB41">
        <f t="shared" si="13"/>
        <v>2012</v>
      </c>
      <c r="BC41">
        <f t="shared" si="13"/>
        <v>2012</v>
      </c>
      <c r="BD41">
        <f t="shared" si="14"/>
        <v>2011</v>
      </c>
      <c r="BE41">
        <f t="shared" si="14"/>
        <v>2011</v>
      </c>
      <c r="BF41">
        <f t="shared" si="15"/>
        <v>2012</v>
      </c>
      <c r="BI41" s="948">
        <v>2011</v>
      </c>
      <c r="BJ41" s="701">
        <f t="shared" si="16"/>
        <v>0</v>
      </c>
      <c r="BK41" s="701">
        <f t="shared" si="17"/>
        <v>1680.9137055837564</v>
      </c>
      <c r="BL41" s="701">
        <f t="shared" si="19"/>
        <v>9898.1478260869571</v>
      </c>
      <c r="BM41" s="701">
        <f t="shared" si="20"/>
        <v>10258.801652892564</v>
      </c>
      <c r="BN41" s="947">
        <f t="shared" si="18"/>
        <v>21837.863184563277</v>
      </c>
    </row>
    <row r="42" spans="1:66" x14ac:dyDescent="0.3">
      <c r="A42" s="425" t="s">
        <v>373</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1176</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377</v>
      </c>
      <c r="AX42" s="453" t="s">
        <v>376</v>
      </c>
      <c r="AY42">
        <f t="shared" si="11"/>
        <v>2015</v>
      </c>
      <c r="AZ42">
        <f t="shared" si="12"/>
        <v>2014</v>
      </c>
      <c r="BA42">
        <f t="shared" si="12"/>
        <v>2014</v>
      </c>
      <c r="BB42">
        <f t="shared" si="13"/>
        <v>2013</v>
      </c>
      <c r="BC42">
        <f t="shared" si="13"/>
        <v>2013</v>
      </c>
      <c r="BD42">
        <f t="shared" si="14"/>
        <v>2012</v>
      </c>
      <c r="BE42">
        <f t="shared" si="14"/>
        <v>2012</v>
      </c>
      <c r="BF42">
        <f t="shared" si="15"/>
        <v>2013</v>
      </c>
      <c r="BI42" s="948">
        <v>2012</v>
      </c>
      <c r="BJ42" s="701">
        <f t="shared" si="16"/>
        <v>0</v>
      </c>
      <c r="BK42" s="701">
        <f t="shared" si="17"/>
        <v>1511.5689381933439</v>
      </c>
      <c r="BL42" s="701">
        <f t="shared" si="19"/>
        <v>52948.781725888322</v>
      </c>
      <c r="BM42" s="701">
        <f t="shared" si="20"/>
        <v>0</v>
      </c>
      <c r="BN42" s="947">
        <f t="shared" si="18"/>
        <v>54460.350664081663</v>
      </c>
    </row>
    <row r="43" spans="1:66" x14ac:dyDescent="0.3">
      <c r="A43" s="425" t="s">
        <v>373</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1176</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377</v>
      </c>
      <c r="AX43" s="453" t="s">
        <v>376</v>
      </c>
      <c r="AY43">
        <f t="shared" si="11"/>
        <v>2016</v>
      </c>
      <c r="AZ43">
        <f t="shared" si="12"/>
        <v>2015</v>
      </c>
      <c r="BA43">
        <f t="shared" si="12"/>
        <v>2015</v>
      </c>
      <c r="BB43">
        <f t="shared" si="13"/>
        <v>2014</v>
      </c>
      <c r="BC43">
        <f t="shared" si="13"/>
        <v>2014</v>
      </c>
      <c r="BD43">
        <f t="shared" si="14"/>
        <v>2013</v>
      </c>
      <c r="BE43">
        <f t="shared" si="14"/>
        <v>2013</v>
      </c>
      <c r="BF43">
        <f t="shared" si="15"/>
        <v>2014</v>
      </c>
      <c r="BI43" s="948">
        <v>2013</v>
      </c>
      <c r="BJ43" s="701">
        <f t="shared" si="16"/>
        <v>0</v>
      </c>
      <c r="BK43" s="701">
        <f t="shared" si="17"/>
        <v>489.16765285996053</v>
      </c>
      <c r="BL43" s="701">
        <f t="shared" si="19"/>
        <v>7685.1347068145797</v>
      </c>
      <c r="BM43" s="701">
        <f t="shared" si="20"/>
        <v>560.30456852791872</v>
      </c>
      <c r="BN43" s="947">
        <f t="shared" si="18"/>
        <v>8734.60692820246</v>
      </c>
    </row>
    <row r="44" spans="1:66" x14ac:dyDescent="0.3">
      <c r="A44" s="425" t="s">
        <v>373</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1176</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377</v>
      </c>
      <c r="AX44" s="453" t="s">
        <v>376</v>
      </c>
      <c r="AY44">
        <f t="shared" si="11"/>
        <v>2017</v>
      </c>
      <c r="AZ44">
        <f t="shared" si="12"/>
        <v>2016</v>
      </c>
      <c r="BA44">
        <f t="shared" si="12"/>
        <v>2016</v>
      </c>
      <c r="BB44">
        <f t="shared" si="13"/>
        <v>2015</v>
      </c>
      <c r="BC44">
        <f t="shared" si="13"/>
        <v>2015</v>
      </c>
      <c r="BD44">
        <f t="shared" si="14"/>
        <v>2014</v>
      </c>
      <c r="BE44">
        <f t="shared" si="14"/>
        <v>2014</v>
      </c>
      <c r="BF44">
        <f t="shared" si="15"/>
        <v>2015</v>
      </c>
      <c r="BI44" s="948">
        <v>2014</v>
      </c>
      <c r="BJ44" s="701">
        <f t="shared" si="16"/>
        <v>0</v>
      </c>
      <c r="BK44" s="701">
        <f t="shared" si="17"/>
        <v>3959.3079178885632</v>
      </c>
      <c r="BL44" s="701">
        <f t="shared" si="19"/>
        <v>30450.686390532544</v>
      </c>
      <c r="BM44" s="701">
        <f t="shared" si="20"/>
        <v>843.29635499207609</v>
      </c>
      <c r="BN44" s="947">
        <f t="shared" si="18"/>
        <v>35253.29066341318</v>
      </c>
    </row>
    <row r="45" spans="1:66" x14ac:dyDescent="0.3">
      <c r="A45" s="425" t="s">
        <v>373</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380</v>
      </c>
      <c r="AW45" s="327" t="s">
        <v>377</v>
      </c>
      <c r="AX45" s="453" t="s">
        <v>376</v>
      </c>
      <c r="AY45">
        <f t="shared" si="11"/>
        <v>2018</v>
      </c>
      <c r="AZ45">
        <f t="shared" si="12"/>
        <v>2017</v>
      </c>
      <c r="BA45">
        <f t="shared" si="12"/>
        <v>2017</v>
      </c>
      <c r="BB45">
        <f t="shared" si="13"/>
        <v>2016</v>
      </c>
      <c r="BC45">
        <f t="shared" si="13"/>
        <v>2016</v>
      </c>
      <c r="BD45">
        <f t="shared" si="14"/>
        <v>2015</v>
      </c>
      <c r="BE45">
        <f t="shared" si="14"/>
        <v>2015</v>
      </c>
      <c r="BF45">
        <f t="shared" si="15"/>
        <v>2016</v>
      </c>
      <c r="BI45" s="948">
        <v>2015</v>
      </c>
      <c r="BJ45" s="701">
        <f t="shared" si="16"/>
        <v>0</v>
      </c>
      <c r="BK45" s="701">
        <f t="shared" si="17"/>
        <v>866.48399999999992</v>
      </c>
      <c r="BL45" s="701">
        <f t="shared" si="19"/>
        <v>6957.6187683284452</v>
      </c>
      <c r="BM45" s="701">
        <f t="shared" si="20"/>
        <v>61.145956607495073</v>
      </c>
      <c r="BN45" s="947">
        <f t="shared" si="18"/>
        <v>7885.2487249359401</v>
      </c>
    </row>
    <row r="46" spans="1:66" x14ac:dyDescent="0.3">
      <c r="A46" s="425" t="s">
        <v>373</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1177</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8">
        <v>2016</v>
      </c>
      <c r="BJ46" s="813"/>
      <c r="BK46" s="701">
        <f t="shared" si="17"/>
        <v>609.84300000000007</v>
      </c>
      <c r="BL46" s="701">
        <f t="shared" si="19"/>
        <v>46741.998</v>
      </c>
      <c r="BM46" s="701">
        <f t="shared" si="20"/>
        <v>2191.0733137829911</v>
      </c>
      <c r="BN46" s="947">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8">
        <v>2017</v>
      </c>
      <c r="BJ47" s="813"/>
      <c r="BK47" s="701">
        <f t="shared" si="17"/>
        <v>4800</v>
      </c>
      <c r="BL47" s="701">
        <f t="shared" si="19"/>
        <v>8184.7350000000006</v>
      </c>
      <c r="BM47" s="701">
        <f t="shared" si="20"/>
        <v>529.51799999999992</v>
      </c>
      <c r="BN47" s="947">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8">
        <v>2018</v>
      </c>
      <c r="BJ48" s="952"/>
      <c r="BK48" s="953"/>
      <c r="BL48" s="953">
        <f t="shared" si="19"/>
        <v>34760</v>
      </c>
      <c r="BM48" s="953">
        <f t="shared" si="20"/>
        <v>1904.4219999999998</v>
      </c>
      <c r="BN48" s="954">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8">
        <v>2019</v>
      </c>
      <c r="BJ49" s="952"/>
      <c r="BK49" s="952"/>
      <c r="BL49" s="953"/>
      <c r="BM49" s="953">
        <f t="shared" si="20"/>
        <v>760</v>
      </c>
      <c r="BN49" s="954">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8">
        <v>2020</v>
      </c>
      <c r="BJ50" s="952"/>
      <c r="BK50" s="952"/>
      <c r="BL50" s="952"/>
      <c r="BM50" s="953"/>
      <c r="BN50" s="955"/>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6"/>
      <c r="BK51" s="956"/>
      <c r="BL51" s="956"/>
      <c r="BM51" s="956"/>
      <c r="BN51" s="957"/>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382</v>
      </c>
      <c r="B55" s="886"/>
      <c r="C55" s="884" t="str">
        <f>C3</f>
        <v>1.1 (32)</v>
      </c>
      <c r="D55" s="881" t="str">
        <f>D3</f>
        <v>1.2 (42)</v>
      </c>
      <c r="E55" s="881" t="str">
        <f>E3</f>
        <v>2.1 (43)</v>
      </c>
      <c r="F55" s="881" t="str">
        <f>F3</f>
        <v>1.3 (52)</v>
      </c>
      <c r="G55" s="882" t="str">
        <f>G3</f>
        <v>2.2 (53)</v>
      </c>
      <c r="H55" s="878" t="s">
        <v>384</v>
      </c>
      <c r="I55" s="876" t="s">
        <v>385</v>
      </c>
      <c r="J55" s="877" t="s">
        <v>386</v>
      </c>
    </row>
    <row r="56" spans="1:66" x14ac:dyDescent="0.3">
      <c r="A56" s="700" t="s">
        <v>387</v>
      </c>
      <c r="B56" s="887">
        <f>B35</f>
        <v>2011</v>
      </c>
      <c r="C56" s="885">
        <f>C35/$K35</f>
        <v>0.15300546448087432</v>
      </c>
      <c r="D56" s="880">
        <f>D35/$K35</f>
        <v>0.80327868852459017</v>
      </c>
      <c r="E56" s="880">
        <f>E35/$K35</f>
        <v>2.7322404371584699E-3</v>
      </c>
      <c r="F56" s="880">
        <f>F35/$K35</f>
        <v>4.0983606557377046E-2</v>
      </c>
      <c r="G56" s="883">
        <f>G35/$K35</f>
        <v>0</v>
      </c>
      <c r="H56" s="879"/>
      <c r="I56" s="875"/>
      <c r="J56" s="767"/>
    </row>
    <row r="57" spans="1:66" x14ac:dyDescent="0.3">
      <c r="A57" s="700" t="s">
        <v>388</v>
      </c>
      <c r="B57" s="887">
        <f t="shared" ref="B57:B66" si="22">B36</f>
        <v>2012</v>
      </c>
      <c r="C57" s="885">
        <f t="shared" ref="C57:G67" si="23">C36/$K36</f>
        <v>2.5575447570332483E-3</v>
      </c>
      <c r="D57" s="880">
        <f t="shared" si="23"/>
        <v>0.97698209718670082</v>
      </c>
      <c r="E57" s="880">
        <f t="shared" si="23"/>
        <v>7.6726342710997453E-3</v>
      </c>
      <c r="F57" s="880">
        <f t="shared" si="23"/>
        <v>1.0230179028132993E-2</v>
      </c>
      <c r="G57" s="883">
        <f t="shared" si="23"/>
        <v>2.5575447570332483E-3</v>
      </c>
      <c r="H57" s="879"/>
      <c r="I57" s="875"/>
      <c r="J57" s="767"/>
    </row>
    <row r="58" spans="1:66" x14ac:dyDescent="0.3">
      <c r="A58" s="700" t="s">
        <v>389</v>
      </c>
      <c r="B58" s="887">
        <f t="shared" si="22"/>
        <v>2013</v>
      </c>
      <c r="C58" s="885">
        <f t="shared" si="23"/>
        <v>0.18025751072961374</v>
      </c>
      <c r="D58" s="880">
        <f t="shared" si="23"/>
        <v>0.66094420600858372</v>
      </c>
      <c r="E58" s="880">
        <f t="shared" si="23"/>
        <v>3.0042918454935619E-2</v>
      </c>
      <c r="F58" s="880">
        <f t="shared" si="23"/>
        <v>3.0042918454935619E-2</v>
      </c>
      <c r="G58" s="883">
        <f t="shared" si="23"/>
        <v>9.8712446351931327E-2</v>
      </c>
      <c r="H58" s="879"/>
      <c r="I58" s="875"/>
      <c r="J58" s="767"/>
    </row>
    <row r="59" spans="1:66" x14ac:dyDescent="0.3">
      <c r="B59" s="887">
        <f t="shared" si="22"/>
        <v>2014</v>
      </c>
      <c r="C59" s="885">
        <f t="shared" si="23"/>
        <v>6.9930069930069935E-2</v>
      </c>
      <c r="D59" s="880">
        <f t="shared" si="23"/>
        <v>0.89510489510489499</v>
      </c>
      <c r="E59" s="880">
        <f t="shared" si="23"/>
        <v>0</v>
      </c>
      <c r="F59" s="880">
        <f t="shared" si="23"/>
        <v>3.2634032634032632E-2</v>
      </c>
      <c r="G59" s="883">
        <f t="shared" si="23"/>
        <v>2.331002331002331E-3</v>
      </c>
      <c r="H59" s="879"/>
      <c r="I59" s="875"/>
      <c r="J59" s="767"/>
    </row>
    <row r="60" spans="1:66" x14ac:dyDescent="0.3">
      <c r="B60" s="887">
        <f t="shared" si="22"/>
        <v>2015</v>
      </c>
      <c r="C60" s="885">
        <f t="shared" si="23"/>
        <v>0</v>
      </c>
      <c r="D60" s="880">
        <f t="shared" si="23"/>
        <v>0.93913043478260871</v>
      </c>
      <c r="E60" s="880">
        <f t="shared" si="23"/>
        <v>8.6956521739130436E-3</v>
      </c>
      <c r="F60" s="880">
        <f t="shared" si="23"/>
        <v>4.3478260869565216E-2</v>
      </c>
      <c r="G60" s="883">
        <f t="shared" si="23"/>
        <v>8.6956521739130436E-3</v>
      </c>
      <c r="H60" s="879"/>
      <c r="I60" s="875"/>
      <c r="J60" s="767"/>
    </row>
    <row r="61" spans="1:66" x14ac:dyDescent="0.3">
      <c r="B61" s="887">
        <f t="shared" si="22"/>
        <v>2016</v>
      </c>
      <c r="C61" s="885">
        <f t="shared" si="23"/>
        <v>1.015228426395939E-2</v>
      </c>
      <c r="D61" s="880">
        <f t="shared" si="23"/>
        <v>0.95685279187817263</v>
      </c>
      <c r="E61" s="880">
        <f t="shared" si="23"/>
        <v>2.5380710659898475E-3</v>
      </c>
      <c r="F61" s="880">
        <f t="shared" si="23"/>
        <v>2.5380710659898477E-2</v>
      </c>
      <c r="G61" s="883">
        <f t="shared" si="23"/>
        <v>5.076142131979695E-3</v>
      </c>
      <c r="H61" s="879"/>
      <c r="I61" s="875"/>
      <c r="J61" s="767"/>
    </row>
    <row r="62" spans="1:66" x14ac:dyDescent="0.3">
      <c r="B62" s="887">
        <f t="shared" si="22"/>
        <v>2017</v>
      </c>
      <c r="C62" s="885">
        <f t="shared" si="23"/>
        <v>8.3993660855784469E-2</v>
      </c>
      <c r="D62" s="880">
        <f t="shared" si="23"/>
        <v>0.74960380348652933</v>
      </c>
      <c r="E62" s="880">
        <f t="shared" si="23"/>
        <v>1.5847860538827259E-2</v>
      </c>
      <c r="F62" s="880">
        <f t="shared" si="23"/>
        <v>0.1473851030110935</v>
      </c>
      <c r="G62" s="883">
        <f t="shared" si="23"/>
        <v>3.1695721077654518E-3</v>
      </c>
      <c r="H62" s="879"/>
      <c r="I62" s="875"/>
      <c r="J62" s="767"/>
    </row>
    <row r="63" spans="1:66" x14ac:dyDescent="0.3">
      <c r="B63" s="887">
        <f t="shared" si="22"/>
        <v>2018</v>
      </c>
      <c r="C63" s="885">
        <f t="shared" si="23"/>
        <v>1.9723865877712033E-3</v>
      </c>
      <c r="D63" s="880">
        <f t="shared" si="23"/>
        <v>0.97633136094674555</v>
      </c>
      <c r="E63" s="880">
        <f t="shared" si="23"/>
        <v>5.9171597633136093E-3</v>
      </c>
      <c r="F63" s="880">
        <f t="shared" si="23"/>
        <v>1.3806706114398421E-2</v>
      </c>
      <c r="G63" s="883">
        <f t="shared" si="23"/>
        <v>1.9723865877712033E-3</v>
      </c>
      <c r="H63" s="879"/>
      <c r="I63" s="875"/>
      <c r="J63" s="767"/>
    </row>
    <row r="64" spans="1:66" x14ac:dyDescent="0.3">
      <c r="B64" s="887">
        <f t="shared" si="22"/>
        <v>2019</v>
      </c>
      <c r="C64" s="885">
        <f t="shared" si="23"/>
        <v>0.16715542521994134</v>
      </c>
      <c r="D64" s="880">
        <f t="shared" si="23"/>
        <v>0.52492668621700878</v>
      </c>
      <c r="E64" s="880">
        <f t="shared" si="23"/>
        <v>5.8651026392961877E-3</v>
      </c>
      <c r="F64" s="880">
        <f t="shared" si="23"/>
        <v>0.29912023460410558</v>
      </c>
      <c r="G64" s="883">
        <f t="shared" si="23"/>
        <v>2.9325513196480938E-3</v>
      </c>
      <c r="H64" s="879"/>
      <c r="I64" s="875"/>
      <c r="J64" s="767"/>
    </row>
    <row r="65" spans="2:10" x14ac:dyDescent="0.3">
      <c r="B65" s="887">
        <f t="shared" si="22"/>
        <v>2020</v>
      </c>
      <c r="C65" s="885">
        <f t="shared" si="23"/>
        <v>1.0999999999999998E-2</v>
      </c>
      <c r="D65" s="880">
        <f t="shared" si="23"/>
        <v>0.97099999999999997</v>
      </c>
      <c r="E65" s="880">
        <f t="shared" si="23"/>
        <v>0</v>
      </c>
      <c r="F65" s="880">
        <f t="shared" si="23"/>
        <v>1.7999999999999999E-2</v>
      </c>
      <c r="G65" s="883">
        <f t="shared" si="23"/>
        <v>0</v>
      </c>
      <c r="H65" s="879"/>
      <c r="I65" s="875"/>
      <c r="J65" s="767"/>
    </row>
    <row r="66" spans="2:10" x14ac:dyDescent="0.3">
      <c r="B66" s="887">
        <f t="shared" si="22"/>
        <v>2021</v>
      </c>
      <c r="C66" s="885">
        <f t="shared" si="23"/>
        <v>0.17799999999999999</v>
      </c>
      <c r="D66" s="880">
        <f t="shared" si="23"/>
        <v>0.76500000000000001</v>
      </c>
      <c r="E66" s="880">
        <f t="shared" si="23"/>
        <v>0</v>
      </c>
      <c r="F66" s="880">
        <f t="shared" si="23"/>
        <v>5.7000000000000009E-2</v>
      </c>
      <c r="G66" s="883">
        <f t="shared" si="23"/>
        <v>0</v>
      </c>
      <c r="H66" s="879"/>
      <c r="I66" s="875"/>
      <c r="J66" s="767"/>
    </row>
    <row r="67" spans="2:10" ht="15" thickBot="1" x14ac:dyDescent="0.35">
      <c r="B67" s="888">
        <f>B46</f>
        <v>2022</v>
      </c>
      <c r="C67" s="889">
        <f>C46/$K46</f>
        <v>1.9E-2</v>
      </c>
      <c r="D67" s="890">
        <f t="shared" si="23"/>
        <v>0.86099999999999999</v>
      </c>
      <c r="E67" s="890">
        <f t="shared" si="23"/>
        <v>8.0000000000000002E-3</v>
      </c>
      <c r="F67" s="890">
        <f t="shared" si="23"/>
        <v>0.12</v>
      </c>
      <c r="G67" s="891">
        <f t="shared" si="23"/>
        <v>0</v>
      </c>
      <c r="H67" s="892"/>
      <c r="I67" s="893"/>
      <c r="J67" s="894"/>
    </row>
    <row r="68" spans="2:10" ht="15" thickBot="1" x14ac:dyDescent="0.35">
      <c r="B68" s="895" t="s">
        <v>390</v>
      </c>
      <c r="C68" s="896">
        <f>AVERAGE(C56:C67)</f>
        <v>7.3085362235420628E-2</v>
      </c>
      <c r="D68" s="897">
        <f>AVERAGE(D56:D67)</f>
        <v>0.84001291367798636</v>
      </c>
      <c r="E68" s="897">
        <f>AVERAGE(E56:E67)</f>
        <v>7.2759699453778153E-3</v>
      </c>
      <c r="F68" s="897">
        <f>AVERAGE(F56:F67)</f>
        <v>6.9838479327794967E-2</v>
      </c>
      <c r="G68" s="898">
        <f>AVERAGE(G56:G67)</f>
        <v>1.0453941480087034E-2</v>
      </c>
      <c r="H68" s="899">
        <f>E68+C68</f>
        <v>8.0361332180798439E-2</v>
      </c>
      <c r="I68" s="900">
        <f>D68+G68</f>
        <v>0.85046685515807341</v>
      </c>
      <c r="J68" s="901">
        <f>F68</f>
        <v>6.9838479327794967E-2</v>
      </c>
    </row>
    <row r="69" spans="2:10" x14ac:dyDescent="0.3">
      <c r="B69" s="874"/>
    </row>
    <row r="70" spans="2:10" x14ac:dyDescent="0.3">
      <c r="B70" s="874"/>
    </row>
    <row r="71" spans="2:10" x14ac:dyDescent="0.3">
      <c r="B71" s="874"/>
    </row>
  </sheetData>
  <sheetProtection formatCells="0" formatColumns="0" formatRows="0" sort="0" autoFilter="0" pivotTables="0"/>
  <mergeCells count="30">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1178</v>
      </c>
    </row>
    <row r="2" spans="1:3" x14ac:dyDescent="0.3">
      <c r="A2" s="664">
        <v>1</v>
      </c>
      <c r="B2" s="664">
        <v>2001</v>
      </c>
      <c r="C2" s="1710">
        <v>44260</v>
      </c>
    </row>
    <row r="3" spans="1:3" x14ac:dyDescent="0.3">
      <c r="A3" s="664">
        <v>2</v>
      </c>
      <c r="B3" s="664">
        <v>2002</v>
      </c>
      <c r="C3" s="1710">
        <v>1128</v>
      </c>
    </row>
    <row r="4" spans="1:3" x14ac:dyDescent="0.3">
      <c r="A4" s="664">
        <v>3</v>
      </c>
      <c r="B4" s="664">
        <v>2003</v>
      </c>
      <c r="C4" s="1710">
        <v>15295</v>
      </c>
    </row>
    <row r="5" spans="1:3" x14ac:dyDescent="0.3">
      <c r="A5" s="664">
        <v>4</v>
      </c>
      <c r="B5" s="664">
        <v>2004</v>
      </c>
      <c r="C5" s="1710">
        <v>38354</v>
      </c>
    </row>
    <row r="6" spans="1:3" x14ac:dyDescent="0.3">
      <c r="A6" s="664">
        <v>5</v>
      </c>
      <c r="B6" s="664">
        <v>2005</v>
      </c>
      <c r="C6" s="1710">
        <v>36144</v>
      </c>
    </row>
    <row r="7" spans="1:3" x14ac:dyDescent="0.3">
      <c r="A7" s="664">
        <v>6</v>
      </c>
      <c r="B7" s="664">
        <v>2006</v>
      </c>
      <c r="C7" s="1710">
        <v>24597</v>
      </c>
    </row>
    <row r="8" spans="1:3" x14ac:dyDescent="0.3">
      <c r="A8" s="664">
        <v>7</v>
      </c>
      <c r="B8" s="664">
        <v>2007</v>
      </c>
      <c r="C8" s="1710">
        <v>11020</v>
      </c>
    </row>
    <row r="9" spans="1:3" x14ac:dyDescent="0.3">
      <c r="A9" s="664">
        <v>8</v>
      </c>
      <c r="B9" s="664">
        <v>2008</v>
      </c>
      <c r="C9" s="1710">
        <v>133584</v>
      </c>
    </row>
    <row r="10" spans="1:3" x14ac:dyDescent="0.3">
      <c r="A10" s="664">
        <v>9</v>
      </c>
      <c r="B10" s="664">
        <v>2009</v>
      </c>
      <c r="C10" s="1710">
        <v>72969</v>
      </c>
    </row>
    <row r="11" spans="1:3" x14ac:dyDescent="0.3">
      <c r="A11" s="664">
        <v>10</v>
      </c>
      <c r="B11" s="664">
        <v>2010</v>
      </c>
      <c r="C11" s="1710">
        <v>199768</v>
      </c>
    </row>
    <row r="12" spans="1:3" x14ac:dyDescent="0.3">
      <c r="A12" s="664">
        <v>11</v>
      </c>
      <c r="B12" s="664">
        <v>2011</v>
      </c>
      <c r="C12" s="1710">
        <v>59571</v>
      </c>
    </row>
    <row r="13" spans="1:3" x14ac:dyDescent="0.3">
      <c r="A13" s="664">
        <v>12</v>
      </c>
      <c r="B13" s="664">
        <v>2012</v>
      </c>
      <c r="C13" s="1710">
        <v>93672</v>
      </c>
    </row>
    <row r="14" spans="1:3" x14ac:dyDescent="0.3">
      <c r="A14" s="664">
        <v>13</v>
      </c>
      <c r="B14" s="664">
        <v>2013</v>
      </c>
      <c r="C14" s="1710">
        <v>37862</v>
      </c>
    </row>
    <row r="15" spans="1:3" x14ac:dyDescent="0.3">
      <c r="A15" s="664">
        <v>14</v>
      </c>
      <c r="B15" s="664">
        <v>2014</v>
      </c>
      <c r="C15" s="1710">
        <v>154183</v>
      </c>
    </row>
    <row r="16" spans="1:3" x14ac:dyDescent="0.3">
      <c r="A16" s="664">
        <v>15</v>
      </c>
      <c r="B16" s="664">
        <v>2015</v>
      </c>
      <c r="C16" s="1710">
        <v>7547</v>
      </c>
    </row>
    <row r="17" spans="1:3" x14ac:dyDescent="0.3">
      <c r="A17" s="664">
        <v>16</v>
      </c>
      <c r="B17" s="664">
        <v>2016</v>
      </c>
      <c r="C17" s="1710">
        <v>67376</v>
      </c>
    </row>
    <row r="18" spans="1:3" x14ac:dyDescent="0.3">
      <c r="A18" s="664">
        <v>17</v>
      </c>
      <c r="B18" s="664">
        <v>2017</v>
      </c>
      <c r="C18" s="1710">
        <v>5753</v>
      </c>
    </row>
    <row r="19" spans="1:3" x14ac:dyDescent="0.3">
      <c r="A19" s="664">
        <v>18</v>
      </c>
      <c r="B19" s="664">
        <v>2018</v>
      </c>
      <c r="C19" s="1710">
        <v>29404</v>
      </c>
    </row>
    <row r="20" spans="1:3" x14ac:dyDescent="0.3">
      <c r="A20" s="664">
        <v>19</v>
      </c>
      <c r="B20" s="664">
        <v>2019</v>
      </c>
      <c r="C20" s="1710">
        <v>9453</v>
      </c>
    </row>
    <row r="21" spans="1:3" x14ac:dyDescent="0.3">
      <c r="A21" s="664">
        <v>20</v>
      </c>
      <c r="B21" s="664">
        <v>2020</v>
      </c>
      <c r="C21" s="1710">
        <v>48499</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1179</v>
      </c>
      <c r="B1">
        <v>2006</v>
      </c>
      <c r="C1">
        <v>2007</v>
      </c>
      <c r="D1">
        <v>2008</v>
      </c>
      <c r="E1">
        <v>2009</v>
      </c>
      <c r="F1">
        <v>2010</v>
      </c>
      <c r="G1">
        <v>2011</v>
      </c>
      <c r="H1">
        <v>2012</v>
      </c>
      <c r="I1">
        <v>2013</v>
      </c>
      <c r="J1">
        <v>2014</v>
      </c>
      <c r="K1">
        <v>2015</v>
      </c>
      <c r="L1">
        <v>2016</v>
      </c>
      <c r="M1">
        <v>2017</v>
      </c>
      <c r="N1">
        <v>2018</v>
      </c>
      <c r="O1">
        <v>2019</v>
      </c>
      <c r="P1">
        <v>2020</v>
      </c>
      <c r="Q1" t="s">
        <v>425</v>
      </c>
      <c r="T1" s="664" t="s">
        <v>1179</v>
      </c>
      <c r="U1" s="664" t="s">
        <v>1180</v>
      </c>
      <c r="V1" s="664" t="s">
        <v>1181</v>
      </c>
      <c r="W1" s="664" t="s">
        <v>1182</v>
      </c>
      <c r="X1" s="664" t="s">
        <v>1183</v>
      </c>
      <c r="Y1" s="664" t="s">
        <v>1184</v>
      </c>
      <c r="Z1" s="664" t="s">
        <v>1185</v>
      </c>
      <c r="AA1" s="664" t="s">
        <v>1186</v>
      </c>
      <c r="AB1" s="664" t="s">
        <v>1187</v>
      </c>
      <c r="AC1" s="664" t="s">
        <v>1188</v>
      </c>
      <c r="AD1" s="664" t="s">
        <v>1189</v>
      </c>
      <c r="AE1" s="664" t="s">
        <v>1190</v>
      </c>
    </row>
    <row r="2" spans="1:31" x14ac:dyDescent="0.3">
      <c r="A2" t="s">
        <v>1180</v>
      </c>
      <c r="B2" s="1006"/>
      <c r="C2" s="1006"/>
      <c r="D2" s="1006"/>
      <c r="E2" s="1006"/>
      <c r="F2" s="1006"/>
      <c r="G2" s="1006"/>
      <c r="H2" s="1006"/>
      <c r="I2" s="1006">
        <v>89.5</v>
      </c>
      <c r="J2" s="1006">
        <v>93.1</v>
      </c>
      <c r="K2" s="1006">
        <v>82.8</v>
      </c>
      <c r="L2" s="1006">
        <v>94</v>
      </c>
      <c r="M2" s="1006">
        <v>89.3</v>
      </c>
      <c r="N2" s="1006">
        <v>93.3</v>
      </c>
      <c r="O2" s="1006">
        <v>94.6</v>
      </c>
      <c r="P2" s="1006">
        <v>95</v>
      </c>
      <c r="Q2" s="1006">
        <v>91.4</v>
      </c>
      <c r="T2" s="664">
        <v>2006</v>
      </c>
      <c r="U2" s="1006"/>
      <c r="V2" s="1006"/>
      <c r="W2" s="1006">
        <v>88.4</v>
      </c>
      <c r="X2" s="1006">
        <v>84.8</v>
      </c>
      <c r="Y2" s="1006">
        <v>81.099999999999994</v>
      </c>
      <c r="Z2" s="1006">
        <v>58.8</v>
      </c>
      <c r="AA2" s="1006">
        <v>53.8</v>
      </c>
      <c r="AB2" s="1006"/>
      <c r="AC2" s="1006"/>
      <c r="AD2" s="1008">
        <f t="shared" ref="AD2:AD17" si="0">Z2/$Y2</f>
        <v>0.72503082614056724</v>
      </c>
      <c r="AE2" s="1008">
        <f t="shared" ref="AE2:AE17" si="1">AA2/$Y2</f>
        <v>0.66337854500616522</v>
      </c>
    </row>
    <row r="3" spans="1:31" x14ac:dyDescent="0.3">
      <c r="A3" t="s">
        <v>1181</v>
      </c>
      <c r="B3" s="1006"/>
      <c r="C3" s="1006"/>
      <c r="D3" s="1006"/>
      <c r="E3" s="1006"/>
      <c r="F3" s="1006"/>
      <c r="G3" s="1006"/>
      <c r="H3" s="1006"/>
      <c r="N3" s="1006">
        <v>90.9</v>
      </c>
      <c r="O3" s="1006">
        <v>92.7</v>
      </c>
      <c r="P3" s="1006">
        <v>92.1</v>
      </c>
      <c r="Q3" s="1006">
        <v>91.8</v>
      </c>
      <c r="T3" s="664">
        <v>2007</v>
      </c>
      <c r="U3" s="1006"/>
      <c r="V3" s="1006"/>
      <c r="W3" s="1006">
        <v>84</v>
      </c>
      <c r="X3" s="1006">
        <v>77.400000000000006</v>
      </c>
      <c r="Y3" s="1006">
        <v>73.400000000000006</v>
      </c>
      <c r="Z3" s="1006">
        <v>62.2</v>
      </c>
      <c r="AA3" s="1006">
        <v>60.9</v>
      </c>
      <c r="AB3" s="1006"/>
      <c r="AC3" s="1006"/>
      <c r="AD3" s="1008">
        <f t="shared" si="0"/>
        <v>0.84741144414168934</v>
      </c>
      <c r="AE3" s="1008">
        <f t="shared" si="1"/>
        <v>0.82970027247956391</v>
      </c>
    </row>
    <row r="4" spans="1:31" x14ac:dyDescent="0.3">
      <c r="A4" t="s">
        <v>1182</v>
      </c>
      <c r="B4" s="1006">
        <v>88.4</v>
      </c>
      <c r="C4" s="1006">
        <v>84</v>
      </c>
      <c r="D4" s="1006">
        <v>89.4</v>
      </c>
      <c r="E4" s="1006">
        <v>85.7</v>
      </c>
      <c r="F4" s="1006">
        <v>81.5</v>
      </c>
      <c r="G4" s="1006">
        <v>76.099999999999994</v>
      </c>
      <c r="H4" s="1006">
        <v>82.4</v>
      </c>
      <c r="I4" s="1006">
        <v>83.6</v>
      </c>
      <c r="J4" s="1006">
        <v>88.3</v>
      </c>
      <c r="K4" s="1006">
        <v>54</v>
      </c>
      <c r="L4" s="1006">
        <v>89.2</v>
      </c>
      <c r="M4" s="1006">
        <v>81.7</v>
      </c>
      <c r="N4" s="1006">
        <v>88.9</v>
      </c>
      <c r="O4" s="1006">
        <v>84.2</v>
      </c>
      <c r="P4" s="1006">
        <v>90.4</v>
      </c>
      <c r="Q4" s="1006">
        <v>83.2</v>
      </c>
      <c r="T4" s="664">
        <v>2008</v>
      </c>
      <c r="U4" s="1006"/>
      <c r="V4" s="1006"/>
      <c r="W4" s="1006">
        <v>89.4</v>
      </c>
      <c r="X4" s="1006">
        <v>86.3</v>
      </c>
      <c r="Y4" s="1006">
        <v>85.8</v>
      </c>
      <c r="Z4" s="1006">
        <v>73.7</v>
      </c>
      <c r="AA4" s="1006">
        <v>71.099999999999994</v>
      </c>
      <c r="AB4" s="1006">
        <v>9.4</v>
      </c>
      <c r="AC4" s="1006"/>
      <c r="AD4" s="1008">
        <f t="shared" si="0"/>
        <v>0.85897435897435903</v>
      </c>
      <c r="AE4" s="1008">
        <f t="shared" si="1"/>
        <v>0.82867132867132864</v>
      </c>
    </row>
    <row r="5" spans="1:31" x14ac:dyDescent="0.3">
      <c r="A5" t="s">
        <v>1183</v>
      </c>
      <c r="B5" s="1006">
        <v>84.8</v>
      </c>
      <c r="C5" s="1006">
        <v>77.400000000000006</v>
      </c>
      <c r="D5" s="1006">
        <v>86.3</v>
      </c>
      <c r="E5" s="1006">
        <v>82.1</v>
      </c>
      <c r="F5" s="1006">
        <v>78.400000000000006</v>
      </c>
      <c r="G5" s="1006">
        <v>71.900000000000006</v>
      </c>
      <c r="H5" s="1006">
        <v>77.3</v>
      </c>
      <c r="I5" s="1006">
        <v>78.599999999999994</v>
      </c>
      <c r="J5" s="1006">
        <v>84.5</v>
      </c>
      <c r="K5" s="1006">
        <v>44.9</v>
      </c>
      <c r="L5" s="1006">
        <v>85.3</v>
      </c>
      <c r="M5" s="1006">
        <v>74.599999999999994</v>
      </c>
      <c r="N5" s="1006">
        <v>85.4</v>
      </c>
      <c r="O5" s="1006">
        <v>82.4</v>
      </c>
      <c r="P5" s="1006">
        <v>84.9</v>
      </c>
      <c r="Q5" s="1006">
        <v>78.5</v>
      </c>
      <c r="T5" s="664">
        <v>2009</v>
      </c>
      <c r="U5" s="1006"/>
      <c r="V5" s="1006"/>
      <c r="W5" s="1006">
        <v>85.7</v>
      </c>
      <c r="X5" s="1006">
        <v>82.1</v>
      </c>
      <c r="Y5" s="1006">
        <v>80.2</v>
      </c>
      <c r="Z5" s="1006">
        <v>67.099999999999994</v>
      </c>
      <c r="AA5" s="1006">
        <v>65.2</v>
      </c>
      <c r="AB5" s="1006">
        <v>12.2</v>
      </c>
      <c r="AC5" s="1006"/>
      <c r="AD5" s="1008">
        <f t="shared" si="0"/>
        <v>0.83665835411471312</v>
      </c>
      <c r="AE5" s="1008">
        <f t="shared" si="1"/>
        <v>0.81296758104738154</v>
      </c>
    </row>
    <row r="6" spans="1:31" x14ac:dyDescent="0.3">
      <c r="A6" t="s">
        <v>1184</v>
      </c>
      <c r="B6" s="1006">
        <v>81.099999999999994</v>
      </c>
      <c r="C6" s="1006">
        <v>73.400000000000006</v>
      </c>
      <c r="D6" s="1006">
        <v>85.8</v>
      </c>
      <c r="E6" s="1006">
        <v>80.2</v>
      </c>
      <c r="F6" s="1006">
        <v>76.3</v>
      </c>
      <c r="G6" s="1006">
        <v>68.900000000000006</v>
      </c>
      <c r="H6" s="1006">
        <v>75</v>
      </c>
      <c r="I6" s="1006">
        <v>74.2</v>
      </c>
      <c r="J6" s="1006">
        <v>79.5</v>
      </c>
      <c r="K6" s="1006">
        <v>40.6</v>
      </c>
      <c r="L6" s="1006">
        <v>81.599999999999994</v>
      </c>
      <c r="M6" s="1006">
        <v>70.8</v>
      </c>
      <c r="N6" s="1006">
        <v>80.7</v>
      </c>
      <c r="O6" s="1006">
        <v>81.599999999999994</v>
      </c>
      <c r="P6" s="1006">
        <v>77.3</v>
      </c>
      <c r="Q6" s="1006">
        <v>75.099999999999994</v>
      </c>
      <c r="T6" s="664">
        <v>2010</v>
      </c>
      <c r="U6" s="1006"/>
      <c r="V6" s="1006"/>
      <c r="W6" s="1006">
        <v>81.5</v>
      </c>
      <c r="X6" s="1006">
        <v>78.400000000000006</v>
      </c>
      <c r="Y6" s="1006">
        <v>76.3</v>
      </c>
      <c r="Z6" s="1006">
        <v>63.7</v>
      </c>
      <c r="AA6" s="1006">
        <v>62.6</v>
      </c>
      <c r="AB6" s="1006">
        <v>13.3</v>
      </c>
      <c r="AC6" s="1006">
        <v>32.5</v>
      </c>
      <c r="AD6" s="1008">
        <f t="shared" si="0"/>
        <v>0.83486238532110102</v>
      </c>
      <c r="AE6" s="1008">
        <f t="shared" si="1"/>
        <v>0.82044560943643519</v>
      </c>
    </row>
    <row r="7" spans="1:31" x14ac:dyDescent="0.3">
      <c r="A7" t="s">
        <v>1185</v>
      </c>
      <c r="B7" s="1006">
        <v>58.8</v>
      </c>
      <c r="C7" s="1006">
        <v>62.2</v>
      </c>
      <c r="D7" s="1006">
        <v>73.7</v>
      </c>
      <c r="E7" s="1006">
        <v>67.099999999999994</v>
      </c>
      <c r="F7" s="1006">
        <v>63.7</v>
      </c>
      <c r="G7" s="1006">
        <v>55.3</v>
      </c>
      <c r="H7" s="1006">
        <v>62.1</v>
      </c>
      <c r="I7" s="1006">
        <v>52.4</v>
      </c>
      <c r="J7" s="1006">
        <v>65.3</v>
      </c>
      <c r="K7" s="1006">
        <v>31.6</v>
      </c>
      <c r="L7" s="1006">
        <v>60.5</v>
      </c>
      <c r="M7" s="1006">
        <v>43.7</v>
      </c>
      <c r="N7" s="1006">
        <v>73.900000000000006</v>
      </c>
      <c r="O7" s="1006">
        <v>73.400000000000006</v>
      </c>
      <c r="P7" s="1006">
        <v>65</v>
      </c>
      <c r="Q7" s="1006">
        <v>60.5</v>
      </c>
      <c r="T7" s="664">
        <v>2011</v>
      </c>
      <c r="U7" s="1006"/>
      <c r="V7" s="1006"/>
      <c r="W7" s="1006">
        <v>76.099999999999994</v>
      </c>
      <c r="X7" s="1006">
        <v>71.900000000000006</v>
      </c>
      <c r="Y7" s="1006">
        <v>68.900000000000006</v>
      </c>
      <c r="Z7" s="1006">
        <v>55.3</v>
      </c>
      <c r="AA7" s="1006">
        <v>53.9</v>
      </c>
      <c r="AB7" s="1006">
        <v>14.2</v>
      </c>
      <c r="AC7" s="1006">
        <v>40.200000000000003</v>
      </c>
      <c r="AD7" s="1008">
        <f t="shared" si="0"/>
        <v>0.80261248185776479</v>
      </c>
      <c r="AE7" s="1008">
        <f t="shared" si="1"/>
        <v>0.78229317851959357</v>
      </c>
    </row>
    <row r="8" spans="1:31" x14ac:dyDescent="0.3">
      <c r="A8" t="s">
        <v>1186</v>
      </c>
      <c r="B8" s="1006">
        <v>53.8</v>
      </c>
      <c r="C8" s="1006">
        <v>60.9</v>
      </c>
      <c r="D8" s="1006">
        <v>71.099999999999994</v>
      </c>
      <c r="E8" s="1006">
        <v>65.2</v>
      </c>
      <c r="F8" s="1006">
        <v>62.6</v>
      </c>
      <c r="G8" s="1006">
        <v>53.9</v>
      </c>
      <c r="H8" s="1006">
        <v>60.8</v>
      </c>
      <c r="I8" s="1006">
        <v>50.5</v>
      </c>
      <c r="J8" s="1006">
        <v>64.2</v>
      </c>
      <c r="K8" s="1006">
        <v>29.4</v>
      </c>
      <c r="L8" s="1006">
        <v>59.3</v>
      </c>
      <c r="M8" s="1006">
        <v>42.5</v>
      </c>
      <c r="N8" s="1006">
        <v>72.7</v>
      </c>
      <c r="O8" s="1006">
        <v>72.400000000000006</v>
      </c>
      <c r="P8" s="1006">
        <v>63.7</v>
      </c>
      <c r="Q8" s="1006">
        <v>58.8</v>
      </c>
      <c r="T8" s="664">
        <v>2012</v>
      </c>
      <c r="U8" s="1006"/>
      <c r="V8" s="1006"/>
      <c r="W8" s="1006">
        <v>82.4</v>
      </c>
      <c r="X8" s="1006">
        <v>77.3</v>
      </c>
      <c r="Y8" s="1006">
        <v>75</v>
      </c>
      <c r="Z8" s="1006">
        <v>62.1</v>
      </c>
      <c r="AA8" s="1006">
        <v>60.8</v>
      </c>
      <c r="AB8" s="1006">
        <v>12.9</v>
      </c>
      <c r="AC8" s="1006">
        <v>25.9</v>
      </c>
      <c r="AD8" s="1008">
        <f t="shared" si="0"/>
        <v>0.82800000000000007</v>
      </c>
      <c r="AE8" s="1008">
        <f t="shared" si="1"/>
        <v>0.81066666666666665</v>
      </c>
    </row>
    <row r="9" spans="1:31" x14ac:dyDescent="0.3">
      <c r="A9" t="s">
        <v>1187</v>
      </c>
      <c r="B9" s="1006"/>
      <c r="C9" s="1006"/>
      <c r="D9" s="1006">
        <v>9.4</v>
      </c>
      <c r="E9" s="1006">
        <v>12.2</v>
      </c>
      <c r="F9" s="1006">
        <v>13.3</v>
      </c>
      <c r="G9" s="1006">
        <v>14.2</v>
      </c>
      <c r="H9" s="1006">
        <v>12.9</v>
      </c>
      <c r="I9" s="1006">
        <v>20.9</v>
      </c>
      <c r="J9" s="1006">
        <v>13.6</v>
      </c>
      <c r="K9" s="1006">
        <v>8.3000000000000007</v>
      </c>
      <c r="L9" s="1006">
        <v>20.8</v>
      </c>
      <c r="M9" s="1006">
        <v>25.8</v>
      </c>
      <c r="N9" s="1006">
        <v>6</v>
      </c>
      <c r="O9" s="1006">
        <v>8.6999999999999993</v>
      </c>
      <c r="P9" s="1006">
        <v>11.2</v>
      </c>
      <c r="Q9" s="1006">
        <v>13.6</v>
      </c>
      <c r="T9" s="664">
        <v>2013</v>
      </c>
      <c r="U9" s="1006">
        <v>89.5</v>
      </c>
      <c r="W9" s="1006">
        <v>83.6</v>
      </c>
      <c r="X9" s="1006">
        <v>78.599999999999994</v>
      </c>
      <c r="Y9" s="1006">
        <v>74.2</v>
      </c>
      <c r="Z9" s="1006">
        <v>52.4</v>
      </c>
      <c r="AA9" s="1006">
        <v>50.5</v>
      </c>
      <c r="AB9" s="1006">
        <v>20.9</v>
      </c>
      <c r="AC9" s="1006">
        <v>30.7</v>
      </c>
      <c r="AD9" s="1008">
        <f t="shared" si="0"/>
        <v>0.70619946091644203</v>
      </c>
      <c r="AE9" s="1008">
        <f t="shared" si="1"/>
        <v>0.68059299191374656</v>
      </c>
    </row>
    <row r="10" spans="1:31" x14ac:dyDescent="0.3">
      <c r="A10" t="s">
        <v>1188</v>
      </c>
      <c r="B10" s="1006"/>
      <c r="C10" s="1006"/>
      <c r="D10" s="1006"/>
      <c r="E10" s="1006"/>
      <c r="F10" s="1006">
        <v>32.5</v>
      </c>
      <c r="G10" s="1006">
        <v>40.200000000000003</v>
      </c>
      <c r="H10" s="1006">
        <v>25.9</v>
      </c>
      <c r="I10" s="1006">
        <v>30.7</v>
      </c>
      <c r="J10" s="1006">
        <v>22.5</v>
      </c>
      <c r="K10" s="1006">
        <v>2.2000000000000002</v>
      </c>
      <c r="L10" s="1006">
        <v>38.1</v>
      </c>
      <c r="M10" s="1006">
        <v>25.1</v>
      </c>
      <c r="N10" s="1006">
        <v>45.7</v>
      </c>
      <c r="O10" s="1006">
        <v>44.6</v>
      </c>
      <c r="P10" s="1006">
        <v>33.5</v>
      </c>
      <c r="Q10" s="1006">
        <v>32</v>
      </c>
      <c r="T10" s="664">
        <v>2014</v>
      </c>
      <c r="U10" s="1006">
        <v>93.1</v>
      </c>
      <c r="W10" s="1006">
        <v>88.3</v>
      </c>
      <c r="X10" s="1006">
        <v>84.5</v>
      </c>
      <c r="Y10" s="1006">
        <v>79.5</v>
      </c>
      <c r="Z10" s="1006">
        <v>65.3</v>
      </c>
      <c r="AA10" s="1006">
        <v>64.2</v>
      </c>
      <c r="AB10" s="1006">
        <v>13.6</v>
      </c>
      <c r="AC10" s="1006">
        <v>22.5</v>
      </c>
      <c r="AD10" s="1008">
        <f t="shared" si="0"/>
        <v>0.82138364779874207</v>
      </c>
      <c r="AE10" s="1008">
        <f t="shared" si="1"/>
        <v>0.8075471698113208</v>
      </c>
    </row>
    <row r="11" spans="1:31" x14ac:dyDescent="0.3">
      <c r="T11" s="664">
        <v>2015</v>
      </c>
      <c r="U11" s="1006">
        <v>82.8</v>
      </c>
      <c r="W11" s="1006">
        <v>54</v>
      </c>
      <c r="X11" s="1006">
        <v>44.9</v>
      </c>
      <c r="Y11" s="1006">
        <v>40.6</v>
      </c>
      <c r="Z11" s="1006">
        <v>31.6</v>
      </c>
      <c r="AA11" s="1006">
        <v>29.4</v>
      </c>
      <c r="AB11" s="1006">
        <v>8.3000000000000007</v>
      </c>
      <c r="AC11" s="1006">
        <v>2.2000000000000002</v>
      </c>
      <c r="AD11" s="1008">
        <f t="shared" si="0"/>
        <v>0.77832512315270941</v>
      </c>
      <c r="AE11" s="1008">
        <f t="shared" si="1"/>
        <v>0.72413793103448265</v>
      </c>
    </row>
    <row r="12" spans="1:31" x14ac:dyDescent="0.3">
      <c r="A12" t="s">
        <v>1189</v>
      </c>
      <c r="B12" s="1007">
        <f>B7/B$6</f>
        <v>0.72503082614056724</v>
      </c>
      <c r="C12" s="1007">
        <f t="shared" ref="C12:Q12" si="2">C7/C$6</f>
        <v>0.84741144414168934</v>
      </c>
      <c r="D12" s="1007">
        <f t="shared" si="2"/>
        <v>0.85897435897435903</v>
      </c>
      <c r="E12" s="1007">
        <f t="shared" si="2"/>
        <v>0.83665835411471312</v>
      </c>
      <c r="F12" s="1007">
        <f t="shared" si="2"/>
        <v>0.83486238532110102</v>
      </c>
      <c r="G12" s="1007">
        <f t="shared" si="2"/>
        <v>0.80261248185776479</v>
      </c>
      <c r="H12" s="1007">
        <f t="shared" si="2"/>
        <v>0.82800000000000007</v>
      </c>
      <c r="I12" s="1007">
        <f t="shared" si="2"/>
        <v>0.70619946091644203</v>
      </c>
      <c r="J12" s="1007">
        <f t="shared" si="2"/>
        <v>0.82138364779874207</v>
      </c>
      <c r="K12" s="1007">
        <f t="shared" si="2"/>
        <v>0.77832512315270941</v>
      </c>
      <c r="L12" s="1007">
        <f t="shared" si="2"/>
        <v>0.74142156862745101</v>
      </c>
      <c r="M12" s="1007">
        <f t="shared" si="2"/>
        <v>0.61723163841807915</v>
      </c>
      <c r="N12" s="1007">
        <f t="shared" si="2"/>
        <v>0.91573729863692688</v>
      </c>
      <c r="O12" s="1007">
        <f t="shared" si="2"/>
        <v>0.89950980392156876</v>
      </c>
      <c r="P12" s="1007">
        <f t="shared" si="2"/>
        <v>0.8408796895213454</v>
      </c>
      <c r="Q12" s="1007">
        <f t="shared" si="2"/>
        <v>0.80559254327563257</v>
      </c>
      <c r="T12" s="664">
        <v>2016</v>
      </c>
      <c r="U12" s="1006">
        <v>94</v>
      </c>
      <c r="W12" s="1006">
        <v>89.2</v>
      </c>
      <c r="X12" s="1006">
        <v>85.3</v>
      </c>
      <c r="Y12" s="1006">
        <v>81.599999999999994</v>
      </c>
      <c r="Z12" s="1006">
        <v>60.5</v>
      </c>
      <c r="AA12" s="1006">
        <v>59.3</v>
      </c>
      <c r="AB12" s="1006">
        <v>20.8</v>
      </c>
      <c r="AC12" s="1006">
        <v>38.1</v>
      </c>
      <c r="AD12" s="1008">
        <f t="shared" si="0"/>
        <v>0.74142156862745101</v>
      </c>
      <c r="AE12" s="1008">
        <f t="shared" si="1"/>
        <v>0.72671568627450978</v>
      </c>
    </row>
    <row r="13" spans="1:31" x14ac:dyDescent="0.3">
      <c r="A13" t="s">
        <v>1190</v>
      </c>
      <c r="B13" s="1007">
        <f>B8/B$6</f>
        <v>0.66337854500616522</v>
      </c>
      <c r="C13" s="1007">
        <f t="shared" ref="C13:Q13" si="3">C8/C$6</f>
        <v>0.82970027247956391</v>
      </c>
      <c r="D13" s="1007">
        <f t="shared" si="3"/>
        <v>0.82867132867132864</v>
      </c>
      <c r="E13" s="1007">
        <f t="shared" si="3"/>
        <v>0.81296758104738154</v>
      </c>
      <c r="F13" s="1007">
        <f t="shared" si="3"/>
        <v>0.82044560943643519</v>
      </c>
      <c r="G13" s="1007">
        <f t="shared" si="3"/>
        <v>0.78229317851959357</v>
      </c>
      <c r="H13" s="1007">
        <f t="shared" si="3"/>
        <v>0.81066666666666665</v>
      </c>
      <c r="I13" s="1007">
        <f t="shared" si="3"/>
        <v>0.68059299191374656</v>
      </c>
      <c r="J13" s="1007">
        <f t="shared" si="3"/>
        <v>0.8075471698113208</v>
      </c>
      <c r="K13" s="1007">
        <f t="shared" si="3"/>
        <v>0.72413793103448265</v>
      </c>
      <c r="L13" s="1007">
        <f t="shared" si="3"/>
        <v>0.72671568627450978</v>
      </c>
      <c r="M13" s="1007">
        <f t="shared" si="3"/>
        <v>0.60028248587570621</v>
      </c>
      <c r="N13" s="1007">
        <f t="shared" si="3"/>
        <v>0.90086741016109051</v>
      </c>
      <c r="O13" s="1007">
        <f t="shared" si="3"/>
        <v>0.88725490196078449</v>
      </c>
      <c r="P13" s="1007">
        <f t="shared" si="3"/>
        <v>0.8240620957309186</v>
      </c>
      <c r="Q13" s="1007">
        <f t="shared" si="3"/>
        <v>0.78295605858854866</v>
      </c>
      <c r="T13" s="664">
        <v>2017</v>
      </c>
      <c r="U13" s="1006">
        <v>89.3</v>
      </c>
      <c r="W13" s="1006">
        <v>81.7</v>
      </c>
      <c r="X13" s="1006">
        <v>74.599999999999994</v>
      </c>
      <c r="Y13" s="1006">
        <v>70.8</v>
      </c>
      <c r="Z13" s="1006">
        <v>43.7</v>
      </c>
      <c r="AA13" s="1006">
        <v>42.5</v>
      </c>
      <c r="AB13" s="1006">
        <v>25.8</v>
      </c>
      <c r="AC13" s="1006">
        <v>25.1</v>
      </c>
      <c r="AD13" s="1008">
        <f t="shared" si="0"/>
        <v>0.61723163841807915</v>
      </c>
      <c r="AE13" s="1008">
        <f t="shared" si="1"/>
        <v>0.60028248587570621</v>
      </c>
    </row>
    <row r="14" spans="1:31" x14ac:dyDescent="0.3">
      <c r="T14" s="664">
        <v>2018</v>
      </c>
      <c r="U14" s="1006">
        <v>93.3</v>
      </c>
      <c r="V14" s="1006">
        <v>90.9</v>
      </c>
      <c r="W14" s="1006">
        <v>88.9</v>
      </c>
      <c r="X14" s="1006">
        <v>85.4</v>
      </c>
      <c r="Y14" s="1006">
        <v>80.7</v>
      </c>
      <c r="Z14" s="1006">
        <v>73.900000000000006</v>
      </c>
      <c r="AA14" s="1006">
        <v>72.7</v>
      </c>
      <c r="AB14" s="1006">
        <v>6</v>
      </c>
      <c r="AC14" s="1006">
        <v>45.7</v>
      </c>
      <c r="AD14" s="1008">
        <f t="shared" si="0"/>
        <v>0.91573729863692688</v>
      </c>
      <c r="AE14" s="1008">
        <f t="shared" si="1"/>
        <v>0.90086741016109051</v>
      </c>
    </row>
    <row r="15" spans="1:31" x14ac:dyDescent="0.3">
      <c r="T15" s="664">
        <v>2019</v>
      </c>
      <c r="U15" s="1006">
        <v>94.6</v>
      </c>
      <c r="V15" s="1006">
        <v>92.7</v>
      </c>
      <c r="W15" s="1006">
        <v>84.2</v>
      </c>
      <c r="X15" s="1006">
        <v>82.4</v>
      </c>
      <c r="Y15" s="1006">
        <v>81.599999999999994</v>
      </c>
      <c r="Z15" s="1006">
        <v>73.400000000000006</v>
      </c>
      <c r="AA15" s="1006">
        <v>72.400000000000006</v>
      </c>
      <c r="AB15" s="1006">
        <v>8.6999999999999993</v>
      </c>
      <c r="AC15" s="1006">
        <v>44.6</v>
      </c>
      <c r="AD15" s="1008">
        <f t="shared" si="0"/>
        <v>0.89950980392156876</v>
      </c>
      <c r="AE15" s="1008">
        <f t="shared" si="1"/>
        <v>0.88725490196078449</v>
      </c>
    </row>
    <row r="16" spans="1:31" x14ac:dyDescent="0.3">
      <c r="T16" s="664">
        <v>2020</v>
      </c>
      <c r="U16" s="1006">
        <v>95</v>
      </c>
      <c r="V16" s="1006">
        <v>92.1</v>
      </c>
      <c r="W16" s="1006">
        <v>90.4</v>
      </c>
      <c r="X16" s="1006">
        <v>84.9</v>
      </c>
      <c r="Y16" s="1006">
        <v>77.3</v>
      </c>
      <c r="Z16" s="1006">
        <v>65</v>
      </c>
      <c r="AA16" s="1006">
        <v>63.7</v>
      </c>
      <c r="AB16" s="1006">
        <v>11.2</v>
      </c>
      <c r="AC16" s="1006">
        <v>33.5</v>
      </c>
      <c r="AD16" s="1008">
        <f t="shared" si="0"/>
        <v>0.8408796895213454</v>
      </c>
      <c r="AE16" s="1008">
        <f t="shared" si="1"/>
        <v>0.8240620957309186</v>
      </c>
    </row>
    <row r="17" spans="20:31" x14ac:dyDescent="0.3">
      <c r="T17" s="664" t="s">
        <v>425</v>
      </c>
      <c r="U17" s="1006">
        <v>91.4</v>
      </c>
      <c r="V17" s="1006">
        <v>91.8</v>
      </c>
      <c r="W17" s="1006">
        <v>83.2</v>
      </c>
      <c r="X17" s="1006">
        <v>78.5</v>
      </c>
      <c r="Y17" s="1006">
        <v>75.099999999999994</v>
      </c>
      <c r="Z17" s="1006">
        <v>60.5</v>
      </c>
      <c r="AA17" s="1006">
        <v>58.8</v>
      </c>
      <c r="AB17" s="1006">
        <v>13.6</v>
      </c>
      <c r="AC17" s="1006">
        <v>32</v>
      </c>
      <c r="AD17" s="1008">
        <f t="shared" si="0"/>
        <v>0.80559254327563257</v>
      </c>
      <c r="AE17" s="1008">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1142</v>
      </c>
      <c r="B1" t="s">
        <v>1191</v>
      </c>
      <c r="C1" s="700" t="s">
        <v>1192</v>
      </c>
    </row>
    <row r="2" spans="1:3" x14ac:dyDescent="0.3">
      <c r="A2">
        <v>1980</v>
      </c>
      <c r="B2" s="990">
        <v>38079.035810579102</v>
      </c>
    </row>
    <row r="3" spans="1:3" x14ac:dyDescent="0.3">
      <c r="A3">
        <v>1981</v>
      </c>
      <c r="B3" s="990">
        <v>43009.042659559796</v>
      </c>
    </row>
    <row r="4" spans="1:3" x14ac:dyDescent="0.3">
      <c r="A4">
        <v>1982</v>
      </c>
      <c r="B4" s="990">
        <v>29801.21939197</v>
      </c>
    </row>
    <row r="5" spans="1:3" x14ac:dyDescent="0.3">
      <c r="A5">
        <v>1983</v>
      </c>
      <c r="B5" s="990">
        <v>41653.456048787397</v>
      </c>
    </row>
    <row r="6" spans="1:3" x14ac:dyDescent="0.3">
      <c r="A6">
        <v>1984</v>
      </c>
      <c r="B6" s="990">
        <v>153095.088293737</v>
      </c>
    </row>
    <row r="7" spans="1:3" x14ac:dyDescent="0.3">
      <c r="A7">
        <v>1985</v>
      </c>
      <c r="B7" s="990">
        <v>128168.26522727001</v>
      </c>
    </row>
    <row r="8" spans="1:3" x14ac:dyDescent="0.3">
      <c r="A8">
        <v>1986</v>
      </c>
      <c r="B8" s="990">
        <v>53496.358075114003</v>
      </c>
    </row>
    <row r="9" spans="1:3" x14ac:dyDescent="0.3">
      <c r="A9">
        <v>1987</v>
      </c>
      <c r="B9" s="990">
        <v>104646.678269935</v>
      </c>
    </row>
    <row r="10" spans="1:3" x14ac:dyDescent="0.3">
      <c r="A10">
        <v>1988</v>
      </c>
      <c r="B10" s="990">
        <v>84367.626698981403</v>
      </c>
    </row>
    <row r="11" spans="1:3" x14ac:dyDescent="0.3">
      <c r="A11">
        <v>1989</v>
      </c>
      <c r="B11" s="990">
        <v>22968.456935236001</v>
      </c>
    </row>
    <row r="12" spans="1:3" x14ac:dyDescent="0.3">
      <c r="A12">
        <v>1990</v>
      </c>
      <c r="B12" s="990">
        <v>10985.2633053598</v>
      </c>
    </row>
    <row r="13" spans="1:3" x14ac:dyDescent="0.3">
      <c r="A13">
        <v>1991</v>
      </c>
      <c r="B13" s="990">
        <v>43372.229207014898</v>
      </c>
    </row>
    <row r="14" spans="1:3" x14ac:dyDescent="0.3">
      <c r="A14">
        <v>1992</v>
      </c>
      <c r="B14" s="990">
        <v>66842.645462195302</v>
      </c>
    </row>
    <row r="15" spans="1:3" x14ac:dyDescent="0.3">
      <c r="A15">
        <v>1993</v>
      </c>
      <c r="B15" s="990">
        <v>43627.608373209303</v>
      </c>
    </row>
    <row r="16" spans="1:3" x14ac:dyDescent="0.3">
      <c r="A16">
        <v>1994</v>
      </c>
      <c r="B16" s="990">
        <v>2381.2390636361401</v>
      </c>
    </row>
    <row r="17" spans="1:3" x14ac:dyDescent="0.3">
      <c r="A17">
        <v>1995</v>
      </c>
      <c r="B17" s="990">
        <v>5813.5004748459096</v>
      </c>
    </row>
    <row r="18" spans="1:3" x14ac:dyDescent="0.3">
      <c r="A18">
        <v>1996</v>
      </c>
      <c r="B18" s="990">
        <v>23262.300400812499</v>
      </c>
    </row>
    <row r="19" spans="1:3" x14ac:dyDescent="0.3">
      <c r="A19">
        <v>1997</v>
      </c>
      <c r="B19" s="990">
        <v>35741.953678547397</v>
      </c>
    </row>
    <row r="20" spans="1:3" x14ac:dyDescent="0.3">
      <c r="A20">
        <v>1998</v>
      </c>
      <c r="B20" s="990">
        <v>7458.1311189655298</v>
      </c>
    </row>
    <row r="21" spans="1:3" x14ac:dyDescent="0.3">
      <c r="A21">
        <v>1999</v>
      </c>
      <c r="B21" s="990">
        <v>13563.8008833161</v>
      </c>
    </row>
    <row r="22" spans="1:3" x14ac:dyDescent="0.3">
      <c r="A22">
        <v>2000</v>
      </c>
      <c r="B22" s="990">
        <v>82525.269172676402</v>
      </c>
    </row>
    <row r="23" spans="1:3" x14ac:dyDescent="0.3">
      <c r="A23">
        <v>2001</v>
      </c>
      <c r="B23" s="990">
        <v>94944.804023604302</v>
      </c>
    </row>
    <row r="24" spans="1:3" x14ac:dyDescent="0.3">
      <c r="A24">
        <v>2002</v>
      </c>
      <c r="B24" s="990">
        <v>13274.930190167001</v>
      </c>
    </row>
    <row r="25" spans="1:3" x14ac:dyDescent="0.3">
      <c r="A25">
        <v>2003</v>
      </c>
      <c r="B25" s="990">
        <v>39428.562635224902</v>
      </c>
    </row>
    <row r="26" spans="1:3" x14ac:dyDescent="0.3">
      <c r="A26">
        <v>2004</v>
      </c>
      <c r="B26" s="990">
        <v>108644.49511900199</v>
      </c>
    </row>
    <row r="27" spans="1:3" x14ac:dyDescent="0.3">
      <c r="A27">
        <v>2005</v>
      </c>
      <c r="B27" s="990">
        <v>67327.710818620806</v>
      </c>
    </row>
    <row r="28" spans="1:3" x14ac:dyDescent="0.3">
      <c r="A28">
        <v>2006</v>
      </c>
      <c r="B28" s="990">
        <v>27193.3139634578</v>
      </c>
    </row>
    <row r="29" spans="1:3" x14ac:dyDescent="0.3">
      <c r="A29">
        <v>2007</v>
      </c>
      <c r="B29" s="990">
        <v>25153.9551731229</v>
      </c>
    </row>
    <row r="30" spans="1:3" x14ac:dyDescent="0.3">
      <c r="A30">
        <v>2008</v>
      </c>
      <c r="B30" s="989">
        <v>195319.41285085899</v>
      </c>
      <c r="C30" s="700" t="s">
        <v>1193</v>
      </c>
    </row>
    <row r="31" spans="1:3" x14ac:dyDescent="0.3">
      <c r="A31">
        <v>2009</v>
      </c>
      <c r="B31" s="989">
        <v>128370.401508585</v>
      </c>
      <c r="C31" s="700" t="s">
        <v>1193</v>
      </c>
    </row>
    <row r="32" spans="1:3" x14ac:dyDescent="0.3">
      <c r="A32">
        <v>2010</v>
      </c>
      <c r="B32" s="989">
        <v>348363.78336477099</v>
      </c>
      <c r="C32" s="700" t="s">
        <v>1193</v>
      </c>
    </row>
    <row r="33" spans="1:3" x14ac:dyDescent="0.3">
      <c r="A33">
        <v>2011</v>
      </c>
      <c r="B33" s="989">
        <v>132808.57593190999</v>
      </c>
      <c r="C33" s="700" t="s">
        <v>1193</v>
      </c>
    </row>
    <row r="34" spans="1:3" x14ac:dyDescent="0.3">
      <c r="A34">
        <v>2012</v>
      </c>
      <c r="B34" s="989">
        <v>349099.86754989898</v>
      </c>
      <c r="C34" s="700" t="s">
        <v>1193</v>
      </c>
    </row>
    <row r="35" spans="1:3" x14ac:dyDescent="0.3">
      <c r="A35">
        <v>2013</v>
      </c>
      <c r="B35" s="989">
        <v>107734.77292210799</v>
      </c>
      <c r="C35" s="700" t="s">
        <v>1194</v>
      </c>
    </row>
    <row r="36" spans="1:3" x14ac:dyDescent="0.3">
      <c r="A36">
        <v>2014</v>
      </c>
      <c r="B36" s="989">
        <v>384080.77381255198</v>
      </c>
      <c r="C36" s="700" t="s">
        <v>1194</v>
      </c>
    </row>
    <row r="37" spans="1:3" x14ac:dyDescent="0.3">
      <c r="A37">
        <v>2015</v>
      </c>
      <c r="B37" s="989">
        <v>214286.145356672</v>
      </c>
      <c r="C37" s="700" t="s">
        <v>1194</v>
      </c>
    </row>
    <row r="38" spans="1:3" x14ac:dyDescent="0.3">
      <c r="A38">
        <v>2016</v>
      </c>
      <c r="B38" s="989">
        <v>156992.528489463</v>
      </c>
      <c r="C38" s="700" t="s">
        <v>1194</v>
      </c>
    </row>
    <row r="39" spans="1:3" x14ac:dyDescent="0.3">
      <c r="A39">
        <v>2017</v>
      </c>
      <c r="B39" s="989">
        <v>14557.178182150999</v>
      </c>
      <c r="C39" s="700" t="s">
        <v>1194</v>
      </c>
    </row>
    <row r="40" spans="1:3" x14ac:dyDescent="0.3">
      <c r="A40">
        <v>2018</v>
      </c>
      <c r="B40" s="989">
        <v>108211.68347605399</v>
      </c>
      <c r="C40" s="700" t="s">
        <v>1194</v>
      </c>
    </row>
    <row r="41" spans="1:3" x14ac:dyDescent="0.3">
      <c r="A41">
        <v>2019</v>
      </c>
      <c r="B41" s="989">
        <v>25373.6326419943</v>
      </c>
      <c r="C41" s="700" t="s">
        <v>1194</v>
      </c>
    </row>
    <row r="42" spans="1:3" x14ac:dyDescent="0.3">
      <c r="A42">
        <v>2020</v>
      </c>
      <c r="B42" s="989">
        <v>308120.98121235799</v>
      </c>
      <c r="C42" s="700" t="s">
        <v>1194</v>
      </c>
    </row>
    <row r="43" spans="1:3" x14ac:dyDescent="0.3">
      <c r="A43">
        <v>2021</v>
      </c>
      <c r="B43" s="989">
        <v>111773.18082203</v>
      </c>
      <c r="C43" s="700" t="s">
        <v>1194</v>
      </c>
    </row>
    <row r="44" spans="1:3" x14ac:dyDescent="0.3">
      <c r="A44">
        <v>2022</v>
      </c>
      <c r="B44" t="s">
        <v>1195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1196</v>
      </c>
      <c r="B1" s="685"/>
    </row>
    <row r="2" spans="1:2" x14ac:dyDescent="0.3">
      <c r="A2" s="686"/>
      <c r="B2" s="686"/>
    </row>
    <row r="3" spans="1:2" x14ac:dyDescent="0.3">
      <c r="A3" s="688" t="s">
        <v>425</v>
      </c>
      <c r="B3" s="687">
        <v>6.2260780886096767E-2</v>
      </c>
    </row>
    <row r="4" spans="1:2" x14ac:dyDescent="0.3">
      <c r="A4" s="688" t="s">
        <v>741</v>
      </c>
      <c r="B4" s="687">
        <v>8.2458385170811055E-3</v>
      </c>
    </row>
    <row r="5" spans="1:2" x14ac:dyDescent="0.3">
      <c r="A5" s="688" t="s">
        <v>742</v>
      </c>
      <c r="B5" s="687">
        <v>4.7100861832621951E-2</v>
      </c>
    </row>
    <row r="6" spans="1:2" x14ac:dyDescent="0.3">
      <c r="A6" s="688" t="s">
        <v>1197</v>
      </c>
      <c r="B6" s="687">
        <f>B7/B3</f>
        <v>0.7835275730777288</v>
      </c>
    </row>
    <row r="7" spans="1:2" x14ac:dyDescent="0.3">
      <c r="A7" s="688" t="s">
        <v>744</v>
      </c>
      <c r="B7" s="687">
        <v>4.8783038545607643E-2</v>
      </c>
    </row>
    <row r="8" spans="1:2" x14ac:dyDescent="0.3">
      <c r="A8" s="688" t="s">
        <v>745</v>
      </c>
      <c r="B8" s="687">
        <v>2.3797848497422408E-3</v>
      </c>
    </row>
    <row r="9" spans="1:2" x14ac:dyDescent="0.3">
      <c r="A9" s="688" t="s">
        <v>746</v>
      </c>
      <c r="B9" s="689">
        <v>-0.12475647352943353</v>
      </c>
    </row>
    <row r="10" spans="1:2" x14ac:dyDescent="0.3">
      <c r="A10" s="688" t="s">
        <v>747</v>
      </c>
      <c r="B10" s="689">
        <v>0.95710833150725538</v>
      </c>
    </row>
    <row r="11" spans="1:2" x14ac:dyDescent="0.3">
      <c r="A11" s="688" t="s">
        <v>748</v>
      </c>
      <c r="B11" s="687">
        <v>0.17959534181172157</v>
      </c>
    </row>
    <row r="12" spans="1:2" x14ac:dyDescent="0.3">
      <c r="A12" s="688" t="s">
        <v>749</v>
      </c>
      <c r="B12" s="687">
        <v>2.8378881188189657E-3</v>
      </c>
    </row>
    <row r="13" spans="1:2" x14ac:dyDescent="0.3">
      <c r="A13" s="688" t="s">
        <v>750</v>
      </c>
      <c r="B13" s="687">
        <v>0.18243322993054054</v>
      </c>
    </row>
    <row r="14" spans="1:2" x14ac:dyDescent="0.3">
      <c r="A14" s="688" t="s">
        <v>751</v>
      </c>
      <c r="B14" s="689">
        <v>2.1791273310133867</v>
      </c>
    </row>
    <row r="15" spans="1:2" x14ac:dyDescent="0.3">
      <c r="A15" s="688" t="s">
        <v>752</v>
      </c>
      <c r="B15" s="686">
        <v>35</v>
      </c>
    </row>
    <row r="16" spans="1:2" x14ac:dyDescent="0.3">
      <c r="A16" s="688" t="s">
        <v>757</v>
      </c>
      <c r="B16" s="687">
        <v>1.6757560051058638E-2</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645" t="s">
        <v>1198</v>
      </c>
      <c r="B1" s="2646"/>
      <c r="C1" s="2646"/>
      <c r="D1" s="2646"/>
      <c r="E1" s="2646"/>
      <c r="F1" s="2646"/>
      <c r="G1" s="2646"/>
      <c r="H1" s="2646"/>
      <c r="I1" s="2646"/>
      <c r="J1" s="2646"/>
      <c r="K1" s="2646"/>
      <c r="L1" s="2647"/>
      <c r="M1" s="2651" t="s">
        <v>1199</v>
      </c>
      <c r="N1" s="2652"/>
      <c r="O1" s="2652"/>
      <c r="P1" s="2652"/>
      <c r="Q1" s="2652"/>
      <c r="R1" s="2652"/>
      <c r="S1" s="2652"/>
      <c r="T1" s="2652"/>
      <c r="U1" s="2652"/>
      <c r="V1" s="2652"/>
      <c r="W1" s="2652"/>
      <c r="X1" s="2652"/>
    </row>
    <row r="2" spans="1:24" ht="29.7" customHeight="1" thickBot="1" x14ac:dyDescent="0.3">
      <c r="A2" s="2648"/>
      <c r="B2" s="2649"/>
      <c r="C2" s="2649"/>
      <c r="D2" s="2649"/>
      <c r="E2" s="2649"/>
      <c r="F2" s="2649"/>
      <c r="G2" s="2649"/>
      <c r="H2" s="2649"/>
      <c r="I2" s="2649"/>
      <c r="J2" s="2649"/>
      <c r="K2" s="2649"/>
      <c r="L2" s="2650"/>
      <c r="M2" s="2653" t="s">
        <v>1200</v>
      </c>
      <c r="N2" s="2654"/>
      <c r="O2" s="2654"/>
      <c r="P2" s="2654"/>
      <c r="Q2" s="2654"/>
      <c r="R2" s="2654"/>
      <c r="S2" s="2654"/>
      <c r="T2" s="2654"/>
      <c r="U2" s="2654"/>
      <c r="V2" s="2654"/>
      <c r="W2" s="2654"/>
      <c r="X2" s="2654"/>
    </row>
    <row r="3" spans="1:24" ht="14.4" x14ac:dyDescent="0.3">
      <c r="A3" s="665" t="s">
        <v>1201</v>
      </c>
      <c r="B3" s="660" t="s">
        <v>357</v>
      </c>
      <c r="C3" s="663"/>
      <c r="D3" s="663"/>
      <c r="E3" s="663"/>
      <c r="F3" s="663"/>
      <c r="G3" s="663"/>
      <c r="H3" s="663"/>
      <c r="I3" s="663"/>
      <c r="J3" s="663"/>
      <c r="K3" s="663"/>
      <c r="L3" s="663"/>
      <c r="O3" s="2655" t="s">
        <v>1202</v>
      </c>
      <c r="P3" s="2655"/>
    </row>
    <row r="4" spans="1:24" s="557" customFormat="1" ht="14.4" x14ac:dyDescent="0.3">
      <c r="A4" s="662" t="s">
        <v>538</v>
      </c>
      <c r="B4">
        <v>1.1000000000000001</v>
      </c>
      <c r="C4">
        <v>1.2</v>
      </c>
      <c r="D4">
        <v>1.3</v>
      </c>
      <c r="E4">
        <v>2.1</v>
      </c>
      <c r="F4">
        <v>2.2000000000000002</v>
      </c>
      <c r="G4">
        <v>2.2999999999999998</v>
      </c>
      <c r="H4">
        <v>3.1</v>
      </c>
      <c r="I4">
        <v>3.2</v>
      </c>
      <c r="J4">
        <v>3.3</v>
      </c>
      <c r="K4">
        <v>4.0999999999999996</v>
      </c>
      <c r="L4" s="664" t="s">
        <v>221</v>
      </c>
      <c r="M4" s="559"/>
      <c r="N4" s="559"/>
      <c r="O4" s="653" t="s">
        <v>1203</v>
      </c>
      <c r="P4" s="654" t="s">
        <v>1204</v>
      </c>
      <c r="Q4" s="559" t="s">
        <v>1205</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656" t="s">
        <v>1206</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656"/>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656"/>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656"/>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656"/>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656"/>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656"/>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656"/>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656"/>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656"/>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656"/>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656"/>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656"/>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656"/>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656"/>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3.0969030969030965E-2</v>
      </c>
      <c r="C29" s="822">
        <v>0.933066933066933</v>
      </c>
      <c r="D29" s="822">
        <v>0</v>
      </c>
      <c r="E29" s="822">
        <v>2.997002997002997E-3</v>
      </c>
      <c r="F29" s="822">
        <v>1.4985014985014982E-2</v>
      </c>
      <c r="G29" s="822">
        <v>0</v>
      </c>
      <c r="H29" s="822">
        <v>1.7982017982017977E-2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4.6382189239332086E-2</v>
      </c>
      <c r="C33" s="822">
        <v>0.94063079777365477</v>
      </c>
      <c r="D33" s="822">
        <v>9.2764378478664179E-3</v>
      </c>
      <c r="E33" s="822">
        <v>0</v>
      </c>
      <c r="F33" s="822">
        <v>3.7105751391465673E-3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3.4979423868312751E-2</v>
      </c>
      <c r="C34" s="822">
        <v>0.87860082304526743</v>
      </c>
      <c r="D34" s="822">
        <v>5.3497942386831268E-2</v>
      </c>
      <c r="E34" s="822">
        <v>0</v>
      </c>
      <c r="F34" s="822">
        <v>3.2921810699588473E-2</v>
      </c>
      <c r="G34" s="822">
        <v>0</v>
      </c>
      <c r="H34" s="822">
        <v>0</v>
      </c>
      <c r="I34" s="823">
        <v>0</v>
      </c>
      <c r="J34" s="823">
        <v>0</v>
      </c>
      <c r="K34" s="823">
        <v>0</v>
      </c>
      <c r="L34" s="824">
        <v>1</v>
      </c>
      <c r="O34" s="655" t="e">
        <f t="shared" si="0"/>
        <v>#N/A</v>
      </c>
      <c r="P34" s="656" t="e">
        <f t="shared" si="1"/>
        <v>#N/A</v>
      </c>
    </row>
    <row r="35" spans="1:16" ht="14.4" x14ac:dyDescent="0.3">
      <c r="A35" s="459">
        <v>2010</v>
      </c>
      <c r="B35" s="822">
        <v>8.8199443637909519E-3</v>
      </c>
      <c r="C35" s="822">
        <v>0.89416243162338116</v>
      </c>
      <c r="D35" s="822">
        <v>7.4013445123188151E-2</v>
      </c>
      <c r="E35" s="822">
        <v>1.7003088744516202E-2</v>
      </c>
      <c r="F35" s="822">
        <v>6.0010901451233644E-3</v>
      </c>
      <c r="G35" s="822">
        <v>0</v>
      </c>
      <c r="H35" s="822">
        <v>0</v>
      </c>
      <c r="I35" s="823">
        <v>0</v>
      </c>
      <c r="J35" s="823">
        <v>0</v>
      </c>
      <c r="K35" s="823">
        <v>0</v>
      </c>
      <c r="L35" s="824">
        <v>1</v>
      </c>
      <c r="O35" s="655" t="e">
        <f t="shared" si="0"/>
        <v>#N/A</v>
      </c>
      <c r="P35" s="656" t="e">
        <f t="shared" si="1"/>
        <v>#N/A</v>
      </c>
    </row>
    <row r="36" spans="1:16" ht="14.4" x14ac:dyDescent="0.3">
      <c r="A36" s="459">
        <v>2011</v>
      </c>
      <c r="B36" s="822">
        <v>0.182</v>
      </c>
      <c r="C36" s="822">
        <v>0.66400000000000003</v>
      </c>
      <c r="D36" s="822">
        <v>7.0999999999999994E-2</v>
      </c>
      <c r="E36" s="822">
        <v>4.2999999999999997E-2</v>
      </c>
      <c r="F36" s="822">
        <v>0.04</v>
      </c>
      <c r="G36" s="822">
        <v>0</v>
      </c>
      <c r="H36" s="822">
        <v>0</v>
      </c>
      <c r="I36" s="823">
        <v>0</v>
      </c>
      <c r="J36" s="823">
        <v>0</v>
      </c>
      <c r="K36" s="823">
        <v>0</v>
      </c>
      <c r="L36" s="824">
        <v>1</v>
      </c>
      <c r="O36" s="655" t="e">
        <f t="shared" si="0"/>
        <v>#N/A</v>
      </c>
      <c r="P36" s="656" t="e">
        <f t="shared" si="1"/>
        <v>#N/A</v>
      </c>
    </row>
    <row r="37" spans="1:16" ht="14.4" x14ac:dyDescent="0.3">
      <c r="A37" s="459">
        <v>2012</v>
      </c>
      <c r="B37" s="822">
        <v>3.0000000000000005E-3</v>
      </c>
      <c r="C37" s="822">
        <v>0.97100000000000009</v>
      </c>
      <c r="D37" s="822">
        <v>7.000000000000001E-3</v>
      </c>
      <c r="E37" s="822">
        <v>7.000000000000001E-3</v>
      </c>
      <c r="F37" s="822">
        <v>1.2000000000000002E-2</v>
      </c>
      <c r="G37" s="822">
        <v>0</v>
      </c>
      <c r="H37" s="822">
        <v>0</v>
      </c>
      <c r="I37" s="823">
        <v>0</v>
      </c>
      <c r="J37" s="823">
        <v>0</v>
      </c>
      <c r="K37" s="823">
        <v>0</v>
      </c>
      <c r="L37" s="824">
        <v>1</v>
      </c>
      <c r="O37" s="655" t="e">
        <f t="shared" si="0"/>
        <v>#N/A</v>
      </c>
      <c r="P37" s="656" t="e">
        <f t="shared" si="1"/>
        <v>#N/A</v>
      </c>
    </row>
    <row r="38" spans="1:16" ht="14.4" x14ac:dyDescent="0.3">
      <c r="A38" s="2339">
        <v>2013</v>
      </c>
      <c r="B38" s="2340">
        <v>0.23499999999999996</v>
      </c>
      <c r="C38" s="2340">
        <v>0.6339999999999999</v>
      </c>
      <c r="D38" s="2340">
        <v>8.0999999999999989E-2</v>
      </c>
      <c r="E38" s="2340">
        <v>0</v>
      </c>
      <c r="F38" s="2340">
        <v>4.9999999999999996E-2</v>
      </c>
      <c r="G38" s="2340">
        <v>0</v>
      </c>
      <c r="H38" s="2340">
        <v>0</v>
      </c>
      <c r="I38" s="2341">
        <v>0</v>
      </c>
      <c r="J38" s="2341">
        <v>0</v>
      </c>
      <c r="K38" s="2341">
        <v>0</v>
      </c>
      <c r="L38" s="824">
        <v>1</v>
      </c>
      <c r="O38" s="655" t="e">
        <f t="shared" si="0"/>
        <v>#N/A</v>
      </c>
      <c r="P38" s="656" t="e">
        <f t="shared" si="1"/>
        <v>#N/A</v>
      </c>
    </row>
    <row r="39" spans="1:16" ht="14.4" x14ac:dyDescent="0.3">
      <c r="A39" s="459">
        <v>2014</v>
      </c>
      <c r="B39" s="822">
        <v>8.2183563287342526E-2</v>
      </c>
      <c r="C39" s="822">
        <v>0.8838232353529295</v>
      </c>
      <c r="D39" s="822">
        <v>2.9994001199760052E-2</v>
      </c>
      <c r="E39" s="822">
        <v>0</v>
      </c>
      <c r="F39" s="822">
        <v>3.9992001599680064E-3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1.0010010010010012E-3</v>
      </c>
      <c r="C40" s="822">
        <v>0.97597597597597607</v>
      </c>
      <c r="D40" s="822">
        <v>1.0010010010010012E-3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0.01</v>
      </c>
      <c r="C41" s="822">
        <v>0.95699999999999985</v>
      </c>
      <c r="D41" s="822">
        <v>2.5000000000000001E-2</v>
      </c>
      <c r="E41" s="822">
        <v>3.0000000000000001E-3</v>
      </c>
      <c r="F41" s="822">
        <v>5.0000000000000001E-3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3.7999999999999992E-2</v>
      </c>
      <c r="C42" s="822">
        <v>0.75900000000000001</v>
      </c>
      <c r="D42" s="822">
        <v>0.18099999999999999</v>
      </c>
      <c r="E42" s="822">
        <v>1.4999999999999998E-2</v>
      </c>
      <c r="F42" s="822">
        <v>6.9999999999999993E-3</v>
      </c>
      <c r="G42" s="822">
        <v>0</v>
      </c>
      <c r="H42" s="822">
        <v>0</v>
      </c>
      <c r="I42" s="823">
        <v>0</v>
      </c>
      <c r="J42" s="823">
        <v>0</v>
      </c>
      <c r="K42" s="823">
        <v>0</v>
      </c>
      <c r="L42" s="824">
        <v>1</v>
      </c>
      <c r="O42" s="655" t="e">
        <f t="shared" si="0"/>
        <v>#N/A</v>
      </c>
      <c r="P42" s="656" t="e">
        <f t="shared" si="1"/>
        <v>#N/A</v>
      </c>
    </row>
    <row r="43" spans="1:16" ht="14.4" x14ac:dyDescent="0.3">
      <c r="A43" s="459">
        <v>2018</v>
      </c>
      <c r="B43" s="822">
        <v>2.600520104020804E-3</v>
      </c>
      <c r="C43" s="822">
        <v>0.97119423884776945</v>
      </c>
      <c r="D43" s="822">
        <v>2.1004200840168033E-2</v>
      </c>
      <c r="E43" s="822">
        <v>2.600520104020804E-3</v>
      </c>
      <c r="F43" s="822">
        <v>2.600520104020804E-3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1.0999999999999999E-2</v>
      </c>
      <c r="C45" s="822">
        <v>0.97099999999999986</v>
      </c>
      <c r="D45" s="822">
        <v>1.7999999999999999E-2</v>
      </c>
      <c r="E45" s="822">
        <v>0</v>
      </c>
      <c r="F45" s="822">
        <v>0</v>
      </c>
      <c r="G45" s="822">
        <v>0</v>
      </c>
      <c r="H45" s="822">
        <v>0</v>
      </c>
      <c r="I45" s="823">
        <v>0</v>
      </c>
      <c r="J45" s="823">
        <v>0</v>
      </c>
      <c r="K45" s="823">
        <v>0</v>
      </c>
      <c r="L45" s="824">
        <v>1</v>
      </c>
      <c r="O45" s="655" t="e">
        <f t="shared" si="0"/>
        <v>#N/A</v>
      </c>
      <c r="P45" s="656" t="e">
        <f t="shared" si="1"/>
        <v>#N/A</v>
      </c>
    </row>
    <row r="46" spans="1:16" ht="15" thickBot="1" x14ac:dyDescent="0.35">
      <c r="A46" s="459">
        <v>2021</v>
      </c>
      <c r="B46" s="822">
        <v>0.17799999999999999</v>
      </c>
      <c r="C46" s="822">
        <v>0.76500000000000001</v>
      </c>
      <c r="D46" s="822">
        <v>5.7000000000000002E-2</v>
      </c>
      <c r="E46" s="822">
        <v>0</v>
      </c>
      <c r="F46" s="822">
        <v>0</v>
      </c>
      <c r="G46" s="822">
        <v>0</v>
      </c>
      <c r="H46" s="822">
        <v>0</v>
      </c>
      <c r="I46" s="823">
        <v>0</v>
      </c>
      <c r="J46" s="823">
        <v>0</v>
      </c>
      <c r="K46" s="823">
        <v>0</v>
      </c>
      <c r="L46" s="824">
        <v>1</v>
      </c>
      <c r="O46" s="657" t="e">
        <f t="shared" si="0"/>
        <v>#N/A</v>
      </c>
      <c r="P46" s="658" t="e">
        <f t="shared" si="1"/>
        <v>#N/A</v>
      </c>
    </row>
    <row r="47" spans="1:16" ht="15" thickBot="1" x14ac:dyDescent="0.35">
      <c r="A47" s="459">
        <v>2022</v>
      </c>
      <c r="B47" s="825">
        <v>1.9E-2</v>
      </c>
      <c r="C47" s="825">
        <v>0.86099999999999999</v>
      </c>
      <c r="D47" s="825">
        <v>0.11999999999999998</v>
      </c>
      <c r="E47" s="825">
        <v>0</v>
      </c>
      <c r="F47" s="825">
        <v>0</v>
      </c>
      <c r="G47" s="825">
        <v>0</v>
      </c>
      <c r="H47" s="825">
        <v>0</v>
      </c>
      <c r="I47" s="825">
        <v>0</v>
      </c>
      <c r="J47" s="825">
        <v>0</v>
      </c>
      <c r="K47" s="825">
        <v>0</v>
      </c>
      <c r="L47" s="825">
        <v>1</v>
      </c>
      <c r="O47" s="659" t="e">
        <f t="shared" si="0"/>
        <v>#N/A</v>
      </c>
      <c r="P47" s="658" t="e">
        <f t="shared" si="1"/>
        <v>#N/A</v>
      </c>
    </row>
    <row r="48" spans="1:16" x14ac:dyDescent="0.25">
      <c r="A48" s="559" t="s">
        <v>1149</v>
      </c>
      <c r="B48" s="826">
        <f>AVERAGE(B5:B47)</f>
        <v>0.10012733243878974</v>
      </c>
      <c r="C48" s="826">
        <f t="shared" ref="C48:L48" si="2">AVERAGE(C5:C47)</f>
        <v>0.7811345937783235</v>
      </c>
      <c r="D48" s="826">
        <f t="shared" si="2"/>
        <v>7.7084676217194892E-2</v>
      </c>
      <c r="E48" s="826">
        <f t="shared" si="2"/>
        <v>1.6540072700626463E-2</v>
      </c>
      <c r="F48" s="826">
        <f t="shared" si="2"/>
        <v>1.8137370586785405E-2</v>
      </c>
      <c r="G48" s="826">
        <f t="shared" si="2"/>
        <v>3.1391631624189766E-3</v>
      </c>
      <c r="H48" s="826">
        <f t="shared" si="2"/>
        <v>2.0460934414422783E-3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645" t="s">
        <v>1207</v>
      </c>
      <c r="B1" s="2646"/>
      <c r="C1" s="2646"/>
      <c r="D1" s="2646"/>
      <c r="E1" s="2646"/>
      <c r="F1" s="2646"/>
      <c r="G1" s="2646"/>
      <c r="H1" s="2646"/>
      <c r="I1" s="2646"/>
      <c r="J1" s="2646"/>
      <c r="K1" s="2646"/>
      <c r="L1" s="2647"/>
    </row>
    <row r="2" spans="1:14" ht="28.2" customHeight="1" thickBot="1" x14ac:dyDescent="0.3">
      <c r="A2" s="2648"/>
      <c r="B2" s="2649"/>
      <c r="C2" s="2649"/>
      <c r="D2" s="2649"/>
      <c r="E2" s="2649"/>
      <c r="F2" s="2649"/>
      <c r="G2" s="2649"/>
      <c r="H2" s="2649"/>
      <c r="I2" s="2649"/>
      <c r="J2" s="2649"/>
      <c r="K2" s="2649"/>
      <c r="L2" s="2650"/>
    </row>
    <row r="3" spans="1:14" ht="14.4" x14ac:dyDescent="0.3">
      <c r="A3" s="661" t="s">
        <v>1201</v>
      </c>
      <c r="B3" s="660" t="s">
        <v>357</v>
      </c>
      <c r="C3"/>
      <c r="D3"/>
      <c r="E3"/>
      <c r="F3"/>
      <c r="G3"/>
      <c r="H3"/>
      <c r="I3"/>
      <c r="J3"/>
      <c r="K3"/>
      <c r="L3"/>
    </row>
    <row r="4" spans="1:14" s="557" customFormat="1" ht="14.4" x14ac:dyDescent="0.3">
      <c r="A4" s="668" t="s">
        <v>540</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657" t="s">
        <v>1208</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658"/>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658"/>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658"/>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658"/>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2132.0879999999997</v>
      </c>
      <c r="E27" s="667">
        <v>738.66</v>
      </c>
      <c r="F27" s="667">
        <v>41.01643</v>
      </c>
      <c r="G27" s="667">
        <v>1455.0060000000001</v>
      </c>
      <c r="H27" s="667"/>
      <c r="I27" s="667"/>
      <c r="J27" s="667"/>
      <c r="K27" s="667"/>
      <c r="L27" s="670">
        <v>92988.758430000002</v>
      </c>
    </row>
    <row r="28" spans="1:13" ht="14.4" x14ac:dyDescent="0.3">
      <c r="A28" s="669">
        <v>2000</v>
      </c>
      <c r="B28" s="667">
        <v>2762.3310000000001</v>
      </c>
      <c r="C28" s="667">
        <v>7159.7820000000002</v>
      </c>
      <c r="D28" s="667">
        <v>664.84799999999996</v>
      </c>
      <c r="E28" s="667">
        <v>41.01643</v>
      </c>
      <c r="F28" s="667">
        <v>3183.7260000000001</v>
      </c>
      <c r="G28" s="667">
        <v>314.928</v>
      </c>
      <c r="H28" s="667"/>
      <c r="I28" s="667"/>
      <c r="J28" s="667">
        <v>34.991999999999997</v>
      </c>
      <c r="K28" s="667"/>
      <c r="L28" s="670">
        <v>14161.623430000001</v>
      </c>
    </row>
    <row r="29" spans="1:13" ht="14.4" x14ac:dyDescent="0.3">
      <c r="A29" s="669">
        <v>2001</v>
      </c>
      <c r="B29" s="667">
        <v>288.12</v>
      </c>
      <c r="C29" s="667">
        <v>17146.079999999998</v>
      </c>
      <c r="D29" s="667">
        <v>0</v>
      </c>
      <c r="E29" s="667">
        <v>187.27799999999999</v>
      </c>
      <c r="F29" s="667">
        <v>279.93599999999998</v>
      </c>
      <c r="G29" s="667">
        <v>0</v>
      </c>
      <c r="H29" s="667"/>
      <c r="I29" s="667">
        <v>979.77600000000007</v>
      </c>
      <c r="J29" s="667"/>
      <c r="K29" s="667"/>
      <c r="L29" s="670">
        <v>18881.189999999999</v>
      </c>
    </row>
    <row r="30" spans="1:13" ht="14.4" x14ac:dyDescent="0.3">
      <c r="A30" s="669">
        <v>2002</v>
      </c>
      <c r="B30" s="667">
        <v>9587.8080000000009</v>
      </c>
      <c r="C30" s="667">
        <v>85504.898000000001</v>
      </c>
      <c r="D30" s="667">
        <v>2307.63</v>
      </c>
      <c r="E30" s="667">
        <v>1854.576</v>
      </c>
      <c r="F30" s="667">
        <v>1373.2049999999999</v>
      </c>
      <c r="G30" s="667">
        <v>828.38</v>
      </c>
      <c r="H30" s="667">
        <v>2449.4399999999996</v>
      </c>
      <c r="I30" s="667"/>
      <c r="J30" s="667"/>
      <c r="K30" s="667">
        <v>1679.616</v>
      </c>
      <c r="L30" s="670">
        <v>105585.55300000001</v>
      </c>
    </row>
    <row r="31" spans="1:13" ht="14.4" x14ac:dyDescent="0.3">
      <c r="A31" s="669">
        <v>2003</v>
      </c>
      <c r="B31" s="667">
        <v>2837.9569999999999</v>
      </c>
      <c r="C31" s="667">
        <v>52720.47</v>
      </c>
      <c r="D31" s="667">
        <v>3024.6095238095236</v>
      </c>
      <c r="E31" s="667">
        <v>274.64100000000002</v>
      </c>
      <c r="F31" s="667">
        <v>1124.23</v>
      </c>
      <c r="G31" s="667">
        <v>0</v>
      </c>
      <c r="H31" s="667">
        <v>1647.8459999999998</v>
      </c>
      <c r="I31" s="667"/>
      <c r="J31" s="667"/>
      <c r="K31" s="667"/>
      <c r="L31" s="670">
        <v>61629.75352380953</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1770.1205936920223</v>
      </c>
      <c r="E33" s="667">
        <v>0</v>
      </c>
      <c r="F33" s="667">
        <v>232.14545454545456</v>
      </c>
      <c r="G33" s="667"/>
      <c r="H33" s="667"/>
      <c r="I33" s="667"/>
      <c r="J33" s="667"/>
      <c r="K33" s="667"/>
      <c r="L33" s="670">
        <v>13501.182065553494</v>
      </c>
    </row>
    <row r="34" spans="1:12" ht="14.4" x14ac:dyDescent="0.3">
      <c r="A34" s="669">
        <v>2006</v>
      </c>
      <c r="B34" s="667">
        <v>6325.9636363636364</v>
      </c>
      <c r="C34" s="667">
        <v>179490.22820037106</v>
      </c>
      <c r="D34" s="667">
        <v>8267.8930041152271</v>
      </c>
      <c r="E34" s="667">
        <v>1450.9090909090901</v>
      </c>
      <c r="F34" s="667">
        <v>708.04823747680894</v>
      </c>
      <c r="G34" s="667">
        <v>0</v>
      </c>
      <c r="H34" s="667"/>
      <c r="I34" s="667"/>
      <c r="J34" s="667"/>
      <c r="K34" s="667"/>
      <c r="L34" s="670">
        <v>196243.04216923582</v>
      </c>
    </row>
    <row r="35" spans="1:12" ht="14.4" x14ac:dyDescent="0.3">
      <c r="A35" s="669">
        <v>2007</v>
      </c>
      <c r="B35" s="667">
        <v>8850.6029684601108</v>
      </c>
      <c r="C35" s="667">
        <v>135784.24279835392</v>
      </c>
      <c r="D35" s="667">
        <v>26272.737999999998</v>
      </c>
      <c r="E35" s="667">
        <v>0</v>
      </c>
      <c r="F35" s="667">
        <v>5087.9341563786011</v>
      </c>
      <c r="G35" s="667"/>
      <c r="H35" s="667"/>
      <c r="I35" s="667"/>
      <c r="J35" s="667"/>
      <c r="K35" s="667"/>
      <c r="L35" s="670">
        <v>175995.51792319264</v>
      </c>
    </row>
    <row r="36" spans="1:12" ht="14.4" x14ac:dyDescent="0.3">
      <c r="A36" s="669">
        <v>2008</v>
      </c>
      <c r="B36" s="667">
        <v>5405.9300411522636</v>
      </c>
      <c r="C36" s="667">
        <v>317403.07799999998</v>
      </c>
      <c r="D36" s="667">
        <v>12181.611999999999</v>
      </c>
      <c r="E36" s="667">
        <v>0</v>
      </c>
      <c r="F36" s="667">
        <v>2130.2220000000002</v>
      </c>
      <c r="G36" s="667">
        <v>0</v>
      </c>
      <c r="H36" s="667"/>
      <c r="I36" s="667"/>
      <c r="J36" s="667"/>
      <c r="K36" s="667"/>
      <c r="L36" s="670">
        <v>337120.8420411523</v>
      </c>
    </row>
    <row r="37" spans="1:12" ht="14.4" x14ac:dyDescent="0.3">
      <c r="A37" s="669">
        <v>2009</v>
      </c>
      <c r="B37" s="667">
        <v>3130.8377425044091</v>
      </c>
      <c r="C37" s="667">
        <v>113923.808</v>
      </c>
      <c r="D37" s="667">
        <v>3232.355</v>
      </c>
      <c r="E37" s="667">
        <v>6035.6290000000008</v>
      </c>
      <c r="F37" s="667">
        <v>6862.88</v>
      </c>
      <c r="G37" s="667"/>
      <c r="H37" s="667"/>
      <c r="I37" s="667"/>
      <c r="J37" s="667"/>
      <c r="K37" s="667"/>
      <c r="L37" s="670">
        <v>133185.50974250442</v>
      </c>
    </row>
    <row r="38" spans="1:12" ht="14.4" x14ac:dyDescent="0.3">
      <c r="A38" s="669">
        <v>2010</v>
      </c>
      <c r="B38" s="667">
        <v>31226.103999999999</v>
      </c>
      <c r="C38" s="667">
        <v>448373.815</v>
      </c>
      <c r="D38" s="667">
        <v>12906.459000000001</v>
      </c>
      <c r="E38" s="667">
        <v>7377.5959999999995</v>
      </c>
      <c r="F38" s="667">
        <v>5541.18</v>
      </c>
      <c r="G38" s="667"/>
      <c r="H38" s="667"/>
      <c r="I38" s="667"/>
      <c r="J38" s="667"/>
      <c r="K38" s="667"/>
      <c r="L38" s="670">
        <v>505425.15399999998</v>
      </c>
    </row>
    <row r="39" spans="1:12" ht="14.4" x14ac:dyDescent="0.3">
      <c r="A39" s="669">
        <v>2011</v>
      </c>
      <c r="B39" s="667">
        <v>1385.2950000000001</v>
      </c>
      <c r="C39" s="667">
        <v>101020.92600000001</v>
      </c>
      <c r="D39" s="667">
        <v>16164.57</v>
      </c>
      <c r="E39" s="667">
        <v>3232.355</v>
      </c>
      <c r="F39" s="667">
        <v>7966.9500000000007</v>
      </c>
      <c r="G39" s="667"/>
      <c r="H39" s="667"/>
      <c r="I39" s="667"/>
      <c r="J39" s="667"/>
      <c r="K39" s="667"/>
      <c r="L39" s="670">
        <v>129770.09599999999</v>
      </c>
    </row>
    <row r="40" spans="1:12" ht="14.4" x14ac:dyDescent="0.3">
      <c r="A40" s="669">
        <v>2012</v>
      </c>
      <c r="B40" s="667">
        <v>37444.665000000001</v>
      </c>
      <c r="C40" s="667">
        <v>476315.99599999998</v>
      </c>
      <c r="D40" s="667">
        <v>437.68700000000001</v>
      </c>
      <c r="E40" s="667">
        <v>0</v>
      </c>
      <c r="F40" s="667">
        <v>2155.2759999999998</v>
      </c>
      <c r="G40" s="667"/>
      <c r="H40" s="667"/>
      <c r="I40" s="667"/>
      <c r="J40" s="667"/>
      <c r="K40" s="667"/>
      <c r="L40" s="670">
        <v>516353.62399999995</v>
      </c>
    </row>
    <row r="41" spans="1:12" ht="14.4" x14ac:dyDescent="0.3">
      <c r="A41" s="669">
        <v>2013</v>
      </c>
      <c r="B41" s="667">
        <v>44290.921799999996</v>
      </c>
      <c r="C41" s="667">
        <v>426744.82500000001</v>
      </c>
      <c r="D41" s="667">
        <v>6885.6750000000002</v>
      </c>
      <c r="E41" s="667">
        <v>0</v>
      </c>
      <c r="F41" s="667">
        <v>9629.1139999999996</v>
      </c>
      <c r="G41" s="667"/>
      <c r="H41" s="667"/>
      <c r="I41" s="667"/>
      <c r="J41" s="667"/>
      <c r="K41" s="667"/>
      <c r="L41" s="670">
        <v>487550.53580000001</v>
      </c>
    </row>
    <row r="42" spans="1:12" ht="14.4" x14ac:dyDescent="0.3">
      <c r="A42" s="669">
        <v>2014</v>
      </c>
      <c r="B42" s="667">
        <v>437.68700000000001</v>
      </c>
      <c r="C42" s="667">
        <v>263583.63899999997</v>
      </c>
      <c r="D42" s="667">
        <v>10518.091</v>
      </c>
      <c r="E42" s="667">
        <v>0</v>
      </c>
      <c r="F42" s="667">
        <v>1377.135</v>
      </c>
      <c r="G42" s="667">
        <v>0</v>
      </c>
      <c r="H42" s="667"/>
      <c r="I42" s="667"/>
      <c r="J42" s="667"/>
      <c r="K42" s="667"/>
      <c r="L42" s="670">
        <v>275916.55199999997</v>
      </c>
    </row>
    <row r="43" spans="1:12" ht="14.4" x14ac:dyDescent="0.3">
      <c r="A43" s="669">
        <v>2015</v>
      </c>
      <c r="B43" s="667">
        <v>2754.27</v>
      </c>
      <c r="C43" s="667">
        <v>44106.249000000003</v>
      </c>
      <c r="D43" s="667">
        <v>3928.5330000000004</v>
      </c>
      <c r="E43" s="667">
        <v>826.28100000000006</v>
      </c>
      <c r="F43" s="667">
        <v>406.77699999999999</v>
      </c>
      <c r="G43" s="667"/>
      <c r="H43" s="667"/>
      <c r="I43" s="667"/>
      <c r="J43" s="667"/>
      <c r="K43" s="667"/>
      <c r="L43" s="670">
        <v>52022.110000000008</v>
      </c>
    </row>
    <row r="44" spans="1:12" ht="14.4" x14ac:dyDescent="0.3">
      <c r="A44" s="669">
        <v>2016</v>
      </c>
      <c r="B44" s="667">
        <v>2208.2179999999998</v>
      </c>
      <c r="C44" s="667">
        <v>181647.883</v>
      </c>
      <c r="D44" s="667">
        <v>14564.85</v>
      </c>
      <c r="E44" s="667">
        <v>871.66499999999996</v>
      </c>
      <c r="F44" s="667">
        <v>486.38979999999998</v>
      </c>
      <c r="G44" s="667">
        <v>0</v>
      </c>
      <c r="H44" s="667"/>
      <c r="I44" s="667"/>
      <c r="J44" s="667"/>
      <c r="K44" s="667"/>
      <c r="L44" s="670">
        <v>199779.00580000001</v>
      </c>
    </row>
    <row r="45" spans="1:12" ht="14.4" x14ac:dyDescent="0.3">
      <c r="A45" s="669">
        <v>2017</v>
      </c>
      <c r="B45" s="667">
        <v>486.38979999999998</v>
      </c>
      <c r="C45" s="667">
        <v>29566.100000000002</v>
      </c>
      <c r="D45" s="667">
        <v>5557.95</v>
      </c>
      <c r="E45" s="667">
        <v>486.38979999999998</v>
      </c>
      <c r="F45" s="667">
        <v>218.20000000000002</v>
      </c>
      <c r="G45" s="667">
        <v>0</v>
      </c>
      <c r="H45" s="667"/>
      <c r="I45" s="667"/>
      <c r="J45" s="667"/>
      <c r="K45" s="667"/>
      <c r="L45" s="670">
        <v>36315.029599999994</v>
      </c>
    </row>
    <row r="46" spans="1:12" ht="14.4" x14ac:dyDescent="0.3">
      <c r="A46" s="669">
        <v>2018</v>
      </c>
      <c r="B46" s="667">
        <v>10091.75</v>
      </c>
      <c r="C46" s="667">
        <v>299820.52499999997</v>
      </c>
      <c r="D46" s="667">
        <v>6500.223</v>
      </c>
      <c r="E46" s="667">
        <v>109.10000000000001</v>
      </c>
      <c r="F46" s="667">
        <v>0</v>
      </c>
      <c r="G46" s="667">
        <v>0</v>
      </c>
      <c r="H46" s="667"/>
      <c r="I46" s="667"/>
      <c r="J46" s="667"/>
      <c r="K46" s="667"/>
      <c r="L46" s="670">
        <v>316521.59799999994</v>
      </c>
    </row>
    <row r="47" spans="1:12" ht="14.4" x14ac:dyDescent="0.3">
      <c r="A47" s="669">
        <v>2019</v>
      </c>
      <c r="B47" s="667">
        <v>3396.5249999999996</v>
      </c>
      <c r="C47" s="667">
        <v>87239.835000000006</v>
      </c>
      <c r="D47" s="667">
        <v>69906.599999999991</v>
      </c>
      <c r="E47" s="667">
        <v>0</v>
      </c>
      <c r="F47" s="667">
        <v>0</v>
      </c>
      <c r="G47" s="667">
        <v>0</v>
      </c>
      <c r="H47" s="667"/>
      <c r="I47" s="667"/>
      <c r="J47" s="667"/>
      <c r="K47" s="667"/>
      <c r="L47" s="670">
        <v>160542.96</v>
      </c>
    </row>
    <row r="48" spans="1:12" ht="14.4" x14ac:dyDescent="0.3">
      <c r="A48" s="669">
        <v>2020</v>
      </c>
      <c r="B48" s="667">
        <v>20298.941999999999</v>
      </c>
      <c r="C48" s="667">
        <v>501579.85499999998</v>
      </c>
      <c r="D48" s="667">
        <v>19880.448</v>
      </c>
      <c r="E48" s="667">
        <v>0</v>
      </c>
      <c r="F48" s="667">
        <v>0</v>
      </c>
      <c r="G48" s="667">
        <v>0</v>
      </c>
      <c r="H48" s="667"/>
      <c r="I48" s="667"/>
      <c r="J48" s="667"/>
      <c r="K48" s="667"/>
      <c r="L48" s="667">
        <v>541759.245</v>
      </c>
    </row>
    <row r="49" spans="1:12" ht="14.4" x14ac:dyDescent="0.3">
      <c r="A49" s="669">
        <v>2021</v>
      </c>
      <c r="B49" s="667">
        <v>11068.545</v>
      </c>
      <c r="C49" s="667">
        <v>168155.45600000001</v>
      </c>
      <c r="D49" s="667"/>
      <c r="E49" s="667">
        <v>0</v>
      </c>
      <c r="F49" s="667">
        <v>0</v>
      </c>
      <c r="G49" s="667"/>
      <c r="H49" s="667"/>
      <c r="I49" s="667"/>
      <c r="J49" s="667"/>
      <c r="K49" s="667"/>
      <c r="L49" s="667">
        <v>179224.00100000002</v>
      </c>
    </row>
    <row r="50" spans="1:12" ht="14.4" x14ac:dyDescent="0.3">
      <c r="A50">
        <v>2022</v>
      </c>
      <c r="B50" s="667">
        <v>18430.831999999999</v>
      </c>
      <c r="C50" s="667"/>
      <c r="D50" s="667"/>
      <c r="E50" s="667">
        <v>621.26400000000001</v>
      </c>
      <c r="F50" s="667"/>
      <c r="G50" s="667"/>
      <c r="H50" s="667"/>
      <c r="I50" s="667"/>
      <c r="J50" s="667"/>
      <c r="K50" s="667"/>
      <c r="L50" s="667">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539</v>
      </c>
      <c r="B1" s="755" t="s">
        <v>1209</v>
      </c>
      <c r="C1" s="755" t="s">
        <v>1210</v>
      </c>
      <c r="D1" s="756" t="s">
        <v>1211</v>
      </c>
    </row>
    <row r="2" spans="1:12" ht="48.6" customHeight="1" x14ac:dyDescent="0.3">
      <c r="A2" s="757">
        <v>2021</v>
      </c>
      <c r="B2" s="752">
        <v>418790</v>
      </c>
      <c r="C2" s="753" t="s">
        <v>1212</v>
      </c>
      <c r="D2" s="765"/>
      <c r="F2" s="815" t="s">
        <v>1213</v>
      </c>
    </row>
    <row r="3" spans="1:12" ht="39" customHeight="1" x14ac:dyDescent="0.3">
      <c r="A3" s="758">
        <v>2020</v>
      </c>
      <c r="B3" s="710">
        <v>4099703</v>
      </c>
      <c r="C3" s="747" t="s">
        <v>1214</v>
      </c>
      <c r="D3" s="291"/>
      <c r="F3" t="s">
        <v>1215</v>
      </c>
    </row>
    <row r="4" spans="1:12" ht="36" customHeight="1" x14ac:dyDescent="0.3">
      <c r="A4" s="759">
        <v>2019</v>
      </c>
      <c r="B4" s="710">
        <v>641182</v>
      </c>
      <c r="C4" s="747" t="s">
        <v>1216</v>
      </c>
      <c r="D4" s="291"/>
    </row>
    <row r="5" spans="1:12" ht="42.6" customHeight="1" x14ac:dyDescent="0.3">
      <c r="A5" s="760">
        <v>2018</v>
      </c>
      <c r="B5" s="710">
        <v>4107296</v>
      </c>
      <c r="C5" s="748" t="s">
        <v>1217</v>
      </c>
      <c r="D5" s="291"/>
    </row>
    <row r="6" spans="1:12" ht="34.950000000000003" customHeight="1" x14ac:dyDescent="0.3">
      <c r="A6" s="760">
        <v>2017</v>
      </c>
      <c r="B6" s="749">
        <v>1232712</v>
      </c>
      <c r="C6" s="748" t="s">
        <v>1218</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1219</v>
      </c>
      <c r="D10" s="291"/>
    </row>
    <row r="11" spans="1:12" x14ac:dyDescent="0.3">
      <c r="A11" s="761">
        <v>2012</v>
      </c>
      <c r="B11" s="750">
        <v>869300</v>
      </c>
      <c r="C11" s="751" t="s">
        <v>1220</v>
      </c>
      <c r="D11" s="766">
        <f>B11/933</f>
        <v>931.72561629153267</v>
      </c>
      <c r="E11" t="s">
        <v>1221</v>
      </c>
      <c r="K11" s="713">
        <f>895*933</f>
        <v>835035</v>
      </c>
      <c r="L11" t="s">
        <v>1222</v>
      </c>
    </row>
    <row r="12" spans="1:12" x14ac:dyDescent="0.3">
      <c r="A12" s="761">
        <v>2011</v>
      </c>
      <c r="B12" s="746">
        <v>837800</v>
      </c>
      <c r="C12" s="751" t="s">
        <v>1220</v>
      </c>
      <c r="D12" s="766">
        <f>B12/933</f>
        <v>897.96355841371917</v>
      </c>
      <c r="F12" t="s">
        <v>1223</v>
      </c>
    </row>
    <row r="13" spans="1:12" x14ac:dyDescent="0.3">
      <c r="A13" s="760">
        <v>2010</v>
      </c>
      <c r="B13" s="709">
        <v>900000</v>
      </c>
      <c r="C13" s="748"/>
      <c r="D13" s="767"/>
    </row>
    <row r="14" spans="1:12" x14ac:dyDescent="0.3">
      <c r="A14" s="761">
        <v>2009</v>
      </c>
      <c r="B14" s="746">
        <v>432400</v>
      </c>
      <c r="C14" s="751" t="s">
        <v>1220</v>
      </c>
      <c r="D14" s="766">
        <f>B14/933</f>
        <v>463.4512325830654</v>
      </c>
    </row>
    <row r="15" spans="1:12" x14ac:dyDescent="0.3">
      <c r="A15" s="760">
        <v>2009</v>
      </c>
      <c r="B15" s="666">
        <v>448300</v>
      </c>
      <c r="C15" s="748" t="s">
        <v>1224</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1225</v>
      </c>
      <c r="B23" s="711">
        <v>1946</v>
      </c>
      <c r="C23" t="s">
        <v>1226</v>
      </c>
    </row>
    <row r="24" spans="1:4" x14ac:dyDescent="0.3">
      <c r="A24" t="s">
        <v>1227</v>
      </c>
      <c r="B24" s="711">
        <v>933</v>
      </c>
      <c r="C24" t="s">
        <v>1228</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4" t="s">
        <v>1229</v>
      </c>
      <c r="B1" s="975" t="s">
        <v>1230</v>
      </c>
      <c r="C1" s="975" t="s">
        <v>1231</v>
      </c>
      <c r="D1" s="975" t="s">
        <v>1232</v>
      </c>
      <c r="E1" s="975" t="s">
        <v>1233</v>
      </c>
      <c r="F1" s="976" t="s">
        <v>1234</v>
      </c>
    </row>
    <row r="2" spans="1:19" x14ac:dyDescent="0.3">
      <c r="A2" s="977">
        <v>2011</v>
      </c>
      <c r="B2" s="978">
        <v>42105</v>
      </c>
      <c r="C2" s="979"/>
      <c r="D2" s="978"/>
      <c r="E2" s="978"/>
      <c r="F2" s="980"/>
    </row>
    <row r="3" spans="1:19" x14ac:dyDescent="0.3">
      <c r="A3" s="968">
        <v>2013</v>
      </c>
      <c r="B3" s="966">
        <v>6840</v>
      </c>
      <c r="C3" s="967">
        <f t="shared" ref="C3:C9" si="0">D3/B3</f>
        <v>0.19795321637426899</v>
      </c>
      <c r="D3" s="966">
        <v>1354</v>
      </c>
      <c r="E3" s="966">
        <v>29009</v>
      </c>
      <c r="F3" s="969">
        <f t="shared" ref="F3:F9" si="1">D3/E3</f>
        <v>4.6675169774897447E-2</v>
      </c>
    </row>
    <row r="4" spans="1:19" x14ac:dyDescent="0.3">
      <c r="A4" s="968">
        <v>2014</v>
      </c>
      <c r="B4" s="966">
        <v>20916</v>
      </c>
      <c r="C4" s="967">
        <f t="shared" si="0"/>
        <v>0.20501051826353031</v>
      </c>
      <c r="D4" s="966">
        <v>4288</v>
      </c>
      <c r="E4" s="966">
        <v>99888</v>
      </c>
      <c r="F4" s="969">
        <f t="shared" si="1"/>
        <v>4.2928079448982859E-2</v>
      </c>
    </row>
    <row r="5" spans="1:19" x14ac:dyDescent="0.3">
      <c r="A5" s="968">
        <v>2015</v>
      </c>
      <c r="B5" s="966">
        <v>1632</v>
      </c>
      <c r="C5" s="967">
        <f t="shared" si="0"/>
        <v>0</v>
      </c>
      <c r="D5" s="966">
        <v>0</v>
      </c>
      <c r="E5" s="966">
        <v>51533</v>
      </c>
      <c r="F5" s="969">
        <f t="shared" si="1"/>
        <v>0</v>
      </c>
    </row>
    <row r="6" spans="1:19" x14ac:dyDescent="0.3">
      <c r="A6" s="968">
        <v>2016</v>
      </c>
      <c r="B6" s="966">
        <v>4016</v>
      </c>
      <c r="C6" s="967">
        <f t="shared" si="0"/>
        <v>6.9970119521912344E-2</v>
      </c>
      <c r="D6" s="966">
        <v>281</v>
      </c>
      <c r="E6" s="966">
        <v>73697</v>
      </c>
      <c r="F6" s="969">
        <f t="shared" si="1"/>
        <v>3.8129096164022957E-3</v>
      </c>
    </row>
    <row r="7" spans="1:19" x14ac:dyDescent="0.3">
      <c r="A7" s="968">
        <v>2017</v>
      </c>
      <c r="B7" s="966">
        <v>5600</v>
      </c>
      <c r="C7" s="967">
        <f t="shared" si="0"/>
        <v>0.02</v>
      </c>
      <c r="D7" s="966">
        <v>112</v>
      </c>
      <c r="E7" s="966">
        <v>23854</v>
      </c>
      <c r="F7" s="969">
        <f t="shared" si="1"/>
        <v>4.6952293116458458E-3</v>
      </c>
    </row>
    <row r="8" spans="1:19" x14ac:dyDescent="0.3">
      <c r="A8" s="968">
        <v>2018</v>
      </c>
      <c r="B8" s="966">
        <v>23500</v>
      </c>
      <c r="C8" s="967">
        <f t="shared" si="0"/>
        <v>4.3829787234042549E-3</v>
      </c>
      <c r="D8" s="966">
        <v>103</v>
      </c>
      <c r="E8" s="966">
        <v>13962</v>
      </c>
      <c r="F8" s="969">
        <f t="shared" si="1"/>
        <v>7.3771665950436898E-3</v>
      </c>
    </row>
    <row r="9" spans="1:19" x14ac:dyDescent="0.3">
      <c r="A9" s="968">
        <v>2019</v>
      </c>
      <c r="B9" s="966">
        <v>2588</v>
      </c>
      <c r="C9" s="967">
        <f t="shared" si="0"/>
        <v>0.50502318392581147</v>
      </c>
      <c r="D9" s="966">
        <v>1307</v>
      </c>
      <c r="E9" s="966">
        <v>8875</v>
      </c>
      <c r="F9" s="969">
        <f t="shared" si="1"/>
        <v>0.14726760563380281</v>
      </c>
    </row>
    <row r="10" spans="1:19" x14ac:dyDescent="0.3">
      <c r="A10" s="968">
        <v>2020</v>
      </c>
      <c r="B10" s="966"/>
      <c r="C10" s="967"/>
      <c r="D10" s="966"/>
      <c r="E10" s="966"/>
      <c r="F10" s="969"/>
    </row>
    <row r="11" spans="1:19" x14ac:dyDescent="0.3">
      <c r="A11" s="968">
        <v>2021</v>
      </c>
      <c r="B11" s="966"/>
      <c r="C11" s="967"/>
      <c r="D11" s="966"/>
      <c r="E11" s="966"/>
      <c r="F11" s="969"/>
    </row>
    <row r="12" spans="1:19" ht="15" thickBot="1" x14ac:dyDescent="0.35">
      <c r="A12" s="970">
        <v>2022</v>
      </c>
      <c r="B12" s="971">
        <v>40000</v>
      </c>
      <c r="C12" s="972"/>
      <c r="D12" s="971"/>
      <c r="E12" s="971"/>
      <c r="F12" s="973"/>
    </row>
    <row r="13" spans="1:19" ht="14.7" customHeight="1" x14ac:dyDescent="0.3">
      <c r="A13" s="2659" t="s">
        <v>1235</v>
      </c>
      <c r="B13" s="2659"/>
      <c r="C13" s="2659"/>
      <c r="D13" s="2659"/>
      <c r="E13" s="700" t="s">
        <v>1236</v>
      </c>
      <c r="F13" s="965"/>
    </row>
    <row r="14" spans="1:19" ht="14.7" customHeight="1" x14ac:dyDescent="0.3">
      <c r="A14" s="2660"/>
      <c r="B14" s="2660"/>
      <c r="C14" s="2660"/>
      <c r="D14" s="2660"/>
      <c r="E14" s="2661" t="s">
        <v>1237</v>
      </c>
      <c r="F14" s="2661"/>
      <c r="G14" s="2661"/>
    </row>
    <row r="15" spans="1:19" ht="15" thickBot="1" x14ac:dyDescent="0.35">
      <c r="A15" s="981"/>
      <c r="B15" s="981"/>
      <c r="C15" s="981"/>
      <c r="D15" s="981"/>
      <c r="E15" s="2661"/>
      <c r="F15" s="2661"/>
      <c r="G15" s="2661"/>
      <c r="J15" s="1033" t="s">
        <v>1238</v>
      </c>
      <c r="Q15" s="1033" t="s">
        <v>1239</v>
      </c>
    </row>
    <row r="16" spans="1:19" ht="15" thickBot="1" x14ac:dyDescent="0.35">
      <c r="A16" s="981"/>
      <c r="B16" s="981"/>
      <c r="C16" s="981"/>
      <c r="D16" s="981"/>
      <c r="E16" s="1094"/>
      <c r="F16" s="1094"/>
      <c r="J16" s="984" t="s">
        <v>1240</v>
      </c>
      <c r="K16" s="983" t="s">
        <v>383</v>
      </c>
      <c r="L16" s="983" t="s">
        <v>1241</v>
      </c>
      <c r="M16" s="983" t="s">
        <v>1019</v>
      </c>
      <c r="N16" s="1211" t="s">
        <v>1242</v>
      </c>
      <c r="O16" s="664" t="s">
        <v>1243</v>
      </c>
      <c r="Q16" s="1049" t="s">
        <v>383</v>
      </c>
      <c r="R16" s="1069" t="s">
        <v>1244</v>
      </c>
      <c r="S16" s="1070" t="s">
        <v>1245</v>
      </c>
    </row>
    <row r="17" spans="1:29" x14ac:dyDescent="0.3">
      <c r="A17" s="981"/>
      <c r="B17" s="981"/>
      <c r="C17" s="981"/>
      <c r="D17" s="981"/>
      <c r="E17" s="1094"/>
      <c r="F17" s="1094"/>
      <c r="J17" s="759" t="s">
        <v>1246</v>
      </c>
      <c r="K17" s="1145">
        <v>2008</v>
      </c>
      <c r="L17" s="1034">
        <v>0.93700000000000006</v>
      </c>
      <c r="M17" s="1035">
        <f>1-L17</f>
        <v>6.2999999999999945E-2</v>
      </c>
      <c r="N17" s="1209">
        <v>127602.45454545454</v>
      </c>
      <c r="O17" s="1209">
        <f>N17*0.995</f>
        <v>126964.44227272728</v>
      </c>
      <c r="Q17" s="1057">
        <v>2014</v>
      </c>
      <c r="R17" s="726">
        <v>7826</v>
      </c>
      <c r="S17" s="1071">
        <v>711.4545454545455</v>
      </c>
    </row>
    <row r="18" spans="1:29" x14ac:dyDescent="0.3">
      <c r="E18" s="1094"/>
      <c r="F18" s="1094"/>
      <c r="J18" s="760" t="s">
        <v>1246</v>
      </c>
      <c r="K18" s="459">
        <v>2009</v>
      </c>
      <c r="L18" s="1010">
        <v>0.875</v>
      </c>
      <c r="M18" s="1011">
        <f t="shared" ref="M18:M32" si="2">1-L18</f>
        <v>0.125</v>
      </c>
      <c r="N18" s="1210">
        <v>64141.36363636364</v>
      </c>
      <c r="O18" s="1209">
        <f t="shared" ref="O18:O30" si="3">N18*0.99</f>
        <v>63499.950000000004</v>
      </c>
      <c r="Q18" s="1057">
        <v>2015</v>
      </c>
      <c r="R18" s="726">
        <v>11917</v>
      </c>
      <c r="S18" s="1071">
        <v>1083.3636363636363</v>
      </c>
    </row>
    <row r="19" spans="1:29" ht="15" thickBot="1" x14ac:dyDescent="0.35">
      <c r="A19" s="1033" t="s">
        <v>1247</v>
      </c>
      <c r="E19" s="1094"/>
      <c r="F19" s="1094"/>
      <c r="J19" s="760" t="s">
        <v>1246</v>
      </c>
      <c r="K19" s="459">
        <v>2010</v>
      </c>
      <c r="L19" s="1010">
        <v>0.96699999999999997</v>
      </c>
      <c r="M19" s="1011">
        <f t="shared" si="2"/>
        <v>3.3000000000000029E-2</v>
      </c>
      <c r="N19" s="1210">
        <v>209974</v>
      </c>
      <c r="O19" s="1209">
        <f t="shared" si="3"/>
        <v>207874.26</v>
      </c>
      <c r="Q19" s="1057">
        <v>2016</v>
      </c>
      <c r="R19" s="726">
        <v>5227</v>
      </c>
      <c r="S19" s="1071">
        <v>475.18181818181819</v>
      </c>
    </row>
    <row r="20" spans="1:29" ht="58.2" thickBot="1" x14ac:dyDescent="0.35">
      <c r="A20" s="1108" t="s">
        <v>383</v>
      </c>
      <c r="B20" s="1109" t="s">
        <v>1242</v>
      </c>
      <c r="C20" s="1109" t="s">
        <v>1248</v>
      </c>
      <c r="D20" s="1110" t="s">
        <v>1249</v>
      </c>
      <c r="E20" s="1111" t="s">
        <v>1243</v>
      </c>
      <c r="F20" s="1115" t="s">
        <v>1250</v>
      </c>
      <c r="G20" s="1100" t="s">
        <v>1251</v>
      </c>
      <c r="H20" s="1073" t="s">
        <v>1252</v>
      </c>
      <c r="J20" s="760" t="s">
        <v>1246</v>
      </c>
      <c r="K20" s="459">
        <v>2011</v>
      </c>
      <c r="L20" s="1010">
        <v>0.95899999999999996</v>
      </c>
      <c r="M20" s="1011">
        <f t="shared" si="2"/>
        <v>4.1000000000000036E-2</v>
      </c>
      <c r="N20" s="1210">
        <v>77650</v>
      </c>
      <c r="O20" s="1209">
        <f t="shared" si="3"/>
        <v>76873.5</v>
      </c>
      <c r="Q20" s="1057">
        <v>2017</v>
      </c>
      <c r="R20" s="726">
        <v>5330</v>
      </c>
      <c r="S20" s="1071">
        <v>484.54545454545456</v>
      </c>
    </row>
    <row r="21" spans="1:29" x14ac:dyDescent="0.3">
      <c r="A21" s="998">
        <v>2004</v>
      </c>
      <c r="B21" s="1112">
        <v>50296</v>
      </c>
      <c r="C21" s="1113">
        <v>1</v>
      </c>
      <c r="D21" s="1114">
        <f t="shared" ref="D21:D27" si="4">B21</f>
        <v>50296</v>
      </c>
      <c r="E21" s="881">
        <v>0</v>
      </c>
      <c r="F21" s="1116">
        <f>E21/B21</f>
        <v>0</v>
      </c>
      <c r="G21" s="1101">
        <v>60027</v>
      </c>
      <c r="H21" s="1075"/>
      <c r="J21" s="760" t="s">
        <v>1246</v>
      </c>
      <c r="K21" s="459">
        <v>2012</v>
      </c>
      <c r="L21" s="1010">
        <v>0.97499999999999998</v>
      </c>
      <c r="M21" s="1011">
        <f t="shared" si="2"/>
        <v>2.5000000000000022E-2</v>
      </c>
      <c r="N21" s="1210">
        <v>94071.318181818177</v>
      </c>
      <c r="O21" s="1209">
        <f t="shared" si="3"/>
        <v>93130.604999999996</v>
      </c>
      <c r="Q21" s="1057">
        <v>2018</v>
      </c>
      <c r="R21" s="726">
        <v>14104</v>
      </c>
      <c r="S21" s="1071">
        <v>1282.1818181818182</v>
      </c>
    </row>
    <row r="22" spans="1:29" x14ac:dyDescent="0.3">
      <c r="A22" s="290">
        <v>2005</v>
      </c>
      <c r="B22" s="1102">
        <v>66290</v>
      </c>
      <c r="C22" s="1103">
        <v>1</v>
      </c>
      <c r="D22" s="1104">
        <f t="shared" si="4"/>
        <v>66290</v>
      </c>
      <c r="E22" s="1072">
        <v>0</v>
      </c>
      <c r="F22" s="1116">
        <f t="shared" ref="F22:F38" si="5">E22/B22</f>
        <v>0</v>
      </c>
      <c r="G22" s="1101">
        <v>78951</v>
      </c>
      <c r="H22" s="1075"/>
      <c r="J22" s="760" t="s">
        <v>1246</v>
      </c>
      <c r="K22" s="459">
        <v>2013</v>
      </c>
      <c r="L22" s="1010">
        <v>0.77100000000000002</v>
      </c>
      <c r="M22" s="1011">
        <f t="shared" si="2"/>
        <v>0.22899999999999998</v>
      </c>
      <c r="N22" s="1210">
        <v>36557</v>
      </c>
      <c r="O22" s="1209">
        <f t="shared" si="3"/>
        <v>36191.43</v>
      </c>
      <c r="Q22" s="1057">
        <v>2019</v>
      </c>
      <c r="R22" s="726"/>
      <c r="S22" s="1071"/>
    </row>
    <row r="23" spans="1:29" x14ac:dyDescent="0.3">
      <c r="A23" s="290">
        <v>2006</v>
      </c>
      <c r="B23" s="1102">
        <v>34643</v>
      </c>
      <c r="C23" s="1103">
        <v>1</v>
      </c>
      <c r="D23" s="1104">
        <f t="shared" si="4"/>
        <v>34643</v>
      </c>
      <c r="E23" s="1072">
        <v>0</v>
      </c>
      <c r="F23" s="1116">
        <f t="shared" si="5"/>
        <v>0</v>
      </c>
      <c r="G23" s="1101">
        <v>38616</v>
      </c>
      <c r="H23" s="1075"/>
      <c r="J23" s="760" t="s">
        <v>1246</v>
      </c>
      <c r="K23" s="1146">
        <v>2014</v>
      </c>
      <c r="L23" s="1413">
        <f>1-M23</f>
        <v>0.97399999999999998</v>
      </c>
      <c r="M23" s="1412">
        <v>2.5999999999999999E-2</v>
      </c>
      <c r="N23" s="1210">
        <v>146700.86363636365</v>
      </c>
      <c r="O23" s="1209">
        <f t="shared" si="3"/>
        <v>145233.85500000001</v>
      </c>
      <c r="Q23" s="1057">
        <v>2020</v>
      </c>
      <c r="R23" s="726">
        <v>127719</v>
      </c>
      <c r="S23" s="1071">
        <v>11610.818181818182</v>
      </c>
    </row>
    <row r="24" spans="1:29" x14ac:dyDescent="0.3">
      <c r="A24" s="290">
        <v>2007</v>
      </c>
      <c r="B24" s="1102">
        <v>90150</v>
      </c>
      <c r="C24" s="1103">
        <v>1</v>
      </c>
      <c r="D24" s="1104">
        <f t="shared" si="4"/>
        <v>90150</v>
      </c>
      <c r="E24" s="1072">
        <v>0</v>
      </c>
      <c r="F24" s="1116">
        <f t="shared" si="5"/>
        <v>0</v>
      </c>
      <c r="G24" s="1101">
        <v>109974</v>
      </c>
      <c r="H24" s="1075"/>
      <c r="J24" s="760" t="s">
        <v>1246</v>
      </c>
      <c r="K24" s="459">
        <v>2015</v>
      </c>
      <c r="L24" s="1010">
        <v>0.98099999999999998</v>
      </c>
      <c r="M24" s="1135">
        <f t="shared" si="2"/>
        <v>1.9000000000000017E-2</v>
      </c>
      <c r="N24" s="1210">
        <v>10443</v>
      </c>
      <c r="O24" s="1209">
        <f t="shared" si="3"/>
        <v>10338.57</v>
      </c>
      <c r="Q24" s="1057">
        <v>2021</v>
      </c>
      <c r="R24" s="726">
        <v>13810</v>
      </c>
      <c r="S24" s="1071">
        <v>1255.4545454545455</v>
      </c>
    </row>
    <row r="25" spans="1:29" x14ac:dyDescent="0.3">
      <c r="A25" s="290">
        <v>2008</v>
      </c>
      <c r="B25" s="1102">
        <v>40490</v>
      </c>
      <c r="C25" s="1103">
        <v>1</v>
      </c>
      <c r="D25" s="1104">
        <f t="shared" si="4"/>
        <v>40490</v>
      </c>
      <c r="E25" s="1072">
        <v>0</v>
      </c>
      <c r="F25" s="1116">
        <f t="shared" si="5"/>
        <v>0</v>
      </c>
      <c r="G25" s="1101">
        <v>66040</v>
      </c>
      <c r="H25" s="1075"/>
      <c r="J25" s="760" t="s">
        <v>1246</v>
      </c>
      <c r="K25" s="1146">
        <v>2016</v>
      </c>
      <c r="L25" s="1413">
        <f t="shared" ref="L25:L26" si="6">1-M25</f>
        <v>0.99299999999999999</v>
      </c>
      <c r="M25" s="1412">
        <v>7.0000000000000001E-3</v>
      </c>
      <c r="N25" s="1210">
        <v>55190</v>
      </c>
      <c r="O25" s="1209">
        <f t="shared" si="3"/>
        <v>54638.1</v>
      </c>
      <c r="Q25" s="1057"/>
      <c r="R25" s="813"/>
      <c r="S25" s="291"/>
    </row>
    <row r="26" spans="1:29" x14ac:dyDescent="0.3">
      <c r="A26" s="290">
        <v>2009</v>
      </c>
      <c r="B26" s="1102">
        <v>40922</v>
      </c>
      <c r="C26" s="1103">
        <v>1</v>
      </c>
      <c r="D26" s="1104">
        <f t="shared" si="4"/>
        <v>40922</v>
      </c>
      <c r="E26" s="1072">
        <v>0</v>
      </c>
      <c r="F26" s="1116">
        <f t="shared" si="5"/>
        <v>0</v>
      </c>
      <c r="G26" s="1101">
        <v>48552</v>
      </c>
      <c r="H26" s="1075"/>
      <c r="J26" s="760" t="s">
        <v>1246</v>
      </c>
      <c r="K26" s="1146">
        <v>2017</v>
      </c>
      <c r="L26" s="1413">
        <f t="shared" si="6"/>
        <v>1</v>
      </c>
      <c r="M26" s="1412">
        <v>0</v>
      </c>
      <c r="N26" s="1210">
        <v>10040</v>
      </c>
      <c r="O26" s="1209">
        <f t="shared" si="3"/>
        <v>9939.6</v>
      </c>
      <c r="Q26" s="1057"/>
      <c r="R26" s="813"/>
      <c r="S26" s="291"/>
    </row>
    <row r="27" spans="1:29" ht="15" thickBot="1" x14ac:dyDescent="0.35">
      <c r="A27" s="290">
        <v>2010</v>
      </c>
      <c r="B27" s="1102">
        <v>31086</v>
      </c>
      <c r="C27" s="1103">
        <v>1</v>
      </c>
      <c r="D27" s="1104">
        <f t="shared" si="4"/>
        <v>31086</v>
      </c>
      <c r="E27" s="1072">
        <v>0</v>
      </c>
      <c r="F27" s="1116">
        <f t="shared" si="5"/>
        <v>0</v>
      </c>
      <c r="G27" s="1101">
        <v>43248</v>
      </c>
      <c r="H27" s="1075"/>
      <c r="J27" s="1015" t="s">
        <v>1246</v>
      </c>
      <c r="K27" s="1147">
        <v>2018</v>
      </c>
      <c r="L27" s="1036">
        <v>0.96099999999999997</v>
      </c>
      <c r="M27" s="1037">
        <f t="shared" si="2"/>
        <v>3.9000000000000035E-2</v>
      </c>
      <c r="N27" s="1210">
        <v>31001</v>
      </c>
      <c r="O27" s="1209">
        <f t="shared" si="3"/>
        <v>30690.989999999998</v>
      </c>
      <c r="Q27" s="292"/>
      <c r="R27" s="999"/>
      <c r="S27" s="293"/>
    </row>
    <row r="28" spans="1:29" x14ac:dyDescent="0.3">
      <c r="A28" s="290">
        <v>2011</v>
      </c>
      <c r="B28" s="1119">
        <f>D43</f>
        <v>49325</v>
      </c>
      <c r="C28" s="1105">
        <v>0.97</v>
      </c>
      <c r="D28" s="1104">
        <f t="shared" ref="D28:D38" si="7">B28*C28</f>
        <v>47845.25</v>
      </c>
      <c r="E28" s="1106">
        <f>B28*(1-C28)</f>
        <v>1479.7500000000014</v>
      </c>
      <c r="F28" s="1116">
        <f t="shared" si="5"/>
        <v>3.0000000000000027E-2</v>
      </c>
      <c r="G28" s="1101">
        <v>41781</v>
      </c>
      <c r="H28" s="1074">
        <v>11106</v>
      </c>
      <c r="J28" s="1016" t="s">
        <v>1253</v>
      </c>
      <c r="K28" s="1146">
        <v>2019</v>
      </c>
      <c r="L28" s="1133">
        <v>0.95</v>
      </c>
      <c r="M28" s="1134">
        <v>0.04</v>
      </c>
      <c r="N28" s="1210">
        <v>13108</v>
      </c>
      <c r="O28" s="1209">
        <f t="shared" si="3"/>
        <v>12976.92</v>
      </c>
      <c r="Q28" s="1068" t="s">
        <v>1254</v>
      </c>
    </row>
    <row r="29" spans="1:29" x14ac:dyDescent="0.3">
      <c r="A29" s="290">
        <v>2012</v>
      </c>
      <c r="B29" s="1119">
        <f t="shared" ref="B29:B38" si="8">D44</f>
        <v>36648</v>
      </c>
      <c r="C29" s="1103">
        <v>0.7</v>
      </c>
      <c r="D29" s="1104">
        <f t="shared" si="7"/>
        <v>25653.599999999999</v>
      </c>
      <c r="E29" s="1106">
        <f t="shared" ref="E29:E38" si="9">B29*(1-C29)</f>
        <v>10994.400000000001</v>
      </c>
      <c r="F29" s="1116">
        <f t="shared" si="5"/>
        <v>0.30000000000000004</v>
      </c>
      <c r="G29" s="1101">
        <v>41220</v>
      </c>
      <c r="H29" s="1074">
        <v>10305</v>
      </c>
      <c r="J29" s="760" t="s">
        <v>1246</v>
      </c>
      <c r="K29" s="459">
        <v>2020</v>
      </c>
      <c r="L29" s="1010">
        <v>0.97399999999999998</v>
      </c>
      <c r="M29" s="1011">
        <f t="shared" si="2"/>
        <v>2.6000000000000023E-2</v>
      </c>
      <c r="N29" s="1210">
        <v>48138</v>
      </c>
      <c r="O29" s="1209">
        <f t="shared" si="3"/>
        <v>47656.62</v>
      </c>
    </row>
    <row r="30" spans="1:29" x14ac:dyDescent="0.3">
      <c r="A30" s="290">
        <v>2013</v>
      </c>
      <c r="B30" s="1119">
        <f t="shared" si="8"/>
        <v>29407</v>
      </c>
      <c r="C30" s="1103">
        <v>0.69699999999999995</v>
      </c>
      <c r="D30" s="1104">
        <f t="shared" si="7"/>
        <v>20496.679</v>
      </c>
      <c r="E30" s="1106">
        <f t="shared" si="9"/>
        <v>8910.3210000000017</v>
      </c>
      <c r="F30" s="1116">
        <f t="shared" si="5"/>
        <v>0.30300000000000005</v>
      </c>
      <c r="G30" s="1101">
        <v>28700</v>
      </c>
      <c r="H30" s="1074">
        <v>10618</v>
      </c>
      <c r="J30" s="760" t="s">
        <v>1246</v>
      </c>
      <c r="K30" s="459">
        <v>2021</v>
      </c>
      <c r="L30" s="1010">
        <f>1-M30</f>
        <v>0.94279999999999997</v>
      </c>
      <c r="M30" s="1011">
        <v>5.7200000000000001E-2</v>
      </c>
      <c r="N30" s="1210">
        <v>10699</v>
      </c>
      <c r="O30" s="1209">
        <f t="shared" si="3"/>
        <v>10592.01</v>
      </c>
    </row>
    <row r="31" spans="1:29" ht="15" thickBot="1" x14ac:dyDescent="0.35">
      <c r="A31" s="290">
        <v>2014</v>
      </c>
      <c r="B31" s="1119">
        <f t="shared" si="8"/>
        <v>58208</v>
      </c>
      <c r="C31" s="1105">
        <v>0.183</v>
      </c>
      <c r="D31" s="1104">
        <f t="shared" si="7"/>
        <v>10652.064</v>
      </c>
      <c r="E31" s="1106">
        <f t="shared" si="9"/>
        <v>47555.935999999994</v>
      </c>
      <c r="F31" s="1116">
        <f t="shared" si="5"/>
        <v>0.81699999999999995</v>
      </c>
      <c r="G31" s="1101">
        <v>35781</v>
      </c>
      <c r="H31" s="1074">
        <v>21653</v>
      </c>
      <c r="J31" s="1141"/>
      <c r="K31" s="1148">
        <v>2022</v>
      </c>
      <c r="L31" s="1142"/>
      <c r="M31" s="1143"/>
      <c r="N31" s="1144"/>
      <c r="S31" s="1033" t="s">
        <v>1255</v>
      </c>
    </row>
    <row r="32" spans="1:29" ht="15" thickBot="1" x14ac:dyDescent="0.35">
      <c r="A32" s="290">
        <v>2015</v>
      </c>
      <c r="B32" s="1119">
        <f t="shared" si="8"/>
        <v>58417</v>
      </c>
      <c r="C32" s="1103">
        <v>0.76</v>
      </c>
      <c r="D32" s="1104">
        <f t="shared" si="7"/>
        <v>44396.92</v>
      </c>
      <c r="E32" s="1106">
        <f t="shared" si="9"/>
        <v>14020.08</v>
      </c>
      <c r="F32" s="1116">
        <f t="shared" si="5"/>
        <v>0.24</v>
      </c>
      <c r="G32" s="1101">
        <v>63631</v>
      </c>
      <c r="H32" s="1074">
        <v>4062</v>
      </c>
      <c r="J32" s="1136" t="s">
        <v>1256</v>
      </c>
      <c r="K32" s="1137"/>
      <c r="L32" s="1138">
        <f>ROUND(AVERAGE($L$20,$L$21,$L$22,$L$24,$L$27,$L$29),1)</f>
        <v>0.9</v>
      </c>
      <c r="M32" s="1139">
        <f t="shared" si="2"/>
        <v>9.9999999999999978E-2</v>
      </c>
      <c r="N32" s="1140"/>
      <c r="S32" s="984" t="s">
        <v>1257</v>
      </c>
      <c r="T32" s="983" t="s">
        <v>1258</v>
      </c>
      <c r="U32" s="983" t="s">
        <v>1259</v>
      </c>
      <c r="V32" s="1250" t="s">
        <v>1260</v>
      </c>
      <c r="W32" s="983" t="s">
        <v>1261</v>
      </c>
      <c r="X32" s="1250" t="s">
        <v>895</v>
      </c>
      <c r="Y32" s="983" t="s">
        <v>1262</v>
      </c>
      <c r="Z32" s="1226" t="s">
        <v>1263</v>
      </c>
      <c r="AB32" s="1257" t="s">
        <v>1264</v>
      </c>
      <c r="AC32" s="1258" t="s">
        <v>1265</v>
      </c>
    </row>
    <row r="33" spans="1:29" ht="15" thickBot="1" x14ac:dyDescent="0.35">
      <c r="A33" s="290">
        <v>2016</v>
      </c>
      <c r="B33" s="1119">
        <f t="shared" si="8"/>
        <v>78026</v>
      </c>
      <c r="C33" s="1103">
        <v>0.54200000000000004</v>
      </c>
      <c r="D33" s="1104">
        <f t="shared" si="7"/>
        <v>42290.092000000004</v>
      </c>
      <c r="E33" s="1106">
        <f t="shared" si="9"/>
        <v>35735.907999999996</v>
      </c>
      <c r="F33" s="1116">
        <f t="shared" si="5"/>
        <v>0.45799999999999996</v>
      </c>
      <c r="G33" s="1101">
        <v>59393</v>
      </c>
      <c r="H33" s="1074">
        <v>4470</v>
      </c>
      <c r="J33" s="290" t="s">
        <v>424</v>
      </c>
      <c r="K33" s="813"/>
      <c r="L33" s="1001">
        <f>MIN($L$20,$L$21,$L$22,$L$24,$L$27,$L$29)</f>
        <v>0.77100000000000002</v>
      </c>
      <c r="M33" s="982">
        <f>MIN($M$17:$M$31)</f>
        <v>0</v>
      </c>
      <c r="N33" s="291"/>
      <c r="S33" s="1217">
        <v>2008</v>
      </c>
      <c r="T33" s="1218">
        <v>127602</v>
      </c>
      <c r="U33" s="1219">
        <f>V33/T33</f>
        <v>0.9900001567373552</v>
      </c>
      <c r="V33" s="1248">
        <v>126326</v>
      </c>
      <c r="W33" s="1220">
        <v>0.93700000000000006</v>
      </c>
      <c r="X33" s="1251">
        <f>1-W33</f>
        <v>6.2999999999999945E-2</v>
      </c>
      <c r="Y33" s="1218">
        <f>$V33*W33</f>
        <v>118367.46200000001</v>
      </c>
      <c r="Z33" s="1248">
        <f>$V33*X33</f>
        <v>7958.5379999999932</v>
      </c>
      <c r="AB33" s="1262">
        <f>E25</f>
        <v>0</v>
      </c>
      <c r="AC33" s="1259">
        <f>(AB33+Z33)/(V33+AB33)</f>
        <v>6.2999999999999945E-2</v>
      </c>
    </row>
    <row r="34" spans="1:29" ht="15" thickBot="1" x14ac:dyDescent="0.35">
      <c r="A34" s="290">
        <v>2017</v>
      </c>
      <c r="B34" s="1119">
        <f t="shared" si="8"/>
        <v>45068</v>
      </c>
      <c r="C34" s="1103">
        <v>0.41299999999999998</v>
      </c>
      <c r="D34" s="1104">
        <f t="shared" si="7"/>
        <v>18613.083999999999</v>
      </c>
      <c r="E34" s="1106">
        <f t="shared" si="9"/>
        <v>26454.915999999997</v>
      </c>
      <c r="F34" s="1116">
        <f t="shared" si="5"/>
        <v>0.58699999999999997</v>
      </c>
      <c r="G34" s="1101">
        <v>46432</v>
      </c>
      <c r="H34" s="1074">
        <v>10192</v>
      </c>
      <c r="J34" s="292" t="s">
        <v>426</v>
      </c>
      <c r="K34" s="999"/>
      <c r="L34" s="1001">
        <f>MAX($L$20,$L$21,$L$22,$L$24,$L$27,$L$29)</f>
        <v>0.98099999999999998</v>
      </c>
      <c r="M34" s="1000">
        <f>MAX($M$17:$M$31)</f>
        <v>0.22899999999999998</v>
      </c>
      <c r="N34" s="293"/>
      <c r="S34" s="1213">
        <v>2009</v>
      </c>
      <c r="T34" s="1081">
        <v>64141</v>
      </c>
      <c r="U34" s="1126">
        <f t="shared" ref="U34:U46" si="10">V34/T34</f>
        <v>0.99800439656382034</v>
      </c>
      <c r="V34" s="1255">
        <v>64013</v>
      </c>
      <c r="W34" s="1221">
        <v>0.875</v>
      </c>
      <c r="X34" s="1252">
        <f t="shared" ref="X34:X46" si="11">1-W34</f>
        <v>0.125</v>
      </c>
      <c r="Y34" s="1218">
        <f t="shared" ref="Y34:Y46" si="12">$V34*W34</f>
        <v>56011.375</v>
      </c>
      <c r="Z34" s="1248">
        <f t="shared" ref="Z34:Z46" si="13">$V34*X34</f>
        <v>8001.625</v>
      </c>
      <c r="AB34" s="1263">
        <f t="shared" ref="AB34:AB37" si="14">E26</f>
        <v>0</v>
      </c>
      <c r="AC34" s="1260">
        <f t="shared" ref="AC34:AC46" si="15">(AB34+Z34)/(V34+AB34)</f>
        <v>0.125</v>
      </c>
    </row>
    <row r="35" spans="1:29" x14ac:dyDescent="0.3">
      <c r="A35" s="290">
        <v>2018</v>
      </c>
      <c r="B35" s="1119">
        <f t="shared" si="8"/>
        <v>56958</v>
      </c>
      <c r="C35" s="1103">
        <v>0.317</v>
      </c>
      <c r="D35" s="1104">
        <f t="shared" si="7"/>
        <v>18055.686000000002</v>
      </c>
      <c r="E35" s="1106">
        <f t="shared" si="9"/>
        <v>38902.314000000006</v>
      </c>
      <c r="F35" s="1116">
        <f t="shared" si="5"/>
        <v>0.68300000000000005</v>
      </c>
      <c r="S35" s="1213">
        <v>2010</v>
      </c>
      <c r="T35" s="1081">
        <v>209974</v>
      </c>
      <c r="U35" s="1126">
        <f t="shared" si="10"/>
        <v>0.99799975235029104</v>
      </c>
      <c r="V35" s="1255">
        <v>209554</v>
      </c>
      <c r="W35" s="1221">
        <v>0.96699999999999997</v>
      </c>
      <c r="X35" s="1252">
        <f t="shared" si="11"/>
        <v>3.3000000000000029E-2</v>
      </c>
      <c r="Y35" s="1218">
        <f t="shared" si="12"/>
        <v>202638.71799999999</v>
      </c>
      <c r="Z35" s="1248">
        <f t="shared" si="13"/>
        <v>6915.2820000000065</v>
      </c>
      <c r="AB35" s="1263">
        <f t="shared" si="14"/>
        <v>0</v>
      </c>
      <c r="AC35" s="1260">
        <f t="shared" si="15"/>
        <v>3.3000000000000029E-2</v>
      </c>
    </row>
    <row r="36" spans="1:29" x14ac:dyDescent="0.3">
      <c r="A36" s="290">
        <v>2019</v>
      </c>
      <c r="B36" s="1119">
        <f t="shared" si="8"/>
        <v>40025</v>
      </c>
      <c r="C36" s="1103">
        <v>0.76800000000000002</v>
      </c>
      <c r="D36" s="1104">
        <f t="shared" si="7"/>
        <v>30739.200000000001</v>
      </c>
      <c r="E36" s="1106">
        <f t="shared" si="9"/>
        <v>9285.7999999999993</v>
      </c>
      <c r="F36" s="1116">
        <f t="shared" si="5"/>
        <v>0.23199999999999998</v>
      </c>
      <c r="S36" s="1213">
        <v>2011</v>
      </c>
      <c r="T36" s="1081">
        <v>77650</v>
      </c>
      <c r="U36" s="1126">
        <f t="shared" si="10"/>
        <v>0.98900193174500961</v>
      </c>
      <c r="V36" s="1255">
        <v>76796</v>
      </c>
      <c r="W36" s="1221">
        <v>0.95899999999999996</v>
      </c>
      <c r="X36" s="1252">
        <f t="shared" si="11"/>
        <v>4.1000000000000036E-2</v>
      </c>
      <c r="Y36" s="1218">
        <f t="shared" si="12"/>
        <v>73647.364000000001</v>
      </c>
      <c r="Z36" s="1248">
        <f t="shared" si="13"/>
        <v>3148.6360000000027</v>
      </c>
      <c r="AB36" s="1263">
        <f t="shared" si="14"/>
        <v>1479.7500000000014</v>
      </c>
      <c r="AC36" s="1260">
        <f t="shared" si="15"/>
        <v>5.9129245008831009E-2</v>
      </c>
    </row>
    <row r="37" spans="1:29" x14ac:dyDescent="0.3">
      <c r="A37" s="290">
        <v>2020</v>
      </c>
      <c r="B37" s="1119">
        <f t="shared" si="8"/>
        <v>58813</v>
      </c>
      <c r="C37" s="1103">
        <v>0.53600000000000003</v>
      </c>
      <c r="D37" s="1104">
        <f t="shared" si="7"/>
        <v>31523.768000000004</v>
      </c>
      <c r="E37" s="1106">
        <f t="shared" si="9"/>
        <v>27289.231999999996</v>
      </c>
      <c r="F37" s="1116">
        <f t="shared" si="5"/>
        <v>0.46399999999999991</v>
      </c>
      <c r="S37" s="1213">
        <v>2012</v>
      </c>
      <c r="T37" s="1081">
        <v>94071</v>
      </c>
      <c r="U37" s="1126">
        <f t="shared" si="10"/>
        <v>1</v>
      </c>
      <c r="V37" s="1255">
        <v>94071</v>
      </c>
      <c r="W37" s="1221">
        <v>0.97499999999999998</v>
      </c>
      <c r="X37" s="1252">
        <f t="shared" si="11"/>
        <v>2.5000000000000022E-2</v>
      </c>
      <c r="Y37" s="1218">
        <f t="shared" si="12"/>
        <v>91719.224999999991</v>
      </c>
      <c r="Z37" s="1248">
        <f t="shared" si="13"/>
        <v>2351.7750000000019</v>
      </c>
      <c r="AB37" s="1263">
        <f t="shared" si="14"/>
        <v>10994.400000000001</v>
      </c>
      <c r="AC37" s="1260">
        <f t="shared" si="15"/>
        <v>0.12702730870486387</v>
      </c>
    </row>
    <row r="38" spans="1:29" x14ac:dyDescent="0.3">
      <c r="A38" s="290">
        <v>2021</v>
      </c>
      <c r="B38" s="1119">
        <f t="shared" si="8"/>
        <v>55496</v>
      </c>
      <c r="C38" s="1103">
        <v>0.85099999999999998</v>
      </c>
      <c r="D38" s="1104">
        <f t="shared" si="7"/>
        <v>47227.095999999998</v>
      </c>
      <c r="E38" s="1106">
        <f t="shared" si="9"/>
        <v>8268.9040000000005</v>
      </c>
      <c r="F38" s="1116">
        <f t="shared" si="5"/>
        <v>0.14900000000000002</v>
      </c>
      <c r="S38" s="1213">
        <v>2013</v>
      </c>
      <c r="T38" s="1081">
        <v>36557</v>
      </c>
      <c r="U38" s="1126">
        <f t="shared" si="10"/>
        <v>0.98200071121809773</v>
      </c>
      <c r="V38" s="1255">
        <v>35899</v>
      </c>
      <c r="W38" s="1221">
        <v>0.77100000000000002</v>
      </c>
      <c r="X38" s="1252">
        <f t="shared" si="11"/>
        <v>0.22899999999999998</v>
      </c>
      <c r="Y38" s="1218">
        <f t="shared" si="12"/>
        <v>27678.129000000001</v>
      </c>
      <c r="Z38" s="1248">
        <f t="shared" si="13"/>
        <v>8220.8709999999992</v>
      </c>
      <c r="AB38" s="1263">
        <f>E30</f>
        <v>8910.3210000000017</v>
      </c>
      <c r="AC38" s="1260">
        <f t="shared" si="15"/>
        <v>0.38231313525148042</v>
      </c>
    </row>
    <row r="39" spans="1:29" x14ac:dyDescent="0.3">
      <c r="A39" s="290">
        <v>2022</v>
      </c>
      <c r="B39" s="813"/>
      <c r="C39" s="813"/>
      <c r="D39" s="813"/>
      <c r="E39" s="1107"/>
      <c r="F39" s="1117"/>
      <c r="G39" s="1067"/>
      <c r="H39" s="1067"/>
      <c r="S39" s="1213">
        <v>2014</v>
      </c>
      <c r="T39" s="1081">
        <v>146701</v>
      </c>
      <c r="U39" s="1126">
        <f t="shared" si="10"/>
        <v>1</v>
      </c>
      <c r="V39" s="1255">
        <v>146701</v>
      </c>
      <c r="W39" s="1221">
        <v>0.97399999999999998</v>
      </c>
      <c r="X39" s="1252">
        <f t="shared" si="11"/>
        <v>2.6000000000000023E-2</v>
      </c>
      <c r="Y39" s="1218">
        <f t="shared" si="12"/>
        <v>142886.774</v>
      </c>
      <c r="Z39" s="1248">
        <f t="shared" si="13"/>
        <v>3814.2260000000033</v>
      </c>
      <c r="AB39" s="1263">
        <f t="shared" ref="AB39:AB46" si="16">E31+F62</f>
        <v>47789.770999999993</v>
      </c>
      <c r="AC39" s="1260">
        <f t="shared" si="15"/>
        <v>0.26532876976460745</v>
      </c>
    </row>
    <row r="40" spans="1:29" ht="15" thickBot="1" x14ac:dyDescent="0.35">
      <c r="A40" s="292">
        <v>2023</v>
      </c>
      <c r="B40" s="999"/>
      <c r="C40" s="999"/>
      <c r="D40" s="999"/>
      <c r="E40" s="999"/>
      <c r="F40" s="1118"/>
      <c r="G40" s="1067"/>
      <c r="H40" s="1067"/>
      <c r="S40" s="1213">
        <v>2015</v>
      </c>
      <c r="T40" s="1081">
        <v>10443</v>
      </c>
      <c r="U40" s="1126">
        <f t="shared" si="10"/>
        <v>1</v>
      </c>
      <c r="V40" s="1255">
        <v>10443</v>
      </c>
      <c r="W40" s="1221">
        <v>0.98</v>
      </c>
      <c r="X40" s="1252">
        <f t="shared" si="11"/>
        <v>2.0000000000000018E-2</v>
      </c>
      <c r="Y40" s="1218">
        <f t="shared" si="12"/>
        <v>10234.14</v>
      </c>
      <c r="Z40" s="1248">
        <f t="shared" si="13"/>
        <v>208.86000000000018</v>
      </c>
      <c r="AB40" s="1263">
        <f t="shared" si="16"/>
        <v>14595.039000000001</v>
      </c>
      <c r="AC40" s="1260">
        <f t="shared" si="15"/>
        <v>0.5912563280215356</v>
      </c>
    </row>
    <row r="41" spans="1:29" ht="15" thickBot="1" x14ac:dyDescent="0.35">
      <c r="A41" s="1068" t="s">
        <v>1266</v>
      </c>
      <c r="S41" s="1213">
        <v>2016</v>
      </c>
      <c r="T41" s="1081">
        <v>55190</v>
      </c>
      <c r="U41" s="1126">
        <f t="shared" si="10"/>
        <v>0.99400253669142957</v>
      </c>
      <c r="V41" s="1255">
        <v>54859</v>
      </c>
      <c r="W41" s="1221">
        <v>0.99299999999999999</v>
      </c>
      <c r="X41" s="1252">
        <f t="shared" si="11"/>
        <v>7.0000000000000062E-3</v>
      </c>
      <c r="Y41" s="1218">
        <f t="shared" si="12"/>
        <v>54474.987000000001</v>
      </c>
      <c r="Z41" s="1248">
        <f t="shared" si="13"/>
        <v>384.01300000000032</v>
      </c>
      <c r="AB41" s="1263">
        <f t="shared" si="16"/>
        <v>35753.330999999998</v>
      </c>
      <c r="AC41" s="1260">
        <f t="shared" si="15"/>
        <v>0.39881265166878882</v>
      </c>
    </row>
    <row r="42" spans="1:29" ht="26.7" customHeight="1" thickBot="1" x14ac:dyDescent="0.35">
      <c r="A42" s="1079" t="s">
        <v>1267</v>
      </c>
      <c r="B42" s="1079" t="s">
        <v>1268</v>
      </c>
      <c r="C42" s="1079" t="s">
        <v>822</v>
      </c>
      <c r="D42" s="1079" t="s">
        <v>823</v>
      </c>
      <c r="E42" s="1079" t="s">
        <v>1269</v>
      </c>
      <c r="F42" s="1085" t="s">
        <v>1270</v>
      </c>
      <c r="S42" s="1213">
        <v>2017</v>
      </c>
      <c r="T42" s="1081">
        <v>10040</v>
      </c>
      <c r="U42" s="1126">
        <f t="shared" si="10"/>
        <v>0.98296812749003981</v>
      </c>
      <c r="V42" s="1255">
        <v>9869</v>
      </c>
      <c r="W42" s="1221">
        <v>1</v>
      </c>
      <c r="X42" s="1252">
        <f t="shared" si="11"/>
        <v>0</v>
      </c>
      <c r="Y42" s="1218">
        <f t="shared" si="12"/>
        <v>9869</v>
      </c>
      <c r="Z42" s="1248">
        <f t="shared" si="13"/>
        <v>0</v>
      </c>
      <c r="AB42" s="1263">
        <f t="shared" si="16"/>
        <v>26480.591999999997</v>
      </c>
      <c r="AC42" s="1260">
        <f t="shared" si="15"/>
        <v>0.72849764035865927</v>
      </c>
    </row>
    <row r="43" spans="1:29" ht="28.8" x14ac:dyDescent="0.3">
      <c r="A43" s="1089" t="s">
        <v>1271</v>
      </c>
      <c r="B43" s="1082">
        <v>2011</v>
      </c>
      <c r="C43" s="1083">
        <v>542579</v>
      </c>
      <c r="D43" s="1120">
        <v>49325</v>
      </c>
      <c r="E43" s="1082" t="s">
        <v>1272</v>
      </c>
      <c r="F43" s="1086" t="s">
        <v>1273</v>
      </c>
      <c r="G43" s="988" t="s">
        <v>1274</v>
      </c>
      <c r="S43" s="1213">
        <v>2018</v>
      </c>
      <c r="T43" s="1081">
        <v>31001</v>
      </c>
      <c r="U43" s="1126">
        <f t="shared" si="10"/>
        <v>0.97600077416857522</v>
      </c>
      <c r="V43" s="1255">
        <v>30257</v>
      </c>
      <c r="W43" s="1221">
        <v>0.998</v>
      </c>
      <c r="X43" s="1252">
        <f t="shared" si="11"/>
        <v>2.0000000000000018E-3</v>
      </c>
      <c r="Y43" s="1218">
        <f t="shared" si="12"/>
        <v>30196.486000000001</v>
      </c>
      <c r="Z43" s="1248">
        <f t="shared" si="13"/>
        <v>60.514000000000053</v>
      </c>
      <c r="AB43" s="1263">
        <f t="shared" si="16"/>
        <v>39659.756000000008</v>
      </c>
      <c r="AC43" s="1260">
        <f t="shared" si="15"/>
        <v>0.5681080226319426</v>
      </c>
    </row>
    <row r="44" spans="1:29" ht="43.2" x14ac:dyDescent="0.3">
      <c r="A44" s="1090" t="s">
        <v>1271</v>
      </c>
      <c r="B44" s="1080">
        <v>2012</v>
      </c>
      <c r="C44" s="1081">
        <v>403132</v>
      </c>
      <c r="D44" s="1121">
        <v>36648</v>
      </c>
      <c r="E44" s="1080" t="s">
        <v>1275</v>
      </c>
      <c r="F44" s="1087" t="s">
        <v>1276</v>
      </c>
      <c r="G44" s="988" t="s">
        <v>1277</v>
      </c>
      <c r="S44" s="1213">
        <v>2019</v>
      </c>
      <c r="T44" s="1081">
        <v>13108</v>
      </c>
      <c r="U44" s="1126">
        <f t="shared" si="10"/>
        <v>0.96597497711321334</v>
      </c>
      <c r="V44" s="1255">
        <v>12662</v>
      </c>
      <c r="W44" s="1223">
        <v>0.98</v>
      </c>
      <c r="X44" s="1253">
        <f t="shared" si="11"/>
        <v>2.0000000000000018E-2</v>
      </c>
      <c r="Y44" s="1224">
        <f t="shared" si="12"/>
        <v>12408.76</v>
      </c>
      <c r="Z44" s="1249">
        <f t="shared" si="13"/>
        <v>253.24000000000024</v>
      </c>
      <c r="AA44" s="1225" t="s">
        <v>1278</v>
      </c>
      <c r="AB44" s="1263">
        <f t="shared" si="16"/>
        <v>10300.919</v>
      </c>
      <c r="AC44" s="1260">
        <f t="shared" si="15"/>
        <v>0.45961748155798482</v>
      </c>
    </row>
    <row r="45" spans="1:29" ht="28.8" x14ac:dyDescent="0.3">
      <c r="A45" s="1090" t="s">
        <v>1271</v>
      </c>
      <c r="B45" s="1080">
        <v>2013</v>
      </c>
      <c r="C45" s="1081">
        <v>323477</v>
      </c>
      <c r="D45" s="1121">
        <v>29407</v>
      </c>
      <c r="E45" s="1080" t="s">
        <v>1279</v>
      </c>
      <c r="F45" s="1087" t="s">
        <v>1280</v>
      </c>
      <c r="G45" s="988" t="s">
        <v>1281</v>
      </c>
      <c r="S45" s="1213">
        <v>2020</v>
      </c>
      <c r="T45" s="1081">
        <v>48138</v>
      </c>
      <c r="U45" s="1126">
        <f t="shared" si="10"/>
        <v>0.99700860027421168</v>
      </c>
      <c r="V45" s="1255">
        <v>47994</v>
      </c>
      <c r="W45" s="1221">
        <v>0.97399999999999998</v>
      </c>
      <c r="X45" s="1252">
        <f t="shared" si="11"/>
        <v>2.6000000000000023E-2</v>
      </c>
      <c r="Y45" s="1218">
        <f t="shared" si="12"/>
        <v>46746.155999999995</v>
      </c>
      <c r="Z45" s="1248">
        <f t="shared" si="13"/>
        <v>1247.8440000000012</v>
      </c>
      <c r="AB45" s="1263">
        <f t="shared" si="16"/>
        <v>38309.383999999998</v>
      </c>
      <c r="AC45" s="1260">
        <f t="shared" si="15"/>
        <v>0.45835083361273538</v>
      </c>
    </row>
    <row r="46" spans="1:29" ht="29.4" thickBot="1" x14ac:dyDescent="0.35">
      <c r="A46" s="1090" t="s">
        <v>1271</v>
      </c>
      <c r="B46" s="1080">
        <v>2014</v>
      </c>
      <c r="C46" s="1081">
        <v>640288</v>
      </c>
      <c r="D46" s="1121">
        <v>58208</v>
      </c>
      <c r="E46" s="1080" t="s">
        <v>1282</v>
      </c>
      <c r="F46" s="1087" t="s">
        <v>1283</v>
      </c>
      <c r="G46" s="988" t="s">
        <v>1284</v>
      </c>
      <c r="S46" s="1214">
        <v>2021</v>
      </c>
      <c r="T46" s="1215">
        <v>10699</v>
      </c>
      <c r="U46" s="1216">
        <f t="shared" si="10"/>
        <v>0.98196093092812409</v>
      </c>
      <c r="V46" s="1256">
        <v>10506</v>
      </c>
      <c r="W46" s="1222">
        <v>0.94199999999999995</v>
      </c>
      <c r="X46" s="1254">
        <f t="shared" si="11"/>
        <v>5.8000000000000052E-2</v>
      </c>
      <c r="Y46" s="1218">
        <f t="shared" si="12"/>
        <v>9896.652</v>
      </c>
      <c r="Z46" s="1248">
        <f t="shared" si="13"/>
        <v>609.34800000000052</v>
      </c>
      <c r="AB46" s="1264">
        <f t="shared" si="16"/>
        <v>9001.5869999999995</v>
      </c>
      <c r="AC46" s="1261">
        <f t="shared" si="15"/>
        <v>0.4926767723757941</v>
      </c>
    </row>
    <row r="47" spans="1:29" ht="28.8" x14ac:dyDescent="0.3">
      <c r="A47" s="1090" t="s">
        <v>1271</v>
      </c>
      <c r="B47" s="1080">
        <v>2015</v>
      </c>
      <c r="C47" s="1081">
        <v>642589</v>
      </c>
      <c r="D47" s="1121">
        <v>58417</v>
      </c>
      <c r="E47" s="1080" t="s">
        <v>1285</v>
      </c>
      <c r="F47" s="1087" t="s">
        <v>1286</v>
      </c>
      <c r="G47" s="988" t="s">
        <v>1287</v>
      </c>
      <c r="X47" s="1247"/>
    </row>
    <row r="48" spans="1:29" ht="28.8" x14ac:dyDescent="0.3">
      <c r="A48" s="1090" t="s">
        <v>1271</v>
      </c>
      <c r="B48" s="1080">
        <v>2016</v>
      </c>
      <c r="C48" s="1081">
        <v>858287</v>
      </c>
      <c r="D48" s="1121">
        <v>78026</v>
      </c>
      <c r="E48" s="1080" t="s">
        <v>1288</v>
      </c>
      <c r="F48" s="1087" t="s">
        <v>1289</v>
      </c>
      <c r="G48" s="988" t="s">
        <v>1290</v>
      </c>
    </row>
    <row r="49" spans="1:7" ht="28.8" x14ac:dyDescent="0.3">
      <c r="A49" s="1090" t="s">
        <v>1271</v>
      </c>
      <c r="B49" s="1080">
        <v>2017</v>
      </c>
      <c r="C49" s="1081">
        <v>495745</v>
      </c>
      <c r="D49" s="1121">
        <v>45068</v>
      </c>
      <c r="E49" s="1080" t="s">
        <v>1291</v>
      </c>
      <c r="F49" s="1087" t="s">
        <v>1292</v>
      </c>
      <c r="G49" s="988" t="s">
        <v>1293</v>
      </c>
    </row>
    <row r="50" spans="1:7" ht="28.8" x14ac:dyDescent="0.3">
      <c r="A50" s="1090" t="s">
        <v>1271</v>
      </c>
      <c r="B50" s="1080">
        <v>2018</v>
      </c>
      <c r="C50" s="1081">
        <v>627540</v>
      </c>
      <c r="D50" s="1121">
        <v>56958</v>
      </c>
      <c r="E50" s="1080" t="s">
        <v>1294</v>
      </c>
      <c r="F50" s="1087" t="s">
        <v>1295</v>
      </c>
      <c r="G50" s="988" t="s">
        <v>1296</v>
      </c>
    </row>
    <row r="51" spans="1:7" ht="28.8" x14ac:dyDescent="0.3">
      <c r="A51" s="1090" t="s">
        <v>1271</v>
      </c>
      <c r="B51" s="1080">
        <v>2019</v>
      </c>
      <c r="C51" s="1081">
        <v>440273</v>
      </c>
      <c r="D51" s="1121">
        <v>40025</v>
      </c>
      <c r="E51" s="1080" t="s">
        <v>1297</v>
      </c>
      <c r="F51" s="1087" t="s">
        <v>1298</v>
      </c>
      <c r="G51" s="988" t="s">
        <v>1299</v>
      </c>
    </row>
    <row r="52" spans="1:7" ht="28.8" x14ac:dyDescent="0.3">
      <c r="A52" s="1090" t="s">
        <v>1271</v>
      </c>
      <c r="B52" s="1080">
        <v>2020</v>
      </c>
      <c r="C52" s="1081">
        <v>646948</v>
      </c>
      <c r="D52" s="1121">
        <v>58813</v>
      </c>
      <c r="E52" s="1080" t="s">
        <v>1300</v>
      </c>
      <c r="F52" s="1087" t="s">
        <v>1301</v>
      </c>
      <c r="G52" s="988" t="s">
        <v>1302</v>
      </c>
    </row>
    <row r="53" spans="1:7" ht="28.8" x14ac:dyDescent="0.3">
      <c r="A53" s="1096" t="s">
        <v>1271</v>
      </c>
      <c r="B53" s="1097">
        <v>2021</v>
      </c>
      <c r="C53" s="1098">
        <v>610455</v>
      </c>
      <c r="D53" s="1122">
        <v>55496</v>
      </c>
      <c r="E53" s="1097" t="s">
        <v>1303</v>
      </c>
      <c r="F53" s="1099" t="s">
        <v>1304</v>
      </c>
      <c r="G53" s="988" t="s">
        <v>1305</v>
      </c>
    </row>
    <row r="54" spans="1:7" ht="28.8" x14ac:dyDescent="0.3">
      <c r="A54" s="1090" t="s">
        <v>1271</v>
      </c>
      <c r="B54" s="1080">
        <v>2022</v>
      </c>
      <c r="C54" s="1080"/>
      <c r="D54" s="1123"/>
      <c r="E54" s="1080"/>
      <c r="F54" s="1087"/>
    </row>
    <row r="55" spans="1:7" ht="28.8" x14ac:dyDescent="0.3">
      <c r="A55" s="1090" t="s">
        <v>1271</v>
      </c>
      <c r="B55" s="1080">
        <v>2023</v>
      </c>
      <c r="C55" s="1080"/>
      <c r="D55" s="1123"/>
      <c r="E55" s="1080"/>
      <c r="F55" s="1087"/>
    </row>
    <row r="56" spans="1:7" ht="29.4" thickBot="1" x14ac:dyDescent="0.35">
      <c r="A56" s="1091" t="s">
        <v>1271</v>
      </c>
      <c r="B56" s="1084">
        <v>2024</v>
      </c>
      <c r="C56" s="1084"/>
      <c r="D56" s="1124"/>
      <c r="E56" s="1084"/>
      <c r="F56" s="1088"/>
    </row>
    <row r="57" spans="1:7" ht="15" thickBot="1" x14ac:dyDescent="0.35">
      <c r="A57" s="1205"/>
      <c r="B57" s="1095"/>
      <c r="C57" s="1095"/>
      <c r="D57" s="1206"/>
      <c r="E57" s="1207"/>
      <c r="F57" s="1208"/>
    </row>
    <row r="58" spans="1:7" ht="15" thickBot="1" x14ac:dyDescent="0.35">
      <c r="A58" s="1201" t="s">
        <v>1306</v>
      </c>
      <c r="B58" s="1202"/>
      <c r="C58" s="1202"/>
      <c r="D58" s="1202"/>
      <c r="E58" s="1203" t="s">
        <v>1307</v>
      </c>
      <c r="F58" s="1204" t="s">
        <v>1308</v>
      </c>
    </row>
    <row r="59" spans="1:7" x14ac:dyDescent="0.3">
      <c r="A59" s="1200" t="s">
        <v>1309</v>
      </c>
      <c r="B59" s="1198">
        <v>2011</v>
      </c>
      <c r="C59" s="1198"/>
      <c r="D59" s="1198"/>
      <c r="E59" s="1198"/>
      <c r="F59" s="1199"/>
    </row>
    <row r="60" spans="1:7" x14ac:dyDescent="0.3">
      <c r="A60" s="1092" t="s">
        <v>1309</v>
      </c>
      <c r="B60" s="1080">
        <v>2012</v>
      </c>
      <c r="C60" s="1080"/>
      <c r="D60" s="1080"/>
      <c r="E60" s="1080"/>
      <c r="F60" s="1129"/>
    </row>
    <row r="61" spans="1:7" x14ac:dyDescent="0.3">
      <c r="A61" s="1092" t="s">
        <v>1309</v>
      </c>
      <c r="B61" s="1080">
        <v>2013</v>
      </c>
      <c r="C61" s="1080"/>
      <c r="D61" s="1080"/>
      <c r="E61" s="1080"/>
      <c r="F61" s="1129"/>
    </row>
    <row r="62" spans="1:7" x14ac:dyDescent="0.3">
      <c r="A62" s="1092" t="s">
        <v>1309</v>
      </c>
      <c r="B62" s="1080">
        <v>2014</v>
      </c>
      <c r="C62" s="1081">
        <v>2805</v>
      </c>
      <c r="D62" s="1080">
        <v>255</v>
      </c>
      <c r="E62" s="1125">
        <v>8.3000000000000004E-2</v>
      </c>
      <c r="F62" s="1130">
        <f t="shared" ref="F62:F67" si="17">D62*(1-E62)</f>
        <v>233.83500000000001</v>
      </c>
    </row>
    <row r="63" spans="1:7" x14ac:dyDescent="0.3">
      <c r="A63" s="1092" t="s">
        <v>1309</v>
      </c>
      <c r="B63" s="1080">
        <v>2015</v>
      </c>
      <c r="C63" s="1081">
        <v>6896</v>
      </c>
      <c r="D63" s="1080">
        <v>627</v>
      </c>
      <c r="E63" s="1125">
        <v>8.3000000000000004E-2</v>
      </c>
      <c r="F63" s="1130">
        <f t="shared" si="17"/>
        <v>574.95900000000006</v>
      </c>
    </row>
    <row r="64" spans="1:7" x14ac:dyDescent="0.3">
      <c r="A64" s="1092" t="s">
        <v>1309</v>
      </c>
      <c r="B64" s="1080">
        <v>2016</v>
      </c>
      <c r="C64" s="1080">
        <v>206</v>
      </c>
      <c r="D64" s="1080">
        <v>19</v>
      </c>
      <c r="E64" s="1125">
        <v>8.3000000000000004E-2</v>
      </c>
      <c r="F64" s="1130">
        <f t="shared" si="17"/>
        <v>17.423000000000002</v>
      </c>
    </row>
    <row r="65" spans="1:6" x14ac:dyDescent="0.3">
      <c r="A65" s="1092" t="s">
        <v>1309</v>
      </c>
      <c r="B65" s="1080">
        <v>2017</v>
      </c>
      <c r="C65" s="1080">
        <v>309</v>
      </c>
      <c r="D65" s="1080">
        <v>28</v>
      </c>
      <c r="E65" s="1125">
        <v>8.3000000000000004E-2</v>
      </c>
      <c r="F65" s="1130">
        <f t="shared" si="17"/>
        <v>25.676000000000002</v>
      </c>
    </row>
    <row r="66" spans="1:6" x14ac:dyDescent="0.3">
      <c r="A66" s="1092" t="s">
        <v>1309</v>
      </c>
      <c r="B66" s="1080">
        <v>2018</v>
      </c>
      <c r="C66" s="1081">
        <v>9083</v>
      </c>
      <c r="D66" s="1080">
        <v>826</v>
      </c>
      <c r="E66" s="1125">
        <v>8.3000000000000004E-2</v>
      </c>
      <c r="F66" s="1130">
        <f t="shared" si="17"/>
        <v>757.44200000000001</v>
      </c>
    </row>
    <row r="67" spans="1:6" x14ac:dyDescent="0.3">
      <c r="A67" s="1092" t="s">
        <v>1309</v>
      </c>
      <c r="B67" s="1080">
        <v>2019</v>
      </c>
      <c r="C67" s="1081">
        <v>12182</v>
      </c>
      <c r="D67" s="1081">
        <v>1107</v>
      </c>
      <c r="E67" s="1125">
        <v>8.3000000000000004E-2</v>
      </c>
      <c r="F67" s="1130">
        <f t="shared" si="17"/>
        <v>1015.119</v>
      </c>
    </row>
    <row r="68" spans="1:6" x14ac:dyDescent="0.3">
      <c r="A68" s="1092" t="s">
        <v>1309</v>
      </c>
      <c r="B68" s="1080">
        <v>2020</v>
      </c>
      <c r="C68" s="1081">
        <v>122698</v>
      </c>
      <c r="D68" s="1081">
        <v>11154</v>
      </c>
      <c r="E68" s="1126">
        <v>1.2E-2</v>
      </c>
      <c r="F68" s="1130">
        <f>D68*(1-E68)</f>
        <v>11020.152</v>
      </c>
    </row>
    <row r="69" spans="1:6" x14ac:dyDescent="0.3">
      <c r="A69" s="1092" t="s">
        <v>1309</v>
      </c>
      <c r="B69" s="1080">
        <v>2021</v>
      </c>
      <c r="C69" s="1081">
        <v>8789</v>
      </c>
      <c r="D69" s="1080">
        <v>799</v>
      </c>
      <c r="E69" s="1126">
        <v>8.3000000000000004E-2</v>
      </c>
      <c r="F69" s="1130">
        <f>D69*(1-E69)</f>
        <v>732.68299999999999</v>
      </c>
    </row>
    <row r="70" spans="1:6" x14ac:dyDescent="0.3">
      <c r="A70" s="1092" t="s">
        <v>1309</v>
      </c>
      <c r="B70" s="1080">
        <v>2022</v>
      </c>
      <c r="C70" s="1127"/>
      <c r="D70" s="1127"/>
      <c r="E70" s="1127"/>
      <c r="F70" s="1131"/>
    </row>
    <row r="71" spans="1:6" x14ac:dyDescent="0.3">
      <c r="A71" s="1092" t="s">
        <v>1309</v>
      </c>
      <c r="B71" s="1080">
        <v>2023</v>
      </c>
      <c r="C71" s="1127"/>
      <c r="D71" s="1127"/>
      <c r="E71" s="1127"/>
      <c r="F71" s="1131"/>
    </row>
    <row r="72" spans="1:6" ht="15" thickBot="1" x14ac:dyDescent="0.35">
      <c r="A72" s="1093" t="s">
        <v>1309</v>
      </c>
      <c r="B72" s="1084">
        <v>2024</v>
      </c>
      <c r="C72" s="1128"/>
      <c r="D72" s="1128"/>
      <c r="E72" s="1128"/>
      <c r="F72" s="1132"/>
    </row>
    <row r="73" spans="1:6" x14ac:dyDescent="0.3">
      <c r="C73" t="s">
        <v>822</v>
      </c>
      <c r="D73" t="s">
        <v>1242</v>
      </c>
      <c r="E73" t="s">
        <v>1307</v>
      </c>
      <c r="F73" t="s">
        <v>1308</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1150</v>
      </c>
      <c r="B1" t="s">
        <v>1310</v>
      </c>
      <c r="C1" t="s">
        <v>1311</v>
      </c>
      <c r="H1" s="679" t="s">
        <v>1312</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1313</v>
      </c>
      <c r="B1" s="496" t="s">
        <v>1311</v>
      </c>
      <c r="C1" s="496" t="s">
        <v>1314</v>
      </c>
      <c r="D1" s="496" t="s">
        <v>394</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662" t="s">
        <v>1315</v>
      </c>
      <c r="B1" s="2663"/>
    </row>
    <row r="2" spans="1:2" x14ac:dyDescent="0.3">
      <c r="A2" s="290" t="s">
        <v>1316</v>
      </c>
      <c r="B2" s="291" t="s">
        <v>1317</v>
      </c>
    </row>
    <row r="3" spans="1:2" x14ac:dyDescent="0.3">
      <c r="A3" s="290" t="s">
        <v>252</v>
      </c>
      <c r="B3" s="291" t="s">
        <v>1318</v>
      </c>
    </row>
    <row r="4" spans="1:2" x14ac:dyDescent="0.3">
      <c r="A4" s="290" t="s">
        <v>1319</v>
      </c>
      <c r="B4" s="291" t="s">
        <v>1320</v>
      </c>
    </row>
    <row r="5" spans="1:2" ht="15" thickBot="1" x14ac:dyDescent="0.35">
      <c r="A5" s="292" t="s">
        <v>1321</v>
      </c>
      <c r="B5" s="293" t="s">
        <v>1322</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Props1.xml><?xml version="1.0" encoding="utf-8"?>
<ds:datastoreItem xmlns:ds="http://schemas.openxmlformats.org/officeDocument/2006/customXml" ds:itemID="{B5217112-E9BE-47FB-A07C-AFB031609AAD}">
  <ds:schemaRefs>
    <ds:schemaRef ds:uri="http://schemas.microsoft.com/sharepoint/v3/contenttype/forms"/>
  </ds:schemaRefs>
</ds:datastoreItem>
</file>

<file path=customXml/itemProps2.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48</vt:i4>
      </vt:variant>
      <vt:variant>
        <vt:lpstr>Charts</vt:lpstr>
      </vt:variant>
      <vt:variant>
        <vt:i4>1</vt:i4>
      </vt:variant>
      <vt:variant>
        <vt:lpstr>Named Ranges</vt:lpstr>
      </vt:variant>
      <vt:variant>
        <vt:i4>89</vt:i4>
      </vt:variant>
    </vt:vector>
  </HeadingPairs>
  <TitlesOfParts>
    <vt:vector size="138" baseType="lpstr">
      <vt:lpstr>Check</vt:lpstr>
      <vt:lpstr>READ ME</vt:lpstr>
      <vt:lpstr>References</vt:lpstr>
      <vt:lpstr>Juvenile Data</vt:lpstr>
      <vt:lpstr>Smolts (OLD)</vt:lpstr>
      <vt:lpstr>Junk</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Hatchery releases Pivot</vt:lpstr>
      <vt:lpstr>Hatchery releases</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cp:lastModifiedBy>
  <cp:revision/>
  <dcterms:created xsi:type="dcterms:W3CDTF">2021-08-24T21:14:54Z</dcterms:created>
  <dcterms:modified xsi:type="dcterms:W3CDTF">2024-07-03T23:34:16Z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