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chartsheets/sheet1.xml" ContentType="application/vnd.openxmlformats-officedocument.spreadsheetml.chart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threadedComments/threadedComment1.xml" ContentType="application/vnd.ms-excel.threaded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2.xml" ContentType="application/vnd.openxmlformats-officedocument.drawing+xml"/>
  <Override PartName="/xl/comments6.xml" ContentType="application/vnd.openxmlformats-officedocument.spreadsheetml.comment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omments7.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drawings/drawing4.xml" ContentType="application/vnd.openxmlformats-officedocument.drawing+xml"/>
  <Override PartName="/xl/comments11.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omments12.xml" ContentType="application/vnd.openxmlformats-officedocument.spreadsheetml.comments+xml"/>
  <Override PartName="/xl/comments13.xml" ContentType="application/vnd.openxmlformats-officedocument.spreadsheetml.comments+xml"/>
  <Override PartName="/xl/threadedComments/threadedComment2.xml" ContentType="application/vnd.ms-excel.threadedcomments+xml"/>
  <Override PartName="/xl/pivotTables/pivotTable1.xml" ContentType="application/vnd.openxmlformats-officedocument.spreadsheetml.pivotTable+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drawings/drawing5.xml" ContentType="application/vnd.openxmlformats-officedocument.drawing+xml"/>
  <Override PartName="/xl/comments17.xml" ContentType="application/vnd.openxmlformats-officedocument.spreadsheetml.comments+xml"/>
  <Override PartName="/xl/threadedComments/threadedComment3.xml" ContentType="application/vnd.ms-excel.threaded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omments18.xml" ContentType="application/vnd.openxmlformats-officedocument.spreadsheetml.comments+xml"/>
  <Override PartName="/xl/drawings/drawing6.xml" ContentType="application/vnd.openxmlformats-officedocument.drawing+xml"/>
  <Override PartName="/xl/comments19.xml" ContentType="application/vnd.openxmlformats-officedocument.spreadsheetml.comments+xml"/>
  <Override PartName="/xl/threadedComments/threadedComment4.xml" ContentType="application/vnd.ms-excel.threadedcomments+xml"/>
  <Override PartName="/xl/pivotTables/pivotTable2.xml" ContentType="application/vnd.openxmlformats-officedocument.spreadsheetml.pivotTable+xml"/>
  <Override PartName="/xl/comments20.xml" ContentType="application/vnd.openxmlformats-officedocument.spreadsheetml.comments+xml"/>
  <Override PartName="/xl/pivotTables/pivotTable3.xml" ContentType="application/vnd.openxmlformats-officedocument.spreadsheetml.pivotTable+xml"/>
  <Override PartName="/xl/drawings/drawing7.xml" ContentType="application/vnd.openxmlformats-officedocument.drawing+xml"/>
  <Override PartName="/xl/charts/chart14.xml" ContentType="application/vnd.openxmlformats-officedocument.drawingml.chart+xml"/>
  <Override PartName="/xl/charts/style12.xml" ContentType="application/vnd.ms-office.chartstyle+xml"/>
  <Override PartName="/xl/charts/colors12.xml" ContentType="application/vnd.ms-office.chartcolorstyle+xml"/>
  <Override PartName="/xl/comments21.xml" ContentType="application/vnd.openxmlformats-officedocument.spreadsheetml.comments+xml"/>
  <Override PartName="/xl/pivotTables/pivotTable4.xml" ContentType="application/vnd.openxmlformats-officedocument.spreadsheetml.pivotTable+xml"/>
  <Override PartName="/xl/drawings/drawing8.xml" ContentType="application/vnd.openxmlformats-officedocument.drawing+xml"/>
  <Override PartName="/xl/charts/chart15.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5.xml" ContentType="application/vnd.openxmlformats-officedocument.spreadsheetml.pivotTable+xml"/>
  <Override PartName="/xl/comments22.xml" ContentType="application/vnd.openxmlformats-officedocument.spreadsheetml.comments+xml"/>
  <Override PartName="/xl/comments23.xml" ContentType="application/vnd.openxmlformats-officedocument.spreadsheetml.comments+xml"/>
  <Override PartName="/xl/drawings/drawing9.xml" ContentType="application/vnd.openxmlformats-officedocument.drawing+xml"/>
  <Override PartName="/xl/comments24.xml" ContentType="application/vnd.openxmlformats-officedocument.spreadsheetml.comments+xml"/>
  <Override PartName="/xl/charts/chart16.xml" ContentType="application/vnd.openxmlformats-officedocument.drawingml.chart+xml"/>
  <Override PartName="/xl/charts/style14.xml" ContentType="application/vnd.ms-office.chartstyle+xml"/>
  <Override PartName="/xl/charts/colors14.xml" ContentType="application/vnd.ms-office.chartcolorstyle+xml"/>
  <Override PartName="/xl/charts/chart17.xml" ContentType="application/vnd.openxmlformats-officedocument.drawingml.chart+xml"/>
  <Override PartName="/xl/charts/style15.xml" ContentType="application/vnd.ms-office.chartstyle+xml"/>
  <Override PartName="/xl/charts/colors15.xml" ContentType="application/vnd.ms-office.chartcolorstyle+xml"/>
  <Override PartName="/xl/charts/chart18.xml" ContentType="application/vnd.openxmlformats-officedocument.drawingml.chart+xml"/>
  <Override PartName="/xl/charts/style16.xml" ContentType="application/vnd.ms-office.chartstyle+xml"/>
  <Override PartName="/xl/charts/colors16.xml" ContentType="application/vnd.ms-office.chartcolorstyle+xml"/>
  <Override PartName="/xl/comments25.xml" ContentType="application/vnd.openxmlformats-officedocument.spreadsheetml.comments+xml"/>
  <Override PartName="/xl/drawings/drawing10.xml" ContentType="application/vnd.openxmlformats-officedocument.drawing+xml"/>
  <Override PartName="/xl/comments26.xml" ContentType="application/vnd.openxmlformats-officedocument.spreadsheetml.comments+xml"/>
  <Override PartName="/xl/comments27.xml" ContentType="application/vnd.openxmlformats-officedocument.spreadsheetml.comments+xml"/>
  <Override PartName="/xl/drawings/drawing11.xml" ContentType="application/vnd.openxmlformats-officedocument.drawing+xml"/>
  <Override PartName="/xl/charts/chart19.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6.xml" ContentType="application/vnd.openxmlformats-officedocument.spreadsheetml.pivotTable+xml"/>
  <Override PartName="/xl/comments28.xml" ContentType="application/vnd.openxmlformats-officedocument.spreadsheetml.comments+xml"/>
  <Override PartName="/xl/pivotTables/pivotTable7.xml" ContentType="application/vnd.openxmlformats-officedocument.spreadsheetml.pivotTable+xml"/>
  <Override PartName="/xl/comments29.xml" ContentType="application/vnd.openxmlformats-officedocument.spreadsheetml.comments+xml"/>
  <Override PartName="/xl/drawings/drawing12.xml" ContentType="application/vnd.openxmlformats-officedocument.drawing+xml"/>
  <Override PartName="/xl/comments30.xml" ContentType="application/vnd.openxmlformats-officedocument.spreadsheetml.comments+xml"/>
  <Override PartName="/xl/charts/chart20.xml" ContentType="application/vnd.openxmlformats-officedocument.drawingml.chart+xml"/>
  <Override PartName="/xl/charts/style18.xml" ContentType="application/vnd.ms-office.chartstyle+xml"/>
  <Override PartName="/xl/charts/colors18.xml" ContentType="application/vnd.ms-office.chartcolorstyle+xml"/>
  <Override PartName="/xl/comments31.xml" ContentType="application/vnd.openxmlformats-officedocument.spreadsheetml.comments+xml"/>
  <Override PartName="/xl/comments32.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hidePivotFieldList="1"/>
  <mc:AlternateContent xmlns:mc="http://schemas.openxmlformats.org/markup-compatibility/2006">
    <mc:Choice Requires="x15">
      <x15ac:absPath xmlns:x15ac="http://schemas.microsoft.com/office/spreadsheetml/2010/11/ac" url="C:\Users\StiffH\Documents\Rcode\Osoyoos_recruits_SAR\DATA\"/>
    </mc:Choice>
  </mc:AlternateContent>
  <xr:revisionPtr revIDLastSave="0" documentId="13_ncr:1_{13C48C6D-978E-4CD3-9C11-BF6408CA00BD}" xr6:coauthVersionLast="47" xr6:coauthVersionMax="47" xr10:uidLastSave="{00000000-0000-0000-0000-000000000000}"/>
  <bookViews>
    <workbookView xWindow="-108" yWindow="-108" windowWidth="23256" windowHeight="13176" tabRatio="877" firstSheet="8" activeTab="19" xr2:uid="{00000000-000D-0000-FFFF-FFFF00000000}"/>
  </bookViews>
  <sheets>
    <sheet name="Check" sheetId="40" state="hidden" r:id="rId1"/>
    <sheet name="READ ME" sheetId="8" r:id="rId2"/>
    <sheet name="References" sheetId="11" r:id="rId3"/>
    <sheet name="Juvenile Data" sheetId="10" r:id="rId4"/>
    <sheet name="Sockeye Fallback" sheetId="61" r:id="rId5"/>
    <sheet name="Smolts (OLD)" sheetId="1" state="hidden" r:id="rId6"/>
    <sheet name="Junk" sheetId="2" state="hidden" r:id="rId7"/>
    <sheet name="Adult Returns Data" sheetId="9" r:id="rId8"/>
    <sheet name="Smolt to Adult Survival" sheetId="4" r:id="rId9"/>
    <sheet name="Age Composition 221113" sheetId="25" state="hidden" r:id="rId10"/>
    <sheet name="ExportSurvival" sheetId="13" state="hidden" r:id="rId11"/>
    <sheet name="Adult Age Composition 230117" sheetId="27" r:id="rId12"/>
    <sheet name="Compare" sheetId="15" state="hidden" r:id="rId13"/>
    <sheet name="Forecast 2023" sheetId="28" state="hidden" r:id="rId14"/>
    <sheet name="Data at Age" sheetId="17" r:id="rId15"/>
    <sheet name="FW Age" sheetId="59" r:id="rId16"/>
    <sheet name="Forecast 2024" sheetId="53" state="hidden" r:id="rId17"/>
    <sheet name="Joint Staff Rprt 2022 Table 15" sheetId="41" r:id="rId18"/>
    <sheet name="USACE vs CBR FPC JSR" sheetId="60" r:id="rId19"/>
    <sheet name="Sockeye Returns Data" sheetId="16" r:id="rId20"/>
    <sheet name="recruits_deterministic (240212)" sheetId="57" r:id="rId21"/>
    <sheet name="recruits_deterministic (240124)" sheetId="55" state="hidden" r:id="rId22"/>
    <sheet name="OSO_NO_returns (PT240119)" sheetId="54" state="hidden" r:id="rId23"/>
    <sheet name="Stray Rates" sheetId="52" r:id="rId24"/>
    <sheet name="OK AUC and Deadpitch Results" sheetId="37" r:id="rId25"/>
    <sheet name="PIVOT Lake &amp; Spawning Ground" sheetId="38" r:id="rId26"/>
    <sheet name="Spawning Ground Ratios" sheetId="48" r:id="rId27"/>
    <sheet name="Spawn Grounds Sumry by Substock" sheetId="50" r:id="rId28"/>
    <sheet name="OSO_Sar_Report_Table_1" sheetId="45" state="hidden" r:id="rId29"/>
    <sheet name="Spawn Grounds Sumry by Origin1" sheetId="39" r:id="rId30"/>
    <sheet name="Spawn Grounds Sumry by Origin2" sheetId="51" r:id="rId31"/>
    <sheet name="Hatchery releases Pivot" sheetId="36" r:id="rId32"/>
    <sheet name="Hatchery releases" sheetId="35" r:id="rId33"/>
    <sheet name="BON Count Adjustments" sheetId="34" r:id="rId34"/>
    <sheet name="BON-WELLS Survival" sheetId="44" r:id="rId35"/>
    <sheet name="OSO_Sar_Report_Table_3" sheetId="46" r:id="rId36"/>
    <sheet name="Zosel 2006-2017" sheetId="43" r:id="rId37"/>
    <sheet name="AUC ESC Data" sheetId="30" r:id="rId38"/>
    <sheet name="OSO Spawners PC (Scott A)" sheetId="42" r:id="rId39"/>
    <sheet name="PIT - CRITFC 2022 Table 4" sheetId="33" state="hidden" r:id="rId40"/>
    <sheet name="total sox below bonn csv (CB)" sheetId="32" state="hidden" r:id="rId41"/>
    <sheet name="Survival Plot" sheetId="26" state="hidden" r:id="rId42"/>
    <sheet name="Desc Stats" sheetId="22" state="hidden" r:id="rId43"/>
    <sheet name="Annual Returns by Return Yr" sheetId="18" state="hidden" r:id="rId44"/>
    <sheet name="Annual Returns by Smolt Yr" sheetId="19" state="hidden" r:id="rId45"/>
    <sheet name="Hatchery Releases (old)" sheetId="24" state="hidden" r:id="rId46"/>
    <sheet name="Hatchery-Origin Returns (old)" sheetId="31" r:id="rId47"/>
    <sheet name="ATS Equivalents Calculation" sheetId="20" state="hidden" r:id="rId48"/>
    <sheet name="Williams 2014 SAR" sheetId="14" state="hidden" r:id="rId49"/>
    <sheet name="Lookup" sheetId="12" state="hidden" r:id="rId50"/>
  </sheets>
  <externalReferences>
    <externalReference r:id="rId51"/>
  </externalReferences>
  <definedNames>
    <definedName name="_xlnm._FilterDatabase" localSheetId="11" hidden="1">'Adult Age Composition 230117'!$A$1:$E$44</definedName>
    <definedName name="_xlnm._FilterDatabase" localSheetId="7" hidden="1">'Adult Returns Data'!$A$1:$AX$52</definedName>
    <definedName name="_xlnm._FilterDatabase" localSheetId="9" hidden="1">'Age Composition 221113'!$A$1:$E$44</definedName>
    <definedName name="_xlnm._FilterDatabase" localSheetId="14" hidden="1">'Data at Age'!$A$1:$AI$243</definedName>
    <definedName name="_xlnm._FilterDatabase" localSheetId="10" hidden="1">ExportSurvival!$A$1:$E$49</definedName>
    <definedName name="_xlnm._FilterDatabase" localSheetId="32" hidden="1">'Hatchery releases'!$A$2:$I$29</definedName>
    <definedName name="_xlnm._FilterDatabase" localSheetId="17" hidden="1">'Joint Staff Rprt 2022 Table 15'!$A$1:$K$43</definedName>
    <definedName name="_xlnm._FilterDatabase" localSheetId="24" hidden="1">'OK AUC and Deadpitch Results'!$A$1:$L$65</definedName>
    <definedName name="_xlnm._FilterDatabase" localSheetId="28" hidden="1">OSO_Sar_Report_Table_1!$N$1:$O$38</definedName>
    <definedName name="_xlnm._FilterDatabase" localSheetId="1" hidden="1">'READ ME'!$A$2:$C$45</definedName>
    <definedName name="_xlnm._FilterDatabase" localSheetId="8" hidden="1">'Smolt to Adult Survival'!$M$3:$N$3</definedName>
    <definedName name="_xlnm._FilterDatabase" localSheetId="19" hidden="1">'Sockeye Returns Data'!$A$1:$BI$48</definedName>
    <definedName name="AdultAgeComp">'Adult Age Composition 230117'!$A$1:$O$49</definedName>
    <definedName name="AdultReturns" localSheetId="43">#REF!</definedName>
    <definedName name="AdultReturns" localSheetId="44">#REF!</definedName>
    <definedName name="AdultReturns" localSheetId="48">#REF!</definedName>
    <definedName name="AdultReturns">'Adult Returns Data'!$B$4:$AX$52</definedName>
    <definedName name="AdultReturnsAUC" localSheetId="37">'AUC ESC Data'!$B$4:$AX$52</definedName>
    <definedName name="Alternative_OkSox_Total__Wells___d_s_Harvest___d_s_NatMort__G_R_U">'Sockeye Returns Data'!$BK$2</definedName>
    <definedName name="BON_Count_Adjustment">'BON Count Adjustments'!$A$26:$E$75</definedName>
    <definedName name="Bonn_to_Wells_Survival__CR">'Sockeye Returns Data'!$BI$2</definedName>
    <definedName name="BoostBonDamCountPct">'Sockeye Returns Data'!$O$50</definedName>
    <definedName name="BoostBonDamCounts">'Sockeye Returns Data'!$D$50</definedName>
    <definedName name="Deduct_Hatchery_Survivors">'Juvenile Data'!$AD$59</definedName>
    <definedName name="Estimated_Okanagan_Sockeye_Returns">'Sockeye Returns Data'!$AD$2</definedName>
    <definedName name="Estimated_Osoyoos_Sockeye_Returns__N_O">'Sockeye Returns Data'!$BW$2</definedName>
    <definedName name="Estimated_Skaha_Sockeye_Returns__H_O">'Sockeye Returns Data'!$BX$2</definedName>
    <definedName name="Estimated_Wenatchee_Sockeye_Returns__N_O">'Sockeye Returns Data'!$AC$2</definedName>
    <definedName name="JuvAbund" localSheetId="43">#REF!</definedName>
    <definedName name="JuvAbund" localSheetId="44">#REF!</definedName>
    <definedName name="JuvAbund" localSheetId="48">#REF!</definedName>
    <definedName name="JuvAbund">'Juvenile Data'!$B$4:$AL$58</definedName>
    <definedName name="Mainstem_Ok_Natural_Mortality?__A_B">'Sockeye Returns Data'!$BF$2</definedName>
    <definedName name="Mouth_to_Wells__Mort">'Sockeye Returns Data'!$BG$2</definedName>
    <definedName name="Mouth_to_Wells_Survival__CR">'Sockeye Returns Data'!$BH$2</definedName>
    <definedName name="NOAA_OCI_MeanRanks">'Smolt to Adult Survival'!$M$22:$M$45</definedName>
    <definedName name="OK_AUC_Deadpitch_Summary">'Spawn Grounds Sumry by Origin1'!$A$11:$J$32</definedName>
    <definedName name="Ok_Harvest_Rate__below_Wells">'Sockeye Returns Data'!$AX$2</definedName>
    <definedName name="Ok_Sox___Mouth__RRH_F_M">'Sockeye Returns Data'!$BC$2</definedName>
    <definedName name="Ok_Sox___Mouth__Wells_F_M">'Sockeye Returns Data'!$BD$2</definedName>
    <definedName name="Ok_Sox__RRH__incl._Harvest">'Sockeye Returns Data'!$AV$2</definedName>
    <definedName name="Ok_Sox__Wells__incl._Harvest">'Sockeye Returns Data'!$AW$2</definedName>
    <definedName name="OK_Sox_at_Bonn__PIT_DNA">'Sockeye Returns Data'!$AA$2</definedName>
    <definedName name="OK_Sox_at_Mouth__RRH_RI">'Sockeye Returns Data'!$Y$2</definedName>
    <definedName name="OK_Sox_at_Mouth__Wells_RI">'Sockeye Returns Data'!$Z$2</definedName>
    <definedName name="Ok_Sox_CR_Mouth">'Sockeye Returns Data'!$A$1:$AW$50</definedName>
    <definedName name="OK_Sox_Harvest_Below_RRH">'Sockeye Returns Data'!$AT$2</definedName>
    <definedName name="OK_Sox_Harvest_Below_Wells">'Sockeye Returns Data'!$AU$2</definedName>
    <definedName name="Ok_Sox_Nat_Mort_Rate_Bonn_RRH">'Sockeye Returns Data'!$AY$2</definedName>
    <definedName name="Ok_Sox_Nat_Mort_Rate_Bonn_Wells">'Sockeye Returns Data'!$AZ$2</definedName>
    <definedName name="Ok_Sox_Nat_Morts___fish__Bonn_RRH__M">'Sockeye Returns Data'!$BA$2</definedName>
    <definedName name="Ok_Sox_Nat_Morts___fish__Bonn_Wells__M">'Sockeye Returns Data'!$BB$2</definedName>
    <definedName name="OK_Stock_Comp_______Best">'Sockeye Returns Data'!$U$2</definedName>
    <definedName name="Ok_Stock_Comp__HGMP">'Sockeye Returns Data'!$T$2</definedName>
    <definedName name="Ok_Stock_Comp__SPA_PIT">'Sockeye Returns Data'!$S$2</definedName>
    <definedName name="Ok_Stock_Comp__Wells_RI">'Sockeye Returns Data'!$R$2</definedName>
    <definedName name="Ok_Stock_Comp__Wells_Rock__orig">'Sockeye Returns Data'!$Q$2</definedName>
    <definedName name="Okanagan_Sockeye_Stock_Comp">'Sockeye Returns Data'!$P$2</definedName>
    <definedName name="OSO_SAR_Report_Table1">OSO_Sar_Report_Table_1!$A$1:$M$41</definedName>
    <definedName name="OtherAge" localSheetId="43">#REF!</definedName>
    <definedName name="OtherAge" localSheetId="44">#REF!</definedName>
    <definedName name="OtherAge" localSheetId="48">#REF!</definedName>
    <definedName name="OtherAge">'Adult Returns Data'!$J$3</definedName>
    <definedName name="OtherAgeAUC" localSheetId="37">'AUC ESC Data'!$J$3</definedName>
    <definedName name="Rec_Harvest_Above_Wells">'Sockeye Returns Data'!$BE$2</definedName>
    <definedName name="ReduceRISdamCounts">'Sockeye Returns Data'!$D$53</definedName>
    <definedName name="RIS_BON">'Sockeye Returns Data'!$O$2</definedName>
    <definedName name="Same_as_OkSox_at_Mouth_calc?">'Sockeye Returns Data'!$BL$2</definedName>
    <definedName name="SAR">'Smolt to Adult Survival'!$B$9:$E$57</definedName>
    <definedName name="ShingleCreek_Nerkids">'Hatchery-Origin Returns (old)'!$Q$16:$S$28</definedName>
    <definedName name="Skaha_Returns_PenChannel">'Hatchery-Origin Returns (old)'!$A$2:$B$19</definedName>
    <definedName name="Skaha_Returns_Shingle">'Hatchery-Origin Returns (old)'!$B$59:$F$72</definedName>
    <definedName name="Skaha_Sockeye__all_Spawn_Grounds">'Sockeye Returns Data'!$BV$2</definedName>
    <definedName name="Skaha_Sockeye__Lower_Ok_River">'Sockeye Returns Data'!$BR$2</definedName>
    <definedName name="Skaha_Sockeye__Pen_Channel___Shingle">'Sockeye Returns Data'!$BS$2</definedName>
    <definedName name="SkahaPercentage">'Hatchery-Origin Returns (old)'!$K$17:$M$31</definedName>
    <definedName name="SkahaPercentWithWild">'Hatchery-Origin Returns (old)'!$S$33:$Z$50</definedName>
    <definedName name="SkahaSoxReturns">'Hatchery-Origin Returns (old)'!$A$20:$E$42</definedName>
    <definedName name="Smolt_Abundance">'Juvenile Data'!$B$9:$F$50</definedName>
    <definedName name="SockeyeReturnsData" localSheetId="43">'[1]Ok Sockeye Returns Data'!$A$1:$AA$48</definedName>
    <definedName name="SockeyeReturnsData" localSheetId="44">'[1]Ok Sockeye Returns Data'!$A$1:$AA$48</definedName>
    <definedName name="SockeyeReturnsData">'Sockeye Returns Data'!$A$1:$CK$51</definedName>
    <definedName name="Total_COMM_Harvest__Zones_1_6">'Sockeye Returns Data'!$AJ$2</definedName>
    <definedName name="Total_COMM_Harvest_Below_Bonn">'Sockeye Returns Data'!$AI$2</definedName>
    <definedName name="Total_Harvest_BONN_to_WELLS">'Sockeye Returns Data'!$AQ$2</definedName>
    <definedName name="Total_REC_Harvest__Lower_CR">'Sockeye Returns Data'!$AK$2</definedName>
    <definedName name="Total_REC_Harvest__McN_to_PR">'Sockeye Returns Data'!$AL$2</definedName>
    <definedName name="Total_REC_Harvest__Mid_Columbia">'Sockeye Returns Data'!$AP$2</definedName>
    <definedName name="Total_REC_Harvest__PR_to_RIS">'Sockeye Returns Data'!$AM$2</definedName>
    <definedName name="Total_REC_Harvest__RIS_to_RRH">'Sockeye Returns Data'!$AN$2</definedName>
    <definedName name="Total_REC_Harvest_RRH_to_WELLS">'Sockeye Returns Data'!$AO$2</definedName>
    <definedName name="Total_Sockeye__all_Spawn_Grounds">'Sockeye Returns Data'!$BT$2</definedName>
    <definedName name="Total_Sockeye__RockI___24_hr">'Sockeye Returns Data'!$G$2</definedName>
    <definedName name="Total_Sockeye__RRH____??_hour">'Sockeye Returns Data'!$H$2</definedName>
    <definedName name="Total_Sockeye__RRH____24_hour">'Sockeye Returns Data'!$I$2</definedName>
    <definedName name="Total_Sockeye__Snake">'Sockeye Returns Data'!$F$2</definedName>
    <definedName name="Total_Sockeye__TUM___24_hour">'Sockeye Returns Data'!$M$2</definedName>
    <definedName name="Total_Sockeye__Wells___16_hour">'Sockeye Returns Data'!$K$2</definedName>
    <definedName name="Total_Sockeye__Wells___24_hour">'Sockeye Returns Data'!$L$2</definedName>
    <definedName name="Total_Sockeye__Wells___orig">'Sockeye Returns Data'!$J$2</definedName>
    <definedName name="Total_Sockeye_Harvest_Below_Wells">'Sockeye Returns Data'!$AR$2</definedName>
    <definedName name="Total_Sox__Bonn____16_hour">'Sockeye Returns Data'!$D$2</definedName>
    <definedName name="Total_Sox__Bonn____24_hour">'Sockeye Returns Data'!$E$2</definedName>
    <definedName name="Total_Sox__Mouth____16_hour">'Sockeye Returns Data'!$B$2</definedName>
    <definedName name="Total_Sox__Mouth____24_hour">'Sockeye Returns Data'!$C$2</definedName>
    <definedName name="Wells_RRH_Count?">'Sockeye Returns Data'!$N$2</definedName>
    <definedName name="WEN_H_O">'Sockeye Returns Data'!$AG$2</definedName>
    <definedName name="WEN_Nat_Mort_N_O">'Sockeye Returns Data'!$AF$2</definedName>
    <definedName name="WEN_Sox_at_Mouth__BEST">'Sockeye Returns Data'!$AE$2</definedName>
    <definedName name="WEN_Sox_Harvest_Below_RRH">'Sockeye Returns Data'!$AS$2</definedName>
    <definedName name="WEN_Stock_Comp_______Best">'Sockeye Returns Data'!$V$2</definedName>
    <definedName name="Years">'Smolt to Adult Survival'!$B$4:$B$57</definedName>
  </definedNames>
  <calcPr calcId="191028"/>
  <pivotCaches>
    <pivotCache cacheId="0" r:id="rId52"/>
    <pivotCache cacheId="1" r:id="rId53"/>
    <pivotCache cacheId="2" r:id="rId54"/>
    <pivotCache cacheId="3" r:id="rId55"/>
    <pivotCache cacheId="4" r:id="rId56"/>
  </pivotCaches>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52" i="37" l="1"/>
  <c r="N52" i="37"/>
  <c r="N25" i="37" l="1"/>
  <c r="O25" i="37"/>
  <c r="K25" i="37"/>
  <c r="O24" i="37"/>
  <c r="N24" i="37"/>
  <c r="P53" i="37"/>
  <c r="Q53" i="37"/>
  <c r="BT46" i="16"/>
  <c r="BT48" i="16"/>
  <c r="BT47" i="16"/>
  <c r="AS48" i="16"/>
  <c r="AT47" i="16"/>
  <c r="AT48" i="16"/>
  <c r="AU47" i="16"/>
  <c r="AU48" i="16"/>
  <c r="C34" i="35"/>
  <c r="D34" i="35" s="1"/>
  <c r="C35" i="35"/>
  <c r="D35" i="35" s="1"/>
  <c r="B34" i="35"/>
  <c r="B35" i="35"/>
  <c r="B32" i="35" l="1"/>
  <c r="C32" i="35" s="1"/>
  <c r="D32" i="35" s="1"/>
  <c r="B33" i="35"/>
  <c r="C33" i="35" s="1"/>
  <c r="D33" i="35" s="1"/>
  <c r="B31" i="35"/>
  <c r="C31" i="35" s="1"/>
  <c r="D31" i="35" s="1"/>
  <c r="B30" i="35"/>
  <c r="C30" i="35" s="1"/>
  <c r="D30" i="35" s="1"/>
  <c r="B28" i="35"/>
  <c r="C28" i="35" s="1"/>
  <c r="D28" i="35" s="1"/>
  <c r="AP48" i="16"/>
  <c r="AP47" i="16"/>
  <c r="AP46" i="16"/>
  <c r="AR46" i="16" s="1"/>
  <c r="AP45" i="16"/>
  <c r="AP44" i="16"/>
  <c r="AP43" i="16"/>
  <c r="AP42" i="16"/>
  <c r="AP41" i="16"/>
  <c r="AP40" i="16"/>
  <c r="AP39" i="16"/>
  <c r="AP38" i="16"/>
  <c r="AP37" i="16"/>
  <c r="AP36" i="16"/>
  <c r="AP35" i="16"/>
  <c r="AP34" i="16"/>
  <c r="AP33" i="16"/>
  <c r="AP32" i="16"/>
  <c r="AP31" i="16"/>
  <c r="AP29" i="16"/>
  <c r="AQ46" i="16"/>
  <c r="L61" i="16"/>
  <c r="L62" i="16" s="1"/>
  <c r="L58" i="16"/>
  <c r="L59" i="16" s="1"/>
  <c r="C26" i="11"/>
  <c r="F95" i="34"/>
  <c r="F96" i="34"/>
  <c r="F97" i="34"/>
  <c r="F98" i="34"/>
  <c r="F99" i="34"/>
  <c r="F100" i="34"/>
  <c r="F92" i="34"/>
  <c r="F93" i="34"/>
  <c r="F94" i="34"/>
  <c r="F89" i="34"/>
  <c r="F90" i="34"/>
  <c r="F91" i="34"/>
  <c r="F86" i="34"/>
  <c r="F87" i="34"/>
  <c r="F88" i="34"/>
  <c r="F84" i="34"/>
  <c r="F85" i="34"/>
  <c r="F83" i="34"/>
  <c r="I100" i="34"/>
  <c r="E16" i="34"/>
  <c r="E17" i="34"/>
  <c r="E18" i="34"/>
  <c r="E19" i="34"/>
  <c r="E20" i="34"/>
  <c r="E21" i="34"/>
  <c r="E22" i="34"/>
  <c r="E15" i="34"/>
  <c r="BU48" i="16"/>
  <c r="BU47" i="16"/>
  <c r="B68" i="9"/>
  <c r="AQ48" i="16" l="1"/>
  <c r="J47" i="16"/>
  <c r="Q47" i="16" s="1"/>
  <c r="J48" i="16"/>
  <c r="Q48" i="16" s="1"/>
  <c r="J46" i="16"/>
  <c r="H47" i="9"/>
  <c r="I47" i="9"/>
  <c r="J47" i="9"/>
  <c r="C45" i="27"/>
  <c r="N45" i="27"/>
  <c r="C46" i="10"/>
  <c r="D46" i="10"/>
  <c r="E46" i="10"/>
  <c r="C47" i="10"/>
  <c r="D47" i="10"/>
  <c r="E47" i="10"/>
  <c r="V243" i="17"/>
  <c r="U243" i="17"/>
  <c r="D243" i="17" s="1"/>
  <c r="V242" i="17"/>
  <c r="U242" i="17"/>
  <c r="D242" i="17" s="1"/>
  <c r="V241" i="17"/>
  <c r="U241" i="17"/>
  <c r="D241" i="17" s="1"/>
  <c r="V240" i="17"/>
  <c r="U240" i="17"/>
  <c r="D240" i="17" s="1"/>
  <c r="V239" i="17"/>
  <c r="U239" i="17"/>
  <c r="D239" i="17" s="1"/>
  <c r="V238" i="17"/>
  <c r="U238" i="17"/>
  <c r="D238" i="17" s="1"/>
  <c r="I243" i="17"/>
  <c r="F243" i="17"/>
  <c r="I242" i="17"/>
  <c r="F242" i="17"/>
  <c r="I241" i="17"/>
  <c r="F241" i="17"/>
  <c r="I240" i="17"/>
  <c r="F240" i="17"/>
  <c r="I239" i="17"/>
  <c r="F239" i="17"/>
  <c r="I238" i="17"/>
  <c r="F238" i="17"/>
  <c r="E243" i="17"/>
  <c r="B243" i="17" s="1"/>
  <c r="E242" i="17"/>
  <c r="B242" i="17" s="1"/>
  <c r="E241" i="17"/>
  <c r="B241" i="17" s="1"/>
  <c r="E240" i="17"/>
  <c r="B240" i="17" s="1"/>
  <c r="E239" i="17"/>
  <c r="B239" i="17" s="1"/>
  <c r="E238" i="17"/>
  <c r="B238" i="17" s="1"/>
  <c r="E45" i="10"/>
  <c r="D45" i="10"/>
  <c r="E44" i="10"/>
  <c r="D44" i="10"/>
  <c r="E43" i="10"/>
  <c r="D43" i="10"/>
  <c r="E42" i="10"/>
  <c r="D42" i="10"/>
  <c r="E41" i="10"/>
  <c r="D41" i="10"/>
  <c r="E40" i="10"/>
  <c r="D40" i="10"/>
  <c r="E39" i="10"/>
  <c r="D39" i="10"/>
  <c r="E36" i="10"/>
  <c r="D36" i="10"/>
  <c r="E34" i="10"/>
  <c r="D34" i="10"/>
  <c r="E33" i="10"/>
  <c r="D33" i="10"/>
  <c r="E32" i="10"/>
  <c r="D32" i="10"/>
  <c r="E31" i="10"/>
  <c r="D31" i="10"/>
  <c r="E30" i="10"/>
  <c r="D30" i="10"/>
  <c r="E29" i="10"/>
  <c r="D29" i="10"/>
  <c r="E28" i="10"/>
  <c r="D28" i="10"/>
  <c r="E27" i="10"/>
  <c r="D27" i="10"/>
  <c r="E26" i="10"/>
  <c r="D26" i="10"/>
  <c r="E25" i="10"/>
  <c r="D25" i="10"/>
  <c r="E24" i="10"/>
  <c r="D24" i="10"/>
  <c r="E23" i="10"/>
  <c r="D23" i="10"/>
  <c r="E22" i="10"/>
  <c r="D22" i="10"/>
  <c r="C22" i="10"/>
  <c r="C45" i="10"/>
  <c r="C44" i="10"/>
  <c r="C43" i="10"/>
  <c r="C42" i="10"/>
  <c r="C41" i="10"/>
  <c r="C40" i="10"/>
  <c r="C39" i="10"/>
  <c r="C36" i="10"/>
  <c r="C34" i="10"/>
  <c r="C33" i="10"/>
  <c r="C32" i="10"/>
  <c r="C31" i="10"/>
  <c r="C30" i="10"/>
  <c r="C29" i="10"/>
  <c r="C28" i="10"/>
  <c r="C27" i="10"/>
  <c r="C26" i="10"/>
  <c r="C25" i="10"/>
  <c r="C24" i="10"/>
  <c r="C23" i="10"/>
  <c r="I237" i="17"/>
  <c r="I236" i="17"/>
  <c r="I235" i="17"/>
  <c r="I234" i="17"/>
  <c r="I233" i="17"/>
  <c r="I232" i="17"/>
  <c r="I231" i="17"/>
  <c r="I230" i="17"/>
  <c r="I229" i="17"/>
  <c r="I228" i="17"/>
  <c r="I227" i="17"/>
  <c r="I226" i="17"/>
  <c r="I225" i="17"/>
  <c r="I224" i="17"/>
  <c r="I223" i="17"/>
  <c r="I222" i="17"/>
  <c r="I221" i="17"/>
  <c r="I220" i="17"/>
  <c r="I219" i="17"/>
  <c r="I218" i="17"/>
  <c r="I217" i="17"/>
  <c r="I216" i="17"/>
  <c r="I215" i="17"/>
  <c r="I214" i="17"/>
  <c r="I213" i="17"/>
  <c r="I212" i="17"/>
  <c r="I211" i="17"/>
  <c r="I210" i="17"/>
  <c r="I209" i="17"/>
  <c r="I208" i="17"/>
  <c r="I207" i="17"/>
  <c r="I206" i="17"/>
  <c r="I205" i="17"/>
  <c r="I204" i="17"/>
  <c r="I203" i="17"/>
  <c r="I202" i="17"/>
  <c r="I201" i="17"/>
  <c r="I200" i="17"/>
  <c r="I199" i="17"/>
  <c r="I198" i="17"/>
  <c r="I197" i="17"/>
  <c r="I196" i="17"/>
  <c r="I195" i="17"/>
  <c r="I194" i="17"/>
  <c r="I193" i="17"/>
  <c r="I192" i="17"/>
  <c r="I191" i="17"/>
  <c r="I190" i="17"/>
  <c r="I189" i="17"/>
  <c r="I188" i="17"/>
  <c r="I187" i="17"/>
  <c r="I186" i="17"/>
  <c r="I185" i="17"/>
  <c r="I184" i="17"/>
  <c r="I183" i="17"/>
  <c r="I182" i="17"/>
  <c r="I181" i="17"/>
  <c r="I180" i="17"/>
  <c r="I179" i="17"/>
  <c r="I178" i="17"/>
  <c r="I177" i="17"/>
  <c r="I176" i="17"/>
  <c r="I175" i="17"/>
  <c r="I174" i="17"/>
  <c r="I173" i="17"/>
  <c r="I172" i="17"/>
  <c r="I171" i="17"/>
  <c r="I170" i="17"/>
  <c r="I169" i="17"/>
  <c r="I168" i="17"/>
  <c r="I167" i="17"/>
  <c r="I166" i="17"/>
  <c r="I165" i="17"/>
  <c r="I164" i="17"/>
  <c r="I163" i="17"/>
  <c r="I162" i="17"/>
  <c r="I161" i="17"/>
  <c r="I160" i="17"/>
  <c r="I159" i="17"/>
  <c r="I158" i="17"/>
  <c r="I157" i="17"/>
  <c r="I156" i="17"/>
  <c r="I155" i="17"/>
  <c r="I154" i="17"/>
  <c r="I153" i="17"/>
  <c r="I152" i="17"/>
  <c r="I151" i="17"/>
  <c r="I150" i="17"/>
  <c r="I149" i="17"/>
  <c r="I148" i="17"/>
  <c r="I147" i="17"/>
  <c r="I146" i="17"/>
  <c r="I145" i="17"/>
  <c r="I144" i="17"/>
  <c r="I143" i="17"/>
  <c r="I142" i="17"/>
  <c r="I141" i="17"/>
  <c r="I140" i="17"/>
  <c r="I139" i="17"/>
  <c r="I138" i="17"/>
  <c r="I137" i="17"/>
  <c r="I136" i="17"/>
  <c r="I135" i="17"/>
  <c r="I134" i="17"/>
  <c r="I133" i="17"/>
  <c r="I132" i="17"/>
  <c r="I131" i="17"/>
  <c r="I130" i="17"/>
  <c r="I129" i="17"/>
  <c r="I128" i="17"/>
  <c r="I127" i="17"/>
  <c r="I126" i="17"/>
  <c r="I125" i="17"/>
  <c r="I124" i="17"/>
  <c r="I123" i="17"/>
  <c r="I122" i="17"/>
  <c r="I121" i="17"/>
  <c r="I120" i="17"/>
  <c r="I119" i="17"/>
  <c r="I118" i="17"/>
  <c r="I117" i="17"/>
  <c r="I116" i="17"/>
  <c r="I115" i="17"/>
  <c r="I114" i="17"/>
  <c r="I113" i="17"/>
  <c r="I112" i="17"/>
  <c r="I111" i="17"/>
  <c r="I110" i="17"/>
  <c r="I109" i="17"/>
  <c r="I108" i="17"/>
  <c r="I107" i="17"/>
  <c r="I106" i="17"/>
  <c r="I105" i="17"/>
  <c r="I104" i="17"/>
  <c r="I103" i="17"/>
  <c r="I102" i="17"/>
  <c r="I101" i="17"/>
  <c r="I100" i="17"/>
  <c r="I99" i="17"/>
  <c r="I98" i="17"/>
  <c r="I97" i="17"/>
  <c r="I96" i="17"/>
  <c r="I95" i="17"/>
  <c r="AR48" i="16" l="1"/>
  <c r="X39" i="57"/>
  <c r="W39" i="57"/>
  <c r="M39" i="57"/>
  <c r="G39" i="57"/>
  <c r="D39" i="57"/>
  <c r="X38" i="57"/>
  <c r="W38" i="57"/>
  <c r="G38" i="57"/>
  <c r="D38" i="57"/>
  <c r="G37" i="57"/>
  <c r="D37" i="57"/>
  <c r="X36" i="57"/>
  <c r="W36" i="57"/>
  <c r="G36" i="57"/>
  <c r="D36" i="57"/>
  <c r="X35" i="57"/>
  <c r="W35" i="57"/>
  <c r="G35" i="57"/>
  <c r="D35" i="57"/>
  <c r="X34" i="57"/>
  <c r="W34" i="57"/>
  <c r="G34" i="57"/>
  <c r="D34" i="57"/>
  <c r="X33" i="57"/>
  <c r="W33" i="57"/>
  <c r="G33" i="57"/>
  <c r="D33" i="57"/>
  <c r="X32" i="57"/>
  <c r="W32" i="57"/>
  <c r="G32" i="57"/>
  <c r="D32" i="57"/>
  <c r="X31" i="57"/>
  <c r="W31" i="57"/>
  <c r="G31" i="57"/>
  <c r="D31" i="57"/>
  <c r="X30" i="57"/>
  <c r="W30" i="57"/>
  <c r="G30" i="57"/>
  <c r="D30" i="57"/>
  <c r="G29" i="57"/>
  <c r="D29" i="57"/>
  <c r="X28" i="57"/>
  <c r="W28" i="57"/>
  <c r="G28" i="57"/>
  <c r="D28" i="57"/>
  <c r="X27" i="57"/>
  <c r="W27" i="57"/>
  <c r="G27" i="57"/>
  <c r="D27" i="57"/>
  <c r="X26" i="57"/>
  <c r="W26" i="57"/>
  <c r="G26" i="57"/>
  <c r="D26" i="57"/>
  <c r="X25" i="57"/>
  <c r="W25" i="57"/>
  <c r="G25" i="57"/>
  <c r="D25" i="57"/>
  <c r="X24" i="57"/>
  <c r="W24" i="57"/>
  <c r="G24" i="57"/>
  <c r="D24" i="57"/>
  <c r="X23" i="57"/>
  <c r="W23" i="57"/>
  <c r="G23" i="57"/>
  <c r="D23" i="57"/>
  <c r="X22" i="57"/>
  <c r="W22" i="57"/>
  <c r="G22" i="57"/>
  <c r="D22" i="57"/>
  <c r="X21" i="57"/>
  <c r="W21" i="57"/>
  <c r="G21" i="57"/>
  <c r="D21" i="57"/>
  <c r="X20" i="57"/>
  <c r="W20" i="57"/>
  <c r="G20" i="57"/>
  <c r="D20" i="57"/>
  <c r="X19" i="57"/>
  <c r="W19" i="57"/>
  <c r="G19" i="57"/>
  <c r="D19" i="57"/>
  <c r="X18" i="57"/>
  <c r="W18" i="57"/>
  <c r="G18" i="57"/>
  <c r="D18" i="57"/>
  <c r="X17" i="57"/>
  <c r="G17" i="57"/>
  <c r="D17" i="57"/>
  <c r="X16" i="57"/>
  <c r="G16" i="57"/>
  <c r="D16" i="57"/>
  <c r="X15" i="57"/>
  <c r="G15" i="57"/>
  <c r="D15" i="57"/>
  <c r="X14" i="57"/>
  <c r="G14" i="57"/>
  <c r="D14" i="57"/>
  <c r="X13" i="57"/>
  <c r="G13" i="57"/>
  <c r="D13" i="57"/>
  <c r="X12" i="57"/>
  <c r="G12" i="57"/>
  <c r="D12" i="57"/>
  <c r="X11" i="57"/>
  <c r="G11" i="57"/>
  <c r="D11" i="57"/>
  <c r="X10" i="57"/>
  <c r="G10" i="57"/>
  <c r="D10" i="57"/>
  <c r="X9" i="57"/>
  <c r="G9" i="57"/>
  <c r="D9" i="57"/>
  <c r="X8" i="57"/>
  <c r="G8" i="57"/>
  <c r="D8" i="57"/>
  <c r="X7" i="57"/>
  <c r="G7" i="57"/>
  <c r="D7" i="57"/>
  <c r="X6" i="57"/>
  <c r="G6" i="57"/>
  <c r="D6" i="57"/>
  <c r="X5" i="57"/>
  <c r="G5" i="57"/>
  <c r="D5" i="57"/>
  <c r="X4" i="57"/>
  <c r="G4" i="57"/>
  <c r="D4" i="57"/>
  <c r="X3" i="57"/>
  <c r="G3" i="57"/>
  <c r="D3" i="57"/>
  <c r="X2" i="57"/>
  <c r="G2" i="57"/>
  <c r="D2" i="57"/>
  <c r="AK1" i="57"/>
  <c r="AE1" i="57"/>
  <c r="AA1" i="57"/>
  <c r="D48" i="9" l="1"/>
  <c r="W28" i="55" l="1"/>
  <c r="W30" i="55"/>
  <c r="W31" i="55"/>
  <c r="W32" i="55"/>
  <c r="W33" i="55"/>
  <c r="W34" i="55"/>
  <c r="W35" i="55"/>
  <c r="W36" i="55"/>
  <c r="W38" i="55"/>
  <c r="W39" i="55"/>
  <c r="W19" i="55"/>
  <c r="W20" i="55"/>
  <c r="W21" i="55"/>
  <c r="W22" i="55"/>
  <c r="W23" i="55"/>
  <c r="W24" i="55"/>
  <c r="W25" i="55"/>
  <c r="W26" i="55"/>
  <c r="W27" i="55"/>
  <c r="W18" i="55"/>
  <c r="X26" i="55"/>
  <c r="X27" i="55"/>
  <c r="X28" i="55"/>
  <c r="X30" i="55"/>
  <c r="X31" i="55"/>
  <c r="X32" i="55"/>
  <c r="X33" i="55"/>
  <c r="X34" i="55"/>
  <c r="X35" i="55"/>
  <c r="X36" i="55"/>
  <c r="X38" i="55"/>
  <c r="X39" i="55"/>
  <c r="X25" i="55"/>
  <c r="X3" i="55"/>
  <c r="X4" i="55"/>
  <c r="X5" i="55"/>
  <c r="X6" i="55"/>
  <c r="X7" i="55"/>
  <c r="X8" i="55"/>
  <c r="X9" i="55"/>
  <c r="X10" i="55"/>
  <c r="X11" i="55"/>
  <c r="X12" i="55"/>
  <c r="X13" i="55"/>
  <c r="X14" i="55"/>
  <c r="X15" i="55"/>
  <c r="X16" i="55"/>
  <c r="X17" i="55"/>
  <c r="X18" i="55"/>
  <c r="X19" i="55"/>
  <c r="X20" i="55"/>
  <c r="X21" i="55"/>
  <c r="X22" i="55"/>
  <c r="X23" i="55"/>
  <c r="X24" i="55"/>
  <c r="X2" i="55"/>
  <c r="M39" i="55"/>
  <c r="G39" i="55"/>
  <c r="G38" i="55"/>
  <c r="G37" i="55"/>
  <c r="G36" i="55"/>
  <c r="G35" i="55"/>
  <c r="G34" i="55"/>
  <c r="G33" i="55"/>
  <c r="G32" i="55"/>
  <c r="G31" i="55"/>
  <c r="G30" i="55"/>
  <c r="G29" i="55"/>
  <c r="G28" i="55"/>
  <c r="G27" i="55"/>
  <c r="G26" i="55"/>
  <c r="G25" i="55"/>
  <c r="G24" i="55"/>
  <c r="G23" i="55"/>
  <c r="G22" i="55"/>
  <c r="G21" i="55"/>
  <c r="G20" i="55"/>
  <c r="G19" i="55"/>
  <c r="G18" i="55"/>
  <c r="G17" i="55"/>
  <c r="G16" i="55"/>
  <c r="G15" i="55"/>
  <c r="G14" i="55"/>
  <c r="G13" i="55"/>
  <c r="G12" i="55"/>
  <c r="G11" i="55"/>
  <c r="G10" i="55"/>
  <c r="G9" i="55"/>
  <c r="G8" i="55"/>
  <c r="G7" i="55"/>
  <c r="G6" i="55"/>
  <c r="G5" i="55"/>
  <c r="G4" i="55"/>
  <c r="G3" i="55"/>
  <c r="G2" i="55"/>
  <c r="D39" i="55"/>
  <c r="D38" i="55"/>
  <c r="D37" i="55"/>
  <c r="D36" i="55"/>
  <c r="D35" i="55"/>
  <c r="D34" i="55"/>
  <c r="D33" i="55"/>
  <c r="D32" i="55"/>
  <c r="D31" i="55"/>
  <c r="D30" i="55"/>
  <c r="D29" i="55"/>
  <c r="D28" i="55"/>
  <c r="D27" i="55"/>
  <c r="D26" i="55"/>
  <c r="D25" i="55"/>
  <c r="D24" i="55"/>
  <c r="D23" i="55"/>
  <c r="D22" i="55"/>
  <c r="D21" i="55"/>
  <c r="D20" i="55"/>
  <c r="D19" i="55"/>
  <c r="D18" i="55"/>
  <c r="D17" i="55"/>
  <c r="D16" i="55"/>
  <c r="D15" i="55"/>
  <c r="D14" i="55"/>
  <c r="D13" i="55"/>
  <c r="D12" i="55"/>
  <c r="D11" i="55"/>
  <c r="D10" i="55"/>
  <c r="D9" i="55"/>
  <c r="D8" i="55"/>
  <c r="D7" i="55"/>
  <c r="D6" i="55"/>
  <c r="D5" i="55"/>
  <c r="D4" i="55"/>
  <c r="D3" i="55"/>
  <c r="D2" i="55"/>
  <c r="AE1" i="55" l="1"/>
  <c r="AA1" i="55"/>
  <c r="AK1" i="55" l="1"/>
  <c r="F47" i="10" l="1"/>
  <c r="AB47" i="10"/>
  <c r="G4" i="54" l="1"/>
  <c r="H4" i="54" s="1"/>
  <c r="G5" i="54"/>
  <c r="H5" i="54" s="1"/>
  <c r="G6" i="54"/>
  <c r="H6" i="54" s="1"/>
  <c r="G7" i="54"/>
  <c r="H7" i="54" s="1"/>
  <c r="G8" i="54"/>
  <c r="H8" i="54" s="1"/>
  <c r="G9" i="54"/>
  <c r="H9" i="54" s="1"/>
  <c r="G10" i="54"/>
  <c r="H10" i="54" s="1"/>
  <c r="G11" i="54"/>
  <c r="H11" i="54" s="1"/>
  <c r="G12" i="54"/>
  <c r="H12" i="54" s="1"/>
  <c r="G13" i="54"/>
  <c r="H13" i="54" s="1"/>
  <c r="G14" i="54"/>
  <c r="H14" i="54" s="1"/>
  <c r="G15" i="54"/>
  <c r="H15" i="54" s="1"/>
  <c r="G16" i="54"/>
  <c r="H16" i="54" s="1"/>
  <c r="G17" i="54"/>
  <c r="H17" i="54" s="1"/>
  <c r="G18" i="54"/>
  <c r="H18" i="54" s="1"/>
  <c r="G19" i="54"/>
  <c r="H19" i="54" s="1"/>
  <c r="G20" i="54"/>
  <c r="H20" i="54" s="1"/>
  <c r="G21" i="54"/>
  <c r="H21" i="54" s="1"/>
  <c r="G22" i="54"/>
  <c r="H22" i="54" s="1"/>
  <c r="G23" i="54"/>
  <c r="H23" i="54" s="1"/>
  <c r="G24" i="54"/>
  <c r="H24" i="54" s="1"/>
  <c r="G25" i="54"/>
  <c r="H25" i="54" s="1"/>
  <c r="G3" i="54"/>
  <c r="H3" i="54" s="1"/>
  <c r="G4" i="53" l="1"/>
  <c r="G5" i="53"/>
  <c r="G6" i="53"/>
  <c r="G3" i="53"/>
  <c r="C5" i="53"/>
  <c r="C4" i="53"/>
  <c r="I3" i="53"/>
  <c r="C3" i="53"/>
  <c r="B2" i="52"/>
  <c r="E2" i="52"/>
  <c r="I2" i="52"/>
  <c r="L2" i="52"/>
  <c r="B3" i="52"/>
  <c r="E3" i="52"/>
  <c r="I3" i="52"/>
  <c r="L3" i="52"/>
  <c r="B4" i="52"/>
  <c r="E4" i="52"/>
  <c r="I4" i="52"/>
  <c r="L4" i="52"/>
  <c r="B7" i="52"/>
  <c r="E7" i="52"/>
  <c r="I7" i="52"/>
  <c r="L7" i="52"/>
  <c r="B8" i="52"/>
  <c r="E8" i="52"/>
  <c r="I8" i="52"/>
  <c r="L8" i="52"/>
  <c r="B9" i="52"/>
  <c r="E9" i="52"/>
  <c r="I9" i="52"/>
  <c r="L9" i="52"/>
  <c r="B10" i="52"/>
  <c r="E10" i="52"/>
  <c r="I10" i="52"/>
  <c r="L10" i="52"/>
  <c r="B11" i="52"/>
  <c r="E11" i="52"/>
  <c r="I11" i="52"/>
  <c r="L11" i="52"/>
  <c r="B12" i="52"/>
  <c r="E12" i="52"/>
  <c r="I12" i="52"/>
  <c r="L12" i="52"/>
  <c r="B13" i="52"/>
  <c r="E13" i="52"/>
  <c r="I13" i="52"/>
  <c r="L13" i="52"/>
  <c r="O10" i="45"/>
  <c r="O11" i="45"/>
  <c r="O26" i="45"/>
  <c r="O28" i="45"/>
  <c r="O34" i="45"/>
  <c r="N3" i="45"/>
  <c r="O3" i="45" s="1"/>
  <c r="N4" i="45"/>
  <c r="O4" i="45" s="1"/>
  <c r="N5" i="45"/>
  <c r="O5" i="45" s="1"/>
  <c r="N6" i="45"/>
  <c r="O6" i="45" s="1"/>
  <c r="N7" i="45"/>
  <c r="O7" i="45" s="1"/>
  <c r="N8" i="45"/>
  <c r="O8" i="45" s="1"/>
  <c r="N9" i="45"/>
  <c r="O9" i="45" s="1"/>
  <c r="N10" i="45"/>
  <c r="N11" i="45"/>
  <c r="N12" i="45"/>
  <c r="O12" i="45" s="1"/>
  <c r="N13" i="45"/>
  <c r="O13" i="45" s="1"/>
  <c r="N14" i="45"/>
  <c r="O14" i="45" s="1"/>
  <c r="N15" i="45"/>
  <c r="O15" i="45" s="1"/>
  <c r="N16" i="45"/>
  <c r="O16" i="45" s="1"/>
  <c r="N17" i="45"/>
  <c r="O17" i="45" s="1"/>
  <c r="N18" i="45"/>
  <c r="O18" i="45" s="1"/>
  <c r="N19" i="45"/>
  <c r="O19" i="45" s="1"/>
  <c r="N20" i="45"/>
  <c r="O20" i="45" s="1"/>
  <c r="N21" i="45"/>
  <c r="O21" i="45" s="1"/>
  <c r="N22" i="45"/>
  <c r="O22" i="45" s="1"/>
  <c r="N23" i="45"/>
  <c r="O23" i="45" s="1"/>
  <c r="N24" i="45"/>
  <c r="O24" i="45" s="1"/>
  <c r="N25" i="45"/>
  <c r="O25" i="45" s="1"/>
  <c r="N26" i="45"/>
  <c r="N27" i="45"/>
  <c r="O27" i="45" s="1"/>
  <c r="N28" i="45"/>
  <c r="N29" i="45"/>
  <c r="O29" i="45" s="1"/>
  <c r="N30" i="45"/>
  <c r="O30" i="45" s="1"/>
  <c r="N31" i="45"/>
  <c r="O31" i="45" s="1"/>
  <c r="N32" i="45"/>
  <c r="O32" i="45" s="1"/>
  <c r="N33" i="45"/>
  <c r="O33" i="45" s="1"/>
  <c r="N34" i="45"/>
  <c r="N35" i="45"/>
  <c r="O35" i="45" s="1"/>
  <c r="N36" i="45"/>
  <c r="O36" i="45" s="1"/>
  <c r="N37" i="45"/>
  <c r="O37" i="45" s="1"/>
  <c r="N38" i="45"/>
  <c r="O38" i="45" s="1"/>
  <c r="N2" i="45"/>
  <c r="O2" i="45" s="1"/>
  <c r="BS32" i="16" l="1"/>
  <c r="M29" i="48"/>
  <c r="N29" i="48"/>
  <c r="O29" i="48"/>
  <c r="P29" i="48"/>
  <c r="M30" i="48"/>
  <c r="N30" i="48"/>
  <c r="O30" i="48"/>
  <c r="P30" i="48"/>
  <c r="L30" i="48"/>
  <c r="L29" i="48"/>
  <c r="E29" i="48"/>
  <c r="F29" i="48"/>
  <c r="G29" i="48"/>
  <c r="H29" i="48"/>
  <c r="I29" i="48"/>
  <c r="C30" i="48"/>
  <c r="D30" i="48"/>
  <c r="E30" i="48"/>
  <c r="F30" i="48"/>
  <c r="G30" i="48"/>
  <c r="B30" i="48"/>
  <c r="C29" i="48"/>
  <c r="D29" i="48"/>
  <c r="B29" i="48"/>
  <c r="H26" i="48"/>
  <c r="H25" i="48"/>
  <c r="H24" i="48"/>
  <c r="H23" i="48"/>
  <c r="H22" i="48"/>
  <c r="H21" i="48"/>
  <c r="H20" i="48"/>
  <c r="H19" i="48"/>
  <c r="H18" i="48"/>
  <c r="H17" i="48"/>
  <c r="H16" i="48"/>
  <c r="H30" i="48" s="1"/>
  <c r="H15" i="48"/>
  <c r="H14" i="48"/>
  <c r="H13" i="48"/>
  <c r="H12" i="48"/>
  <c r="H11" i="48"/>
  <c r="H10" i="48"/>
  <c r="H9" i="48"/>
  <c r="H8" i="48"/>
  <c r="H7" i="48"/>
  <c r="H6" i="48"/>
  <c r="H5" i="48"/>
  <c r="O26" i="48"/>
  <c r="O25" i="48"/>
  <c r="O24" i="48"/>
  <c r="O23" i="48"/>
  <c r="O22" i="48"/>
  <c r="O21" i="48"/>
  <c r="O20" i="48"/>
  <c r="O19" i="48"/>
  <c r="O18" i="48"/>
  <c r="O17" i="48"/>
  <c r="O16" i="48"/>
  <c r="O15" i="48"/>
  <c r="O14" i="48"/>
  <c r="O13" i="48"/>
  <c r="O12" i="48"/>
  <c r="O11" i="48"/>
  <c r="O10" i="48"/>
  <c r="O9" i="48"/>
  <c r="O8" i="48"/>
  <c r="O7" i="48"/>
  <c r="O6" i="48"/>
  <c r="O5" i="48"/>
  <c r="M27" i="48"/>
  <c r="N27" i="48"/>
  <c r="L27" i="48"/>
  <c r="O27" i="48" s="1"/>
  <c r="C27" i="48"/>
  <c r="D27" i="48"/>
  <c r="H27" i="48" s="1"/>
  <c r="E27" i="48"/>
  <c r="F27" i="48"/>
  <c r="G27" i="48"/>
  <c r="B27" i="48"/>
  <c r="H26" i="37"/>
  <c r="H27" i="37"/>
  <c r="H28" i="37"/>
  <c r="H29" i="37"/>
  <c r="H30" i="37"/>
  <c r="H31" i="37"/>
  <c r="H32" i="37"/>
  <c r="H34" i="37"/>
  <c r="H39" i="37"/>
  <c r="H38" i="37"/>
  <c r="H37" i="37"/>
  <c r="H36" i="37"/>
  <c r="H33" i="37"/>
  <c r="P26" i="48"/>
  <c r="I26" i="48"/>
  <c r="P25" i="48"/>
  <c r="I25" i="48"/>
  <c r="P24" i="48"/>
  <c r="I24" i="48"/>
  <c r="P23" i="48"/>
  <c r="I23" i="48"/>
  <c r="P22" i="48"/>
  <c r="I22" i="48"/>
  <c r="P21" i="48"/>
  <c r="I21" i="48"/>
  <c r="P20" i="48"/>
  <c r="I20" i="48"/>
  <c r="P19" i="48"/>
  <c r="I19" i="48"/>
  <c r="P18" i="48"/>
  <c r="I18" i="48"/>
  <c r="P17" i="48"/>
  <c r="I17" i="48"/>
  <c r="P16" i="48"/>
  <c r="I16" i="48"/>
  <c r="I30" i="48" s="1"/>
  <c r="P15" i="48"/>
  <c r="I15" i="48"/>
  <c r="P14" i="48"/>
  <c r="I14" i="48"/>
  <c r="P13" i="48"/>
  <c r="I13" i="48"/>
  <c r="P12" i="48"/>
  <c r="I12" i="48"/>
  <c r="P11" i="48"/>
  <c r="I11" i="48"/>
  <c r="P10" i="48"/>
  <c r="I10" i="48"/>
  <c r="P9" i="48"/>
  <c r="I9" i="48"/>
  <c r="P8" i="48"/>
  <c r="I8" i="48"/>
  <c r="P7" i="48"/>
  <c r="I7" i="48"/>
  <c r="P6" i="48"/>
  <c r="I6" i="48"/>
  <c r="P5" i="48"/>
  <c r="I5" i="48"/>
  <c r="B21" i="39"/>
  <c r="B16" i="39"/>
  <c r="B24" i="39"/>
  <c r="B11" i="39"/>
  <c r="B23" i="39"/>
  <c r="B9" i="39"/>
  <c r="B8" i="39"/>
  <c r="B14" i="39"/>
  <c r="B7" i="39"/>
  <c r="B20" i="39"/>
  <c r="B5" i="39"/>
  <c r="B15" i="39"/>
  <c r="B22" i="39"/>
  <c r="B25" i="39"/>
  <c r="B18" i="39"/>
  <c r="B4" i="39"/>
  <c r="B10" i="39"/>
  <c r="B19" i="39"/>
  <c r="B17" i="39"/>
  <c r="B12" i="39"/>
  <c r="B13" i="39"/>
  <c r="B6" i="39"/>
  <c r="F7" i="39" l="1"/>
  <c r="F10" i="39"/>
  <c r="F11" i="39"/>
  <c r="F4" i="39"/>
  <c r="F6" i="39"/>
  <c r="F5" i="39"/>
  <c r="F9" i="39"/>
  <c r="F8" i="39"/>
  <c r="P27" i="48"/>
  <c r="I27" i="48"/>
  <c r="M41" i="37" l="1"/>
  <c r="H41" i="37" s="1"/>
  <c r="G41" i="37" s="1"/>
  <c r="M42" i="37"/>
  <c r="N41" i="37" l="1"/>
  <c r="O41" i="37" s="1"/>
  <c r="E42" i="16" l="1"/>
  <c r="E34" i="16"/>
  <c r="E10" i="16"/>
  <c r="E14" i="39"/>
  <c r="D20" i="39"/>
  <c r="E13" i="39"/>
  <c r="E19" i="39"/>
  <c r="D13" i="39"/>
  <c r="E25" i="39"/>
  <c r="D25" i="39"/>
  <c r="E22" i="39"/>
  <c r="D16" i="39"/>
  <c r="E18" i="39"/>
  <c r="D17" i="39"/>
  <c r="E16" i="39"/>
  <c r="E12" i="39"/>
  <c r="D22" i="39"/>
  <c r="E23" i="39"/>
  <c r="E20" i="39"/>
  <c r="E21" i="39"/>
  <c r="D21" i="39"/>
  <c r="D18" i="39"/>
  <c r="E17" i="39"/>
  <c r="D14" i="39"/>
  <c r="D12" i="39"/>
  <c r="D23" i="39"/>
  <c r="D19" i="39"/>
  <c r="D15" i="39"/>
  <c r="E24" i="39"/>
  <c r="E15" i="39"/>
  <c r="D24" i="39"/>
  <c r="H27" i="17" l="1"/>
  <c r="H31" i="17"/>
  <c r="H30" i="17"/>
  <c r="H29" i="17"/>
  <c r="H28" i="17"/>
  <c r="H163" i="17"/>
  <c r="H161" i="17"/>
  <c r="H162" i="17"/>
  <c r="H166" i="17"/>
  <c r="H165" i="17"/>
  <c r="H164" i="17"/>
  <c r="H203" i="17"/>
  <c r="H208" i="17"/>
  <c r="H207" i="17"/>
  <c r="H205" i="17"/>
  <c r="H206" i="17"/>
  <c r="H204" i="17"/>
  <c r="P3" i="55"/>
  <c r="P3" i="57"/>
  <c r="P27" i="55"/>
  <c r="P27" i="57"/>
  <c r="P35" i="55"/>
  <c r="P35" i="57"/>
  <c r="BS33" i="16"/>
  <c r="BS40" i="16"/>
  <c r="BS39" i="16"/>
  <c r="BS38" i="16"/>
  <c r="BS45" i="16"/>
  <c r="BS37" i="16"/>
  <c r="BS46" i="16"/>
  <c r="BS44" i="16"/>
  <c r="BS36" i="16"/>
  <c r="BS41" i="16"/>
  <c r="BS43" i="16"/>
  <c r="BS35" i="16"/>
  <c r="BS42" i="16"/>
  <c r="BS34" i="16"/>
  <c r="B33" i="39"/>
  <c r="D33" i="39"/>
  <c r="E33" i="39"/>
  <c r="CA48" i="16"/>
  <c r="BI47" i="16"/>
  <c r="K48" i="16"/>
  <c r="BI48" i="16" s="1"/>
  <c r="AW48" i="16"/>
  <c r="I48" i="16"/>
  <c r="P48" i="16" s="1"/>
  <c r="V48" i="16" s="1"/>
  <c r="U48" i="16" s="1"/>
  <c r="CC48" i="16" s="1"/>
  <c r="N48" i="16"/>
  <c r="R48" i="16"/>
  <c r="E46" i="16"/>
  <c r="E30" i="16"/>
  <c r="J241" i="17" l="1"/>
  <c r="J238" i="17"/>
  <c r="J243" i="17"/>
  <c r="J240" i="17"/>
  <c r="J242" i="17"/>
  <c r="J239" i="17"/>
  <c r="H227" i="17"/>
  <c r="H226" i="17"/>
  <c r="H229" i="17"/>
  <c r="H231" i="17"/>
  <c r="H230" i="17"/>
  <c r="H228" i="17"/>
  <c r="H139" i="17"/>
  <c r="H138" i="17"/>
  <c r="H141" i="17"/>
  <c r="H143" i="17"/>
  <c r="H142" i="17"/>
  <c r="H140" i="17"/>
  <c r="P23" i="55"/>
  <c r="P23" i="57"/>
  <c r="P39" i="55"/>
  <c r="P39" i="57"/>
  <c r="AV48" i="16"/>
  <c r="W48" i="16"/>
  <c r="AH48" i="16"/>
  <c r="CG46" i="16" l="1"/>
  <c r="CG45" i="16"/>
  <c r="CG44" i="16"/>
  <c r="CG43" i="16"/>
  <c r="CG42" i="16"/>
  <c r="CG41" i="16"/>
  <c r="CG40" i="16"/>
  <c r="CG39" i="16"/>
  <c r="CG38" i="16"/>
  <c r="CG37" i="16"/>
  <c r="CG36" i="16"/>
  <c r="CG35" i="16"/>
  <c r="CG34" i="16"/>
  <c r="CG33" i="16"/>
  <c r="BI4" i="16"/>
  <c r="BI3" i="16"/>
  <c r="E45" i="16" l="1"/>
  <c r="H225" i="17" l="1"/>
  <c r="H224" i="17"/>
  <c r="H223" i="17"/>
  <c r="H221" i="17"/>
  <c r="H222" i="17"/>
  <c r="H220" i="17"/>
  <c r="P38" i="55"/>
  <c r="P38" i="57"/>
  <c r="BR32" i="16"/>
  <c r="Q35" i="37"/>
  <c r="Q36" i="37"/>
  <c r="Q37" i="37"/>
  <c r="Q38" i="37"/>
  <c r="Q32" i="37"/>
  <c r="Q2" i="37"/>
  <c r="Q3" i="37"/>
  <c r="Q4" i="37"/>
  <c r="Q5" i="37"/>
  <c r="Q6" i="37"/>
  <c r="Q7" i="37"/>
  <c r="Q8" i="37"/>
  <c r="Q9" i="37"/>
  <c r="B33" i="27" l="1"/>
  <c r="C1" i="44" l="1"/>
  <c r="G1" i="44"/>
  <c r="F3" i="44"/>
  <c r="F4" i="44"/>
  <c r="F5" i="44"/>
  <c r="F6" i="44"/>
  <c r="F7" i="44"/>
  <c r="F8" i="44"/>
  <c r="F9" i="44"/>
  <c r="F10" i="44"/>
  <c r="F11" i="44"/>
  <c r="F12" i="44"/>
  <c r="F13" i="44"/>
  <c r="F14" i="44"/>
  <c r="F15" i="44"/>
  <c r="F16" i="44"/>
  <c r="F17" i="44"/>
  <c r="F18" i="44"/>
  <c r="F19" i="44"/>
  <c r="F20" i="44"/>
  <c r="F21" i="44"/>
  <c r="F22" i="44"/>
  <c r="F23" i="44"/>
  <c r="F24" i="44"/>
  <c r="F25" i="44"/>
  <c r="F26" i="44"/>
  <c r="F27" i="44"/>
  <c r="F28" i="44"/>
  <c r="F29" i="44"/>
  <c r="F30" i="44"/>
  <c r="F31" i="44"/>
  <c r="F2" i="44"/>
  <c r="F1" i="44"/>
  <c r="E1" i="44"/>
  <c r="B1" i="44"/>
  <c r="D1" i="44"/>
  <c r="A43" i="44"/>
  <c r="A44" i="44"/>
  <c r="A45" i="44"/>
  <c r="A46" i="44"/>
  <c r="A47" i="44"/>
  <c r="A2" i="44"/>
  <c r="A3" i="44"/>
  <c r="A4" i="44"/>
  <c r="A5" i="44"/>
  <c r="A6" i="44"/>
  <c r="A7" i="44"/>
  <c r="A8" i="44"/>
  <c r="A9" i="44"/>
  <c r="A10" i="44"/>
  <c r="A11" i="44"/>
  <c r="A12" i="44"/>
  <c r="A13" i="44"/>
  <c r="A14" i="44"/>
  <c r="A15" i="44"/>
  <c r="A16" i="44"/>
  <c r="A17" i="44"/>
  <c r="A18" i="44"/>
  <c r="A19" i="44"/>
  <c r="A20" i="44"/>
  <c r="A21" i="44"/>
  <c r="A22" i="44"/>
  <c r="A23" i="44"/>
  <c r="A24" i="44"/>
  <c r="A25" i="44"/>
  <c r="A26" i="44"/>
  <c r="A27" i="44"/>
  <c r="A28" i="44"/>
  <c r="A29" i="44"/>
  <c r="A30" i="44"/>
  <c r="A31" i="44"/>
  <c r="A32" i="44"/>
  <c r="A33" i="44"/>
  <c r="A34" i="44"/>
  <c r="A35" i="44"/>
  <c r="A36" i="44"/>
  <c r="A37" i="44"/>
  <c r="A38" i="44"/>
  <c r="A39" i="44"/>
  <c r="A40" i="44"/>
  <c r="A41" i="44"/>
  <c r="A42" i="44"/>
  <c r="A1" i="44"/>
  <c r="L4" i="39" l="1"/>
  <c r="L5" i="39"/>
  <c r="L6" i="39"/>
  <c r="L7" i="39"/>
  <c r="L8" i="39"/>
  <c r="L9" i="39"/>
  <c r="L10" i="39"/>
  <c r="N10" i="39" s="1"/>
  <c r="L11" i="39"/>
  <c r="N11" i="39" s="1"/>
  <c r="I4" i="39"/>
  <c r="I5" i="39"/>
  <c r="I6" i="39"/>
  <c r="I7" i="39"/>
  <c r="I8" i="39"/>
  <c r="I9" i="39"/>
  <c r="I10" i="39"/>
  <c r="I11" i="39"/>
  <c r="BT32" i="16" s="1"/>
  <c r="BU32" i="16" s="1"/>
  <c r="H4" i="39"/>
  <c r="H5" i="39"/>
  <c r="G5" i="39" s="1"/>
  <c r="H6" i="39"/>
  <c r="G6" i="39" s="1"/>
  <c r="H7" i="39"/>
  <c r="G7" i="39" s="1"/>
  <c r="H8" i="39"/>
  <c r="G8" i="39" s="1"/>
  <c r="H9" i="39"/>
  <c r="H10" i="39"/>
  <c r="H11" i="39"/>
  <c r="E48" i="16"/>
  <c r="H240" i="17" l="1"/>
  <c r="H241" i="17"/>
  <c r="H242" i="17"/>
  <c r="H238" i="17"/>
  <c r="H243" i="17"/>
  <c r="H239" i="17"/>
  <c r="G10" i="39"/>
  <c r="G9" i="39"/>
  <c r="G11" i="39"/>
  <c r="BV32" i="16"/>
  <c r="G26" i="54" s="1"/>
  <c r="H26" i="54" s="1"/>
  <c r="G4" i="39"/>
  <c r="J6" i="39"/>
  <c r="J10" i="39"/>
  <c r="J8" i="39"/>
  <c r="J9" i="39"/>
  <c r="J5" i="39"/>
  <c r="J11" i="39"/>
  <c r="J7" i="39"/>
  <c r="J4" i="39"/>
  <c r="AZ48" i="16"/>
  <c r="BB48" i="16" s="1"/>
  <c r="BD48" i="16" s="1"/>
  <c r="BZ48" i="16"/>
  <c r="AY48" i="16"/>
  <c r="BA48" i="16" s="1"/>
  <c r="BC48" i="16" s="1"/>
  <c r="C48" i="16"/>
  <c r="X48" i="16"/>
  <c r="AF48" i="16" s="1"/>
  <c r="AB48" i="16" s="1"/>
  <c r="P52" i="37"/>
  <c r="N19" i="37"/>
  <c r="AB35" i="10"/>
  <c r="G240" i="17" l="1"/>
  <c r="G241" i="17"/>
  <c r="G242" i="17"/>
  <c r="G238" i="17"/>
  <c r="G239" i="17"/>
  <c r="G243" i="17"/>
  <c r="CF48" i="16"/>
  <c r="BW48" i="16"/>
  <c r="B45" i="27" s="1"/>
  <c r="Z48" i="16"/>
  <c r="Y48" i="16"/>
  <c r="AD48" i="16" s="1"/>
  <c r="Q52" i="37"/>
  <c r="CA2" i="16"/>
  <c r="CB2" i="16"/>
  <c r="CA3" i="16"/>
  <c r="CB3" i="16"/>
  <c r="CA4" i="16"/>
  <c r="CB4" i="16"/>
  <c r="CB5" i="16"/>
  <c r="CB6" i="16"/>
  <c r="CB7" i="16"/>
  <c r="CB8" i="16"/>
  <c r="CB9" i="16"/>
  <c r="CE2" i="16"/>
  <c r="CE3" i="16"/>
  <c r="CE4" i="16"/>
  <c r="CE5" i="16"/>
  <c r="CE6" i="16"/>
  <c r="CE7" i="16"/>
  <c r="CE8" i="16"/>
  <c r="CE9" i="16"/>
  <c r="CD2" i="16"/>
  <c r="CD3" i="16"/>
  <c r="CD4" i="16"/>
  <c r="CD5" i="16"/>
  <c r="CD6" i="16"/>
  <c r="CD7" i="16"/>
  <c r="CD8" i="16"/>
  <c r="CD9" i="16"/>
  <c r="D45" i="27" l="1"/>
  <c r="F47" i="9"/>
  <c r="E47" i="9"/>
  <c r="D47" i="9"/>
  <c r="C47" i="9"/>
  <c r="G47" i="9"/>
  <c r="BX48" i="16"/>
  <c r="K242" i="17"/>
  <c r="Z242" i="17" s="1"/>
  <c r="K238" i="17"/>
  <c r="Z238" i="17" s="1"/>
  <c r="K243" i="17"/>
  <c r="Z243" i="17" s="1"/>
  <c r="K239" i="17"/>
  <c r="Z239" i="17" s="1"/>
  <c r="K240" i="17"/>
  <c r="Z240" i="17" s="1"/>
  <c r="K241" i="17"/>
  <c r="Z241" i="17" s="1"/>
  <c r="BF48" i="16"/>
  <c r="BG48" i="16" s="1"/>
  <c r="BH48" i="16"/>
  <c r="AE48" i="16"/>
  <c r="AC48" i="16" s="1"/>
  <c r="B43" i="27"/>
  <c r="B42" i="27"/>
  <c r="B41" i="27"/>
  <c r="B40" i="27"/>
  <c r="B39" i="27"/>
  <c r="B38" i="27"/>
  <c r="B37" i="27"/>
  <c r="B36" i="27"/>
  <c r="B35" i="27"/>
  <c r="B34" i="27"/>
  <c r="B32" i="27"/>
  <c r="B31" i="27"/>
  <c r="B30" i="27"/>
  <c r="B8" i="27"/>
  <c r="B9" i="27"/>
  <c r="B10" i="27"/>
  <c r="B7" i="27"/>
  <c r="K47" i="9" l="1"/>
  <c r="D68" i="9" s="1"/>
  <c r="G52" i="37"/>
  <c r="H24" i="37"/>
  <c r="H22" i="37"/>
  <c r="H20" i="37"/>
  <c r="H17" i="37"/>
  <c r="G17" i="37" s="1"/>
  <c r="H16" i="37"/>
  <c r="G16" i="37" s="1"/>
  <c r="H14" i="37"/>
  <c r="G14" i="37" s="1"/>
  <c r="H13" i="37"/>
  <c r="H12" i="37"/>
  <c r="H10" i="37"/>
  <c r="G10" i="37" s="1"/>
  <c r="E68" i="9" l="1"/>
  <c r="F68" i="9"/>
  <c r="J68" i="9" s="1"/>
  <c r="C68" i="9"/>
  <c r="G68" i="9"/>
  <c r="I68" i="9" s="1"/>
  <c r="E13" i="16"/>
  <c r="E12" i="16"/>
  <c r="E11" i="16"/>
  <c r="C10" i="44"/>
  <c r="E47" i="16"/>
  <c r="C46" i="44"/>
  <c r="C45" i="44"/>
  <c r="E44" i="16"/>
  <c r="E43" i="16"/>
  <c r="C42" i="44"/>
  <c r="E41" i="16"/>
  <c r="E40" i="16"/>
  <c r="E39" i="16"/>
  <c r="E38" i="16"/>
  <c r="E37" i="16"/>
  <c r="E36" i="16"/>
  <c r="E35" i="16"/>
  <c r="C34" i="44"/>
  <c r="E33" i="16"/>
  <c r="E31" i="16"/>
  <c r="C30" i="44"/>
  <c r="E29" i="16"/>
  <c r="E28" i="16"/>
  <c r="E27" i="16"/>
  <c r="E26" i="16"/>
  <c r="E25" i="16"/>
  <c r="E23" i="16"/>
  <c r="E22" i="16"/>
  <c r="E21" i="16"/>
  <c r="E19" i="16"/>
  <c r="E18" i="16"/>
  <c r="E17" i="16"/>
  <c r="E16" i="16"/>
  <c r="E15" i="16"/>
  <c r="E14" i="16"/>
  <c r="P51" i="16"/>
  <c r="CB33" i="16"/>
  <c r="CB34" i="16"/>
  <c r="CB35" i="16"/>
  <c r="CB36" i="16"/>
  <c r="CB37" i="16"/>
  <c r="CB38" i="16"/>
  <c r="CB39" i="16"/>
  <c r="CB40" i="16"/>
  <c r="CB41" i="16"/>
  <c r="CB42" i="16"/>
  <c r="CB43" i="16"/>
  <c r="CB44" i="16"/>
  <c r="CB45" i="16"/>
  <c r="CB46" i="16"/>
  <c r="CA47" i="16"/>
  <c r="CB47" i="16"/>
  <c r="CB11" i="16"/>
  <c r="CD11" i="16"/>
  <c r="CE11" i="16"/>
  <c r="CB12" i="16"/>
  <c r="CD12" i="16"/>
  <c r="CE12" i="16"/>
  <c r="CB13" i="16"/>
  <c r="CD13" i="16"/>
  <c r="CE13" i="16"/>
  <c r="CB14" i="16"/>
  <c r="CD14" i="16"/>
  <c r="CE14" i="16"/>
  <c r="CB15" i="16"/>
  <c r="CD15" i="16"/>
  <c r="CE15" i="16"/>
  <c r="CB16" i="16"/>
  <c r="CD16" i="16"/>
  <c r="CE16" i="16"/>
  <c r="CB17" i="16"/>
  <c r="CD17" i="16"/>
  <c r="CE17" i="16"/>
  <c r="CB18" i="16"/>
  <c r="CD18" i="16"/>
  <c r="CE18" i="16"/>
  <c r="CB19" i="16"/>
  <c r="CD19" i="16"/>
  <c r="CE19" i="16"/>
  <c r="CB20" i="16"/>
  <c r="CD20" i="16"/>
  <c r="CE20" i="16"/>
  <c r="CB21" i="16"/>
  <c r="CD21" i="16"/>
  <c r="CE21" i="16"/>
  <c r="CB22" i="16"/>
  <c r="CD22" i="16"/>
  <c r="CE22" i="16"/>
  <c r="CB23" i="16"/>
  <c r="CD23" i="16"/>
  <c r="CE23" i="16"/>
  <c r="CB24" i="16"/>
  <c r="CD24" i="16"/>
  <c r="CE24" i="16"/>
  <c r="CB25" i="16"/>
  <c r="CD25" i="16"/>
  <c r="CE25" i="16"/>
  <c r="CB26" i="16"/>
  <c r="CD26" i="16"/>
  <c r="CE26" i="16"/>
  <c r="CB27" i="16"/>
  <c r="CD27" i="16"/>
  <c r="CE27" i="16"/>
  <c r="CB28" i="16"/>
  <c r="CD28" i="16"/>
  <c r="CE28" i="16"/>
  <c r="CB29" i="16"/>
  <c r="CD29" i="16"/>
  <c r="CE29" i="16"/>
  <c r="CB30" i="16"/>
  <c r="CD30" i="16"/>
  <c r="CE30" i="16"/>
  <c r="CB31" i="16"/>
  <c r="CD31" i="16"/>
  <c r="CE31" i="16"/>
  <c r="CB32" i="16"/>
  <c r="CD32" i="16"/>
  <c r="CE32" i="16"/>
  <c r="CE10" i="16"/>
  <c r="CD10" i="16"/>
  <c r="CB10" i="16"/>
  <c r="CA46" i="16"/>
  <c r="CA6" i="16"/>
  <c r="CA7" i="16"/>
  <c r="CA8" i="16"/>
  <c r="CA5" i="16"/>
  <c r="G43" i="41"/>
  <c r="M43" i="41" s="1"/>
  <c r="E43" i="41"/>
  <c r="G42" i="41"/>
  <c r="M42" i="41" s="1"/>
  <c r="E42" i="41"/>
  <c r="G41" i="41"/>
  <c r="H41" i="41" s="1"/>
  <c r="K41" i="41" s="1"/>
  <c r="E41" i="41"/>
  <c r="G40" i="41"/>
  <c r="H40" i="41" s="1"/>
  <c r="K40" i="41" s="1"/>
  <c r="E40" i="41"/>
  <c r="G39" i="41"/>
  <c r="H39" i="41" s="1"/>
  <c r="K39" i="41" s="1"/>
  <c r="E39" i="41"/>
  <c r="G38" i="41"/>
  <c r="M38" i="41" s="1"/>
  <c r="E38" i="41"/>
  <c r="G37" i="41"/>
  <c r="M37" i="41" s="1"/>
  <c r="E37" i="41"/>
  <c r="G36" i="41"/>
  <c r="M36" i="41" s="1"/>
  <c r="E36" i="41"/>
  <c r="G35" i="41"/>
  <c r="M35" i="41" s="1"/>
  <c r="E35" i="41"/>
  <c r="G34" i="41"/>
  <c r="M34" i="41" s="1"/>
  <c r="E34" i="41"/>
  <c r="H33" i="41"/>
  <c r="K33" i="41" s="1"/>
  <c r="G33" i="41"/>
  <c r="M33" i="41" s="1"/>
  <c r="E33" i="41"/>
  <c r="G32" i="41"/>
  <c r="H32" i="41" s="1"/>
  <c r="K32" i="41" s="1"/>
  <c r="E32" i="41"/>
  <c r="G31" i="41"/>
  <c r="H31" i="41" s="1"/>
  <c r="K31" i="41" s="1"/>
  <c r="E31" i="41"/>
  <c r="G30" i="41"/>
  <c r="M30" i="41" s="1"/>
  <c r="E30" i="41"/>
  <c r="G29" i="41"/>
  <c r="M29" i="41" s="1"/>
  <c r="E29" i="41"/>
  <c r="G28" i="41"/>
  <c r="M28" i="41" s="1"/>
  <c r="E28" i="41"/>
  <c r="G27" i="41"/>
  <c r="M27" i="41" s="1"/>
  <c r="E27" i="41"/>
  <c r="G26" i="41"/>
  <c r="H26" i="41" s="1"/>
  <c r="K26" i="41" s="1"/>
  <c r="E26" i="41"/>
  <c r="G25" i="41"/>
  <c r="M25" i="41" s="1"/>
  <c r="E25" i="41"/>
  <c r="G24" i="41"/>
  <c r="H24" i="41" s="1"/>
  <c r="K24" i="41" s="1"/>
  <c r="E24" i="41"/>
  <c r="M23" i="41"/>
  <c r="G23" i="41"/>
  <c r="H23" i="41" s="1"/>
  <c r="K23" i="41" s="1"/>
  <c r="E23" i="41"/>
  <c r="G22" i="41"/>
  <c r="H22" i="41" s="1"/>
  <c r="K22" i="41" s="1"/>
  <c r="E22" i="41"/>
  <c r="G21" i="41"/>
  <c r="M21" i="41" s="1"/>
  <c r="E21" i="41"/>
  <c r="G20" i="41"/>
  <c r="M20" i="41" s="1"/>
  <c r="E20" i="41"/>
  <c r="G19" i="41"/>
  <c r="H19" i="41" s="1"/>
  <c r="E19" i="41"/>
  <c r="G18" i="41"/>
  <c r="M18" i="41" s="1"/>
  <c r="E18" i="41"/>
  <c r="G17" i="41"/>
  <c r="M17" i="41" s="1"/>
  <c r="E17" i="41"/>
  <c r="G16" i="41"/>
  <c r="M16" i="41" s="1"/>
  <c r="E16" i="41"/>
  <c r="G15" i="41"/>
  <c r="H15" i="41" s="1"/>
  <c r="E15" i="41"/>
  <c r="G14" i="41"/>
  <c r="M14" i="41" s="1"/>
  <c r="E14" i="41"/>
  <c r="G13" i="41"/>
  <c r="M13" i="41" s="1"/>
  <c r="E13" i="41"/>
  <c r="G12" i="41"/>
  <c r="M12" i="41" s="1"/>
  <c r="E12" i="41"/>
  <c r="G11" i="41"/>
  <c r="M11" i="41" s="1"/>
  <c r="E11" i="41"/>
  <c r="G10" i="41"/>
  <c r="M10" i="41" s="1"/>
  <c r="E10" i="41"/>
  <c r="G9" i="41"/>
  <c r="M9" i="41" s="1"/>
  <c r="E9" i="41"/>
  <c r="G8" i="41"/>
  <c r="M8" i="41" s="1"/>
  <c r="E8" i="41"/>
  <c r="G7" i="41"/>
  <c r="H7" i="41" s="1"/>
  <c r="E7" i="41"/>
  <c r="G6" i="41"/>
  <c r="M6" i="41" s="1"/>
  <c r="E6" i="41"/>
  <c r="G5" i="41"/>
  <c r="H5" i="41" s="1"/>
  <c r="E5" i="41"/>
  <c r="G4" i="41"/>
  <c r="M4" i="41" s="1"/>
  <c r="E4" i="41"/>
  <c r="G3" i="41"/>
  <c r="M3" i="41" s="1"/>
  <c r="E3" i="41"/>
  <c r="G2" i="41"/>
  <c r="M2" i="41" s="1"/>
  <c r="E2" i="41"/>
  <c r="H68" i="9" l="1"/>
  <c r="CA40" i="16"/>
  <c r="M33" i="57"/>
  <c r="M33" i="55"/>
  <c r="CA32" i="16"/>
  <c r="M25" i="57"/>
  <c r="M25" i="55"/>
  <c r="CA24" i="16"/>
  <c r="M17" i="57"/>
  <c r="M17" i="55"/>
  <c r="CA16" i="16"/>
  <c r="M9" i="57"/>
  <c r="M9" i="55"/>
  <c r="CA36" i="16"/>
  <c r="M29" i="57"/>
  <c r="M29" i="55"/>
  <c r="CA41" i="16"/>
  <c r="M34" i="57"/>
  <c r="M34" i="55"/>
  <c r="CA33" i="16"/>
  <c r="M26" i="57"/>
  <c r="M26" i="55"/>
  <c r="CA25" i="16"/>
  <c r="M18" i="57"/>
  <c r="M18" i="55"/>
  <c r="CA39" i="16"/>
  <c r="M32" i="57"/>
  <c r="M32" i="55"/>
  <c r="CA31" i="16"/>
  <c r="M24" i="57"/>
  <c r="M24" i="55"/>
  <c r="CA23" i="16"/>
  <c r="M16" i="57"/>
  <c r="M16" i="55"/>
  <c r="CA15" i="16"/>
  <c r="M8" i="57"/>
  <c r="M8" i="55"/>
  <c r="CA13" i="16"/>
  <c r="M6" i="57"/>
  <c r="M6" i="55"/>
  <c r="CA38" i="16"/>
  <c r="M31" i="57"/>
  <c r="M31" i="55"/>
  <c r="CA30" i="16"/>
  <c r="M23" i="57"/>
  <c r="M23" i="55"/>
  <c r="CA22" i="16"/>
  <c r="M15" i="57"/>
  <c r="M15" i="55"/>
  <c r="CA14" i="16"/>
  <c r="M7" i="57"/>
  <c r="M7" i="55"/>
  <c r="CA11" i="16"/>
  <c r="M4" i="57"/>
  <c r="M4" i="55"/>
  <c r="CA44" i="16"/>
  <c r="M37" i="57"/>
  <c r="M37" i="55"/>
  <c r="CA20" i="16"/>
  <c r="M13" i="57"/>
  <c r="M13" i="55"/>
  <c r="CA17" i="16"/>
  <c r="M10" i="57"/>
  <c r="M10" i="55"/>
  <c r="CA12" i="16"/>
  <c r="M5" i="57"/>
  <c r="M5" i="55"/>
  <c r="CA45" i="16"/>
  <c r="M38" i="57"/>
  <c r="M38" i="55"/>
  <c r="CA37" i="16"/>
  <c r="M30" i="57"/>
  <c r="M30" i="55"/>
  <c r="CA29" i="16"/>
  <c r="M22" i="57"/>
  <c r="M22" i="55"/>
  <c r="CA21" i="16"/>
  <c r="M14" i="57"/>
  <c r="M14" i="55"/>
  <c r="CA28" i="16"/>
  <c r="M21" i="57"/>
  <c r="M21" i="55"/>
  <c r="CA10" i="16"/>
  <c r="M3" i="57"/>
  <c r="M3" i="55"/>
  <c r="CA43" i="16"/>
  <c r="M36" i="57"/>
  <c r="M36" i="55"/>
  <c r="CA35" i="16"/>
  <c r="M28" i="57"/>
  <c r="M28" i="55"/>
  <c r="CA27" i="16"/>
  <c r="M20" i="57"/>
  <c r="M20" i="55"/>
  <c r="CA19" i="16"/>
  <c r="M12" i="57"/>
  <c r="M12" i="55"/>
  <c r="CA9" i="16"/>
  <c r="M2" i="57"/>
  <c r="M2" i="55"/>
  <c r="CA42" i="16"/>
  <c r="M35" i="57"/>
  <c r="M35" i="55"/>
  <c r="CA34" i="16"/>
  <c r="M27" i="57"/>
  <c r="M27" i="55"/>
  <c r="CA26" i="16"/>
  <c r="M19" i="57"/>
  <c r="M19" i="55"/>
  <c r="CA18" i="16"/>
  <c r="M11" i="57"/>
  <c r="M11" i="55"/>
  <c r="H91" i="17"/>
  <c r="H90" i="17"/>
  <c r="H93" i="17"/>
  <c r="H94" i="17"/>
  <c r="H92" i="17"/>
  <c r="H51" i="17"/>
  <c r="H50" i="17"/>
  <c r="H48" i="17"/>
  <c r="H47" i="17"/>
  <c r="H49" i="17"/>
  <c r="H201" i="17"/>
  <c r="H202" i="17"/>
  <c r="H200" i="17"/>
  <c r="H199" i="17"/>
  <c r="H198" i="17"/>
  <c r="H107" i="17"/>
  <c r="H105" i="17"/>
  <c r="H106" i="17"/>
  <c r="H109" i="17"/>
  <c r="H108" i="17"/>
  <c r="H211" i="17"/>
  <c r="H209" i="17"/>
  <c r="H210" i="17"/>
  <c r="H213" i="17"/>
  <c r="H212" i="17"/>
  <c r="H115" i="17"/>
  <c r="H120" i="17"/>
  <c r="H117" i="17"/>
  <c r="H119" i="17"/>
  <c r="H118" i="17"/>
  <c r="H116" i="17"/>
  <c r="H73" i="17"/>
  <c r="H74" i="17"/>
  <c r="H72" i="17"/>
  <c r="H71" i="17"/>
  <c r="H70" i="17"/>
  <c r="H69" i="17"/>
  <c r="H123" i="17"/>
  <c r="H129" i="17"/>
  <c r="H121" i="17"/>
  <c r="H130" i="17"/>
  <c r="H122" i="17"/>
  <c r="H128" i="17"/>
  <c r="H127" i="17"/>
  <c r="H126" i="17"/>
  <c r="H125" i="17"/>
  <c r="H124" i="17"/>
  <c r="H179" i="17"/>
  <c r="H178" i="17"/>
  <c r="H181" i="17"/>
  <c r="H182" i="17"/>
  <c r="H180" i="17"/>
  <c r="H195" i="17"/>
  <c r="H193" i="17"/>
  <c r="H194" i="17"/>
  <c r="H197" i="17"/>
  <c r="H196" i="17"/>
  <c r="H99" i="17"/>
  <c r="H97" i="17"/>
  <c r="H98" i="17"/>
  <c r="H96" i="17"/>
  <c r="H95" i="17"/>
  <c r="H35" i="17"/>
  <c r="H34" i="17"/>
  <c r="H32" i="17"/>
  <c r="H36" i="17"/>
  <c r="H33" i="17"/>
  <c r="H40" i="17"/>
  <c r="H39" i="17"/>
  <c r="H38" i="17"/>
  <c r="H41" i="17"/>
  <c r="H37" i="17"/>
  <c r="H113" i="17"/>
  <c r="H114" i="17"/>
  <c r="H112" i="17"/>
  <c r="H111" i="17"/>
  <c r="H110" i="17"/>
  <c r="H43" i="17"/>
  <c r="H42" i="17"/>
  <c r="H46" i="17"/>
  <c r="H44" i="17"/>
  <c r="H45" i="17"/>
  <c r="H177" i="17"/>
  <c r="H176" i="17"/>
  <c r="H173" i="17"/>
  <c r="H175" i="17"/>
  <c r="H174" i="17"/>
  <c r="H172" i="17"/>
  <c r="H75" i="17"/>
  <c r="H79" i="17"/>
  <c r="H77" i="17"/>
  <c r="H78" i="17"/>
  <c r="H76" i="17"/>
  <c r="H131" i="17"/>
  <c r="H137" i="17"/>
  <c r="H136" i="17"/>
  <c r="H135" i="17"/>
  <c r="H133" i="17"/>
  <c r="H134" i="17"/>
  <c r="H132" i="17"/>
  <c r="H187" i="17"/>
  <c r="H185" i="17"/>
  <c r="H186" i="17"/>
  <c r="H184" i="17"/>
  <c r="H183" i="17"/>
  <c r="H147" i="17"/>
  <c r="H145" i="17"/>
  <c r="H146" i="17"/>
  <c r="H144" i="17"/>
  <c r="H149" i="17"/>
  <c r="H148" i="17"/>
  <c r="H160" i="17"/>
  <c r="H159" i="17"/>
  <c r="H157" i="17"/>
  <c r="H158" i="17"/>
  <c r="H156" i="17"/>
  <c r="H56" i="17"/>
  <c r="H55" i="17"/>
  <c r="H54" i="17"/>
  <c r="H57" i="17"/>
  <c r="H52" i="17"/>
  <c r="H53" i="17"/>
  <c r="H59" i="17"/>
  <c r="H58" i="17"/>
  <c r="H63" i="17"/>
  <c r="H62" i="17"/>
  <c r="H61" i="17"/>
  <c r="H60" i="17"/>
  <c r="H171" i="17"/>
  <c r="H169" i="17"/>
  <c r="H170" i="17"/>
  <c r="H168" i="17"/>
  <c r="H167" i="17"/>
  <c r="H67" i="17"/>
  <c r="H66" i="17"/>
  <c r="H64" i="17"/>
  <c r="H65" i="17"/>
  <c r="H68" i="17"/>
  <c r="H219" i="17"/>
  <c r="H217" i="17"/>
  <c r="H218" i="17"/>
  <c r="H216" i="17"/>
  <c r="H215" i="17"/>
  <c r="H214" i="17"/>
  <c r="H89" i="17"/>
  <c r="H88" i="17"/>
  <c r="H87" i="17"/>
  <c r="H86" i="17"/>
  <c r="H85" i="17"/>
  <c r="H192" i="17"/>
  <c r="H191" i="17"/>
  <c r="H190" i="17"/>
  <c r="H189" i="17"/>
  <c r="H188" i="17"/>
  <c r="H235" i="17"/>
  <c r="H233" i="17"/>
  <c r="H234" i="17"/>
  <c r="H232" i="17"/>
  <c r="H237" i="17"/>
  <c r="H236" i="17"/>
  <c r="P10" i="55"/>
  <c r="P10" i="57"/>
  <c r="P20" i="55"/>
  <c r="P20" i="57"/>
  <c r="P29" i="55"/>
  <c r="P29" i="57"/>
  <c r="P37" i="55"/>
  <c r="P37" i="57"/>
  <c r="P12" i="55"/>
  <c r="P12" i="57"/>
  <c r="P22" i="55"/>
  <c r="P22" i="57"/>
  <c r="P31" i="55"/>
  <c r="P31" i="57"/>
  <c r="P21" i="55"/>
  <c r="P21" i="57"/>
  <c r="P14" i="55"/>
  <c r="P14" i="57"/>
  <c r="P32" i="55"/>
  <c r="P32" i="57"/>
  <c r="P30" i="55"/>
  <c r="P30" i="57"/>
  <c r="P15" i="55"/>
  <c r="P15" i="57"/>
  <c r="P24" i="55"/>
  <c r="P24" i="57"/>
  <c r="P33" i="55"/>
  <c r="P33" i="57"/>
  <c r="P7" i="55"/>
  <c r="P7" i="57"/>
  <c r="P16" i="55"/>
  <c r="P16" i="57"/>
  <c r="P26" i="55"/>
  <c r="P26" i="57"/>
  <c r="P34" i="55"/>
  <c r="P34" i="57"/>
  <c r="P4" i="55"/>
  <c r="P4" i="57"/>
  <c r="P11" i="55"/>
  <c r="P11" i="57"/>
  <c r="P8" i="55"/>
  <c r="P8" i="57"/>
  <c r="P18" i="55"/>
  <c r="P18" i="57"/>
  <c r="P5" i="55"/>
  <c r="P5" i="57"/>
  <c r="P9" i="55"/>
  <c r="P9" i="57"/>
  <c r="P19" i="55"/>
  <c r="P19" i="57"/>
  <c r="P28" i="55"/>
  <c r="P28" i="57"/>
  <c r="P36" i="55"/>
  <c r="P36" i="57"/>
  <c r="P6" i="55"/>
  <c r="P6" i="57"/>
  <c r="C27" i="44"/>
  <c r="C36" i="44"/>
  <c r="C44" i="44"/>
  <c r="C18" i="44"/>
  <c r="C28" i="44"/>
  <c r="C37" i="44"/>
  <c r="C29" i="44"/>
  <c r="C39" i="44"/>
  <c r="C22" i="44"/>
  <c r="C31" i="44"/>
  <c r="C40" i="44"/>
  <c r="C14" i="44"/>
  <c r="C23" i="44"/>
  <c r="C33" i="44"/>
  <c r="C41" i="44"/>
  <c r="C11" i="44"/>
  <c r="C38" i="44"/>
  <c r="C15" i="44"/>
  <c r="C25" i="44"/>
  <c r="C12" i="44"/>
  <c r="C17" i="44"/>
  <c r="C19" i="44"/>
  <c r="C21" i="44"/>
  <c r="C16" i="44"/>
  <c r="C26" i="44"/>
  <c r="C35" i="44"/>
  <c r="C43" i="44"/>
  <c r="C13" i="44"/>
  <c r="X47" i="16"/>
  <c r="C47" i="44"/>
  <c r="H34" i="41"/>
  <c r="K34" i="41" s="1"/>
  <c r="H29" i="41"/>
  <c r="K29" i="41" s="1"/>
  <c r="M39" i="41"/>
  <c r="M15" i="41"/>
  <c r="H17" i="41"/>
  <c r="H42" i="41"/>
  <c r="K42" i="41" s="1"/>
  <c r="M7" i="41"/>
  <c r="H36" i="41"/>
  <c r="K36" i="41" s="1"/>
  <c r="H3" i="41"/>
  <c r="M19" i="41"/>
  <c r="M26" i="41"/>
  <c r="M5" i="41"/>
  <c r="H2" i="41"/>
  <c r="H4" i="41"/>
  <c r="H6" i="41"/>
  <c r="H8" i="41"/>
  <c r="H10" i="41"/>
  <c r="H12" i="41"/>
  <c r="H14" i="41"/>
  <c r="H16" i="41"/>
  <c r="H18" i="41"/>
  <c r="H20" i="41"/>
  <c r="H25" i="41"/>
  <c r="K25" i="41" s="1"/>
  <c r="H28" i="41"/>
  <c r="K28" i="41" s="1"/>
  <c r="H37" i="41"/>
  <c r="K37" i="41" s="1"/>
  <c r="H9" i="41"/>
  <c r="H11" i="41"/>
  <c r="H13" i="41"/>
  <c r="H21" i="41"/>
  <c r="K21" i="41" s="1"/>
  <c r="M31" i="41"/>
  <c r="M41" i="41"/>
  <c r="M40" i="41"/>
  <c r="M24" i="41"/>
  <c r="H30" i="41"/>
  <c r="K30" i="41" s="1"/>
  <c r="M32" i="41"/>
  <c r="H43" i="41"/>
  <c r="K43" i="41" s="1"/>
  <c r="H38" i="41"/>
  <c r="K38" i="41" s="1"/>
  <c r="H27" i="41"/>
  <c r="K27" i="41" s="1"/>
  <c r="M22" i="41"/>
  <c r="H35" i="41"/>
  <c r="K35" i="41" s="1"/>
  <c r="J10" i="35" l="1"/>
  <c r="L26" i="31"/>
  <c r="L25" i="31"/>
  <c r="L23" i="31"/>
  <c r="AK46" i="16"/>
  <c r="X14" i="16"/>
  <c r="X15" i="16"/>
  <c r="X16" i="16"/>
  <c r="X17" i="16"/>
  <c r="X18" i="16"/>
  <c r="X19" i="16"/>
  <c r="AR47" i="16" l="1"/>
  <c r="AQ47" i="16" l="1"/>
  <c r="O47" i="16" s="1"/>
  <c r="Q61" i="37" l="1"/>
  <c r="H61" i="37"/>
  <c r="G61" i="37" s="1"/>
  <c r="O60" i="37"/>
  <c r="N60" i="37"/>
  <c r="M60" i="37"/>
  <c r="P60" i="37" s="1"/>
  <c r="H60" i="37"/>
  <c r="G60" i="37" s="1"/>
  <c r="Q59" i="37"/>
  <c r="O58" i="37"/>
  <c r="N58" i="37"/>
  <c r="M58" i="37"/>
  <c r="Q58" i="37" s="1"/>
  <c r="H58" i="37"/>
  <c r="G58" i="37" s="1"/>
  <c r="Q57" i="37"/>
  <c r="H57" i="37"/>
  <c r="G57" i="37" s="1"/>
  <c r="Q56" i="37"/>
  <c r="H56" i="37"/>
  <c r="G56" i="37" s="1"/>
  <c r="M55" i="37"/>
  <c r="H55" i="37"/>
  <c r="G55" i="37" s="1"/>
  <c r="M54" i="37"/>
  <c r="H54" i="37"/>
  <c r="G54" i="37" s="1"/>
  <c r="O51" i="37"/>
  <c r="N51" i="37"/>
  <c r="M51" i="37"/>
  <c r="Q51" i="37" s="1"/>
  <c r="H51" i="37"/>
  <c r="G51" i="37" s="1"/>
  <c r="O50" i="37"/>
  <c r="N50" i="37"/>
  <c r="M50" i="37"/>
  <c r="P50" i="37" s="1"/>
  <c r="H50" i="37"/>
  <c r="G50" i="37" s="1"/>
  <c r="O49" i="37"/>
  <c r="N49" i="37"/>
  <c r="M49" i="37"/>
  <c r="Q49" i="37" s="1"/>
  <c r="H49" i="37"/>
  <c r="G49" i="37" s="1"/>
  <c r="O48" i="37"/>
  <c r="N48" i="37"/>
  <c r="M48" i="37"/>
  <c r="P48" i="37" s="1"/>
  <c r="H48" i="37"/>
  <c r="G48" i="37" s="1"/>
  <c r="O47" i="37"/>
  <c r="N47" i="37"/>
  <c r="M47" i="37"/>
  <c r="Q47" i="37" s="1"/>
  <c r="H47" i="37"/>
  <c r="G47" i="37" s="1"/>
  <c r="O46" i="37"/>
  <c r="N46" i="37"/>
  <c r="M46" i="37"/>
  <c r="Q46" i="37" s="1"/>
  <c r="H46" i="37"/>
  <c r="G46" i="37" s="1"/>
  <c r="O45" i="37"/>
  <c r="N45" i="37"/>
  <c r="M45" i="37"/>
  <c r="Q45" i="37" s="1"/>
  <c r="H45" i="37"/>
  <c r="G45" i="37" s="1"/>
  <c r="O44" i="37"/>
  <c r="N44" i="37"/>
  <c r="M44" i="37"/>
  <c r="Q44" i="37" s="1"/>
  <c r="H44" i="37"/>
  <c r="G44" i="37" s="1"/>
  <c r="O43" i="37"/>
  <c r="N43" i="37"/>
  <c r="M43" i="37"/>
  <c r="Q43" i="37" s="1"/>
  <c r="H43" i="37"/>
  <c r="G43" i="37" s="1"/>
  <c r="N42" i="37"/>
  <c r="S42" i="37" s="1"/>
  <c r="P42" i="37"/>
  <c r="H42" i="37"/>
  <c r="G42" i="37" s="1"/>
  <c r="M13" i="37"/>
  <c r="O39" i="37"/>
  <c r="N39" i="37"/>
  <c r="M39" i="37"/>
  <c r="Q39" i="37" s="1"/>
  <c r="H35" i="37"/>
  <c r="O33" i="37"/>
  <c r="N33" i="37"/>
  <c r="M33" i="37"/>
  <c r="P33" i="37" s="1"/>
  <c r="P32" i="37"/>
  <c r="P24" i="37"/>
  <c r="G24" i="37"/>
  <c r="O23" i="37"/>
  <c r="N23" i="37"/>
  <c r="P23" i="37" s="1"/>
  <c r="M23" i="37"/>
  <c r="H23" i="37"/>
  <c r="G23" i="37" s="1"/>
  <c r="O22" i="37"/>
  <c r="N22" i="37"/>
  <c r="M22" i="37"/>
  <c r="G22" i="37"/>
  <c r="M21" i="37"/>
  <c r="H21" i="37"/>
  <c r="G21" i="37" s="1"/>
  <c r="O20" i="37"/>
  <c r="N20" i="37"/>
  <c r="M20" i="37"/>
  <c r="G20" i="37"/>
  <c r="O19" i="37"/>
  <c r="M19" i="37"/>
  <c r="H19" i="37"/>
  <c r="G19" i="37" s="1"/>
  <c r="O18" i="37"/>
  <c r="N18" i="37"/>
  <c r="P18" i="37" s="1"/>
  <c r="M18" i="37"/>
  <c r="H18" i="37"/>
  <c r="G18" i="37" s="1"/>
  <c r="O17" i="37"/>
  <c r="N17" i="37"/>
  <c r="M17" i="37"/>
  <c r="O16" i="37"/>
  <c r="N16" i="37"/>
  <c r="P16" i="37" s="1"/>
  <c r="M16" i="37"/>
  <c r="O15" i="37"/>
  <c r="N15" i="37"/>
  <c r="M15" i="37"/>
  <c r="H15" i="37"/>
  <c r="G15" i="37" s="1"/>
  <c r="O14" i="37"/>
  <c r="N14" i="37"/>
  <c r="M14" i="37"/>
  <c r="O12" i="37"/>
  <c r="N12" i="37"/>
  <c r="M12" i="37"/>
  <c r="O11" i="37"/>
  <c r="N11" i="37"/>
  <c r="P11" i="37" s="1"/>
  <c r="M11" i="37"/>
  <c r="H11" i="37"/>
  <c r="G11" i="37" s="1"/>
  <c r="O10" i="37"/>
  <c r="N10" i="37"/>
  <c r="M10" i="37"/>
  <c r="S43" i="37" l="1"/>
  <c r="S51" i="37"/>
  <c r="S45" i="37"/>
  <c r="S47" i="37"/>
  <c r="S49" i="37"/>
  <c r="Q55" i="37"/>
  <c r="O55" i="37"/>
  <c r="N55" i="37"/>
  <c r="Q54" i="37"/>
  <c r="S44" i="37"/>
  <c r="O54" i="37" s="1"/>
  <c r="S46" i="37"/>
  <c r="S48" i="37"/>
  <c r="S50" i="37"/>
  <c r="O13" i="37"/>
  <c r="N13" i="37"/>
  <c r="Q13" i="37" s="1"/>
  <c r="E13" i="37"/>
  <c r="Q41" i="37"/>
  <c r="Q60" i="37"/>
  <c r="Q34" i="37"/>
  <c r="P34" i="37" s="1"/>
  <c r="Q14" i="37"/>
  <c r="Q27" i="37"/>
  <c r="P27" i="37" s="1"/>
  <c r="Q29" i="37"/>
  <c r="P29" i="37" s="1"/>
  <c r="P41" i="37"/>
  <c r="P59" i="37"/>
  <c r="Q48" i="37"/>
  <c r="P47" i="37"/>
  <c r="Q42" i="37"/>
  <c r="Q31" i="37"/>
  <c r="P31" i="37" s="1"/>
  <c r="Q26" i="37"/>
  <c r="P26" i="37" s="1"/>
  <c r="Q28" i="37"/>
  <c r="P28" i="37" s="1"/>
  <c r="Q15" i="37"/>
  <c r="P39" i="37"/>
  <c r="Q50" i="37"/>
  <c r="P58" i="37"/>
  <c r="Q10" i="37"/>
  <c r="P14" i="37"/>
  <c r="Q22" i="37"/>
  <c r="Q30" i="37"/>
  <c r="P30" i="37" s="1"/>
  <c r="P35" i="37"/>
  <c r="P38" i="37"/>
  <c r="P49" i="37"/>
  <c r="P57" i="37"/>
  <c r="Q17" i="37"/>
  <c r="Q20" i="37"/>
  <c r="N21" i="37" s="1"/>
  <c r="Q24" i="37"/>
  <c r="Q23" i="37"/>
  <c r="P10" i="37"/>
  <c r="Q12" i="37"/>
  <c r="P22" i="37"/>
  <c r="Q16" i="37"/>
  <c r="P19" i="37"/>
  <c r="Q11" i="37"/>
  <c r="P15" i="37"/>
  <c r="Q18" i="37"/>
  <c r="P12" i="37"/>
  <c r="P20" i="37"/>
  <c r="P37" i="37"/>
  <c r="P46" i="37"/>
  <c r="P56" i="37"/>
  <c r="P36" i="37"/>
  <c r="P45" i="37"/>
  <c r="P55" i="37"/>
  <c r="P44" i="37"/>
  <c r="P54" i="37"/>
  <c r="P17" i="37"/>
  <c r="O42" i="37"/>
  <c r="P43" i="37"/>
  <c r="P51" i="37"/>
  <c r="P61" i="37"/>
  <c r="N54" i="37" l="1"/>
  <c r="P13" i="37"/>
  <c r="O21" i="37"/>
  <c r="P21" i="37"/>
  <c r="L13" i="39"/>
  <c r="N13" i="39" s="1"/>
  <c r="L14" i="39"/>
  <c r="N14" i="39" s="1"/>
  <c r="L15" i="39"/>
  <c r="L16" i="39"/>
  <c r="N16" i="39" s="1"/>
  <c r="L17" i="39"/>
  <c r="N17" i="39" s="1"/>
  <c r="L18" i="39"/>
  <c r="N18" i="39" s="1"/>
  <c r="L19" i="39"/>
  <c r="N19" i="39" s="1"/>
  <c r="L20" i="39"/>
  <c r="N20" i="39" s="1"/>
  <c r="L21" i="39"/>
  <c r="N21" i="39" s="1"/>
  <c r="L22" i="39"/>
  <c r="L23" i="39"/>
  <c r="L24" i="39"/>
  <c r="L25" i="39"/>
  <c r="L12" i="39"/>
  <c r="N12" i="39" s="1"/>
  <c r="J1" i="39"/>
  <c r="C17" i="39"/>
  <c r="C18" i="39"/>
  <c r="C20" i="39"/>
  <c r="C13" i="39"/>
  <c r="C25" i="39"/>
  <c r="C24" i="39"/>
  <c r="C19" i="39"/>
  <c r="C23" i="39"/>
  <c r="C15" i="39"/>
  <c r="C22" i="39"/>
  <c r="C16" i="39"/>
  <c r="C12" i="39"/>
  <c r="C21" i="39"/>
  <c r="C14" i="39"/>
  <c r="F19" i="39" l="1"/>
  <c r="F13" i="39"/>
  <c r="F12" i="39"/>
  <c r="F14" i="39"/>
  <c r="F24" i="39"/>
  <c r="F23" i="39"/>
  <c r="F15" i="39"/>
  <c r="F16" i="39"/>
  <c r="F25" i="39"/>
  <c r="F20" i="39"/>
  <c r="F21" i="39"/>
  <c r="F22" i="39"/>
  <c r="F18" i="39"/>
  <c r="F17" i="39"/>
  <c r="C33" i="39"/>
  <c r="F33" i="39" s="1"/>
  <c r="BR36" i="16"/>
  <c r="BR44" i="16"/>
  <c r="BR35" i="16"/>
  <c r="BR43" i="16"/>
  <c r="BR34" i="16"/>
  <c r="BR42" i="16"/>
  <c r="BR33" i="16"/>
  <c r="BR41" i="16"/>
  <c r="BR40" i="16"/>
  <c r="BR39" i="16"/>
  <c r="BR38" i="16"/>
  <c r="BR37" i="16"/>
  <c r="BR45" i="16"/>
  <c r="L33" i="39"/>
  <c r="H17" i="39"/>
  <c r="R17" i="39" s="1"/>
  <c r="I18" i="39"/>
  <c r="BT39" i="16" s="1"/>
  <c r="H25" i="39"/>
  <c r="R25" i="39" s="1"/>
  <c r="H16" i="39"/>
  <c r="R16" i="39" s="1"/>
  <c r="I17" i="39"/>
  <c r="BT38" i="16" s="1"/>
  <c r="BU38" i="16" s="1"/>
  <c r="H24" i="39"/>
  <c r="R24" i="39" s="1"/>
  <c r="I25" i="39"/>
  <c r="H15" i="39"/>
  <c r="I16" i="39"/>
  <c r="BT37" i="16" s="1"/>
  <c r="H23" i="39"/>
  <c r="R23" i="39" s="1"/>
  <c r="I24" i="39"/>
  <c r="BT45" i="16" s="1"/>
  <c r="H14" i="39"/>
  <c r="R14" i="39" s="1"/>
  <c r="I15" i="39"/>
  <c r="BT36" i="16" s="1"/>
  <c r="H22" i="39"/>
  <c r="R22" i="39" s="1"/>
  <c r="I23" i="39"/>
  <c r="BT44" i="16" s="1"/>
  <c r="H13" i="39"/>
  <c r="R13" i="39" s="1"/>
  <c r="I14" i="39"/>
  <c r="BT35" i="16" s="1"/>
  <c r="BU35" i="16" s="1"/>
  <c r="H21" i="39"/>
  <c r="R21" i="39" s="1"/>
  <c r="I22" i="39"/>
  <c r="BT43" i="16" s="1"/>
  <c r="BU43" i="16" s="1"/>
  <c r="H12" i="39"/>
  <c r="I13" i="39"/>
  <c r="BT34" i="16" s="1"/>
  <c r="H20" i="39"/>
  <c r="R20" i="39" s="1"/>
  <c r="I21" i="39"/>
  <c r="BT42" i="16" s="1"/>
  <c r="I12" i="39"/>
  <c r="BT33" i="16" s="1"/>
  <c r="H19" i="39"/>
  <c r="R19" i="39" s="1"/>
  <c r="I20" i="39"/>
  <c r="BT41" i="16" s="1"/>
  <c r="H18" i="39"/>
  <c r="R18" i="39" s="1"/>
  <c r="I19" i="39"/>
  <c r="BT40" i="16" s="1"/>
  <c r="AB34" i="31"/>
  <c r="AB35" i="31"/>
  <c r="AB33" i="31"/>
  <c r="E3" i="16"/>
  <c r="C3" i="44" s="1"/>
  <c r="E4" i="16"/>
  <c r="C4" i="44" s="1"/>
  <c r="E5" i="16"/>
  <c r="E6" i="16"/>
  <c r="E7" i="16"/>
  <c r="E8" i="16"/>
  <c r="E9" i="16"/>
  <c r="E2" i="16"/>
  <c r="C2" i="44" s="1"/>
  <c r="H26" i="17" l="1"/>
  <c r="H24" i="17"/>
  <c r="H23" i="17"/>
  <c r="H22" i="17"/>
  <c r="H25" i="17"/>
  <c r="H3" i="17"/>
  <c r="H2" i="17"/>
  <c r="H6" i="17"/>
  <c r="H4" i="17"/>
  <c r="H5" i="17"/>
  <c r="H19" i="17"/>
  <c r="H18" i="17"/>
  <c r="H21" i="17"/>
  <c r="H20" i="17"/>
  <c r="H17" i="17"/>
  <c r="H11" i="17"/>
  <c r="H10" i="17"/>
  <c r="H8" i="17"/>
  <c r="H7" i="17"/>
  <c r="H9" i="17"/>
  <c r="H16" i="17"/>
  <c r="H15" i="17"/>
  <c r="H14" i="17"/>
  <c r="H13" i="17"/>
  <c r="H12" i="17"/>
  <c r="BU41" i="16"/>
  <c r="P2" i="55"/>
  <c r="P2" i="57"/>
  <c r="BU37" i="16"/>
  <c r="BU44" i="16"/>
  <c r="BU42" i="16"/>
  <c r="BU40" i="16"/>
  <c r="BU45" i="16"/>
  <c r="BU39" i="16"/>
  <c r="BU33" i="16"/>
  <c r="BU34" i="16"/>
  <c r="BU36" i="16"/>
  <c r="I33" i="39"/>
  <c r="H33" i="39"/>
  <c r="G15" i="39"/>
  <c r="Q15" i="39" s="1"/>
  <c r="G20" i="39"/>
  <c r="Q20" i="39" s="1"/>
  <c r="BV39" i="16"/>
  <c r="G18" i="39"/>
  <c r="Q18" i="39" s="1"/>
  <c r="BV34" i="16"/>
  <c r="G13" i="39"/>
  <c r="Q13" i="39" s="1"/>
  <c r="G17" i="39"/>
  <c r="Q17" i="39" s="1"/>
  <c r="G22" i="39"/>
  <c r="Q22" i="39" s="1"/>
  <c r="BV45" i="16"/>
  <c r="G24" i="39"/>
  <c r="Q24" i="39" s="1"/>
  <c r="BV35" i="16"/>
  <c r="G14" i="39"/>
  <c r="Q14" i="39" s="1"/>
  <c r="BV40" i="16"/>
  <c r="G19" i="39"/>
  <c r="Q19" i="39" s="1"/>
  <c r="BV37" i="16"/>
  <c r="G16" i="39"/>
  <c r="Q16" i="39" s="1"/>
  <c r="G12" i="39"/>
  <c r="BV42" i="16"/>
  <c r="G21" i="39"/>
  <c r="Q21" i="39" s="1"/>
  <c r="BV44" i="16"/>
  <c r="G23" i="39"/>
  <c r="Q23" i="39" s="1"/>
  <c r="G25" i="39"/>
  <c r="Q25" i="39" s="1"/>
  <c r="BZ9" i="16"/>
  <c r="CF9" i="16" s="1"/>
  <c r="CG9" i="16" s="1"/>
  <c r="CH9" i="16" s="1"/>
  <c r="CI9" i="16" s="1"/>
  <c r="C9" i="44"/>
  <c r="BZ6" i="16"/>
  <c r="CF6" i="16" s="1"/>
  <c r="CG6" i="16" s="1"/>
  <c r="CH6" i="16" s="1"/>
  <c r="CI6" i="16" s="1"/>
  <c r="C6" i="44"/>
  <c r="BZ8" i="16"/>
  <c r="CF8" i="16" s="1"/>
  <c r="CG8" i="16" s="1"/>
  <c r="CH8" i="16" s="1"/>
  <c r="CI8" i="16" s="1"/>
  <c r="C8" i="44"/>
  <c r="BZ5" i="16"/>
  <c r="CF5" i="16" s="1"/>
  <c r="CG5" i="16" s="1"/>
  <c r="CH5" i="16" s="1"/>
  <c r="CI5" i="16" s="1"/>
  <c r="C5" i="44"/>
  <c r="BZ7" i="16"/>
  <c r="CF7" i="16" s="1"/>
  <c r="CG7" i="16" s="1"/>
  <c r="CH7" i="16" s="1"/>
  <c r="CI7" i="16" s="1"/>
  <c r="C7" i="44"/>
  <c r="R15" i="39"/>
  <c r="J15" i="39"/>
  <c r="O2" i="16"/>
  <c r="BZ2" i="16"/>
  <c r="CF2" i="16" s="1"/>
  <c r="CG2" i="16" s="1"/>
  <c r="O3" i="16"/>
  <c r="BZ3" i="16"/>
  <c r="CF3" i="16" s="1"/>
  <c r="CG3" i="16" s="1"/>
  <c r="O4" i="16"/>
  <c r="BZ4" i="16"/>
  <c r="CF4" i="16" s="1"/>
  <c r="CG4" i="16" s="1"/>
  <c r="I39" i="39"/>
  <c r="I38" i="39"/>
  <c r="I37" i="39"/>
  <c r="I36" i="39"/>
  <c r="O33" i="39" s="1"/>
  <c r="R12" i="39"/>
  <c r="H39" i="39"/>
  <c r="H38" i="39"/>
  <c r="H37" i="39"/>
  <c r="H40" i="39"/>
  <c r="BZ31" i="16"/>
  <c r="BZ22" i="16"/>
  <c r="BZ39" i="16"/>
  <c r="BZ27" i="16"/>
  <c r="BZ30" i="16"/>
  <c r="BZ21" i="16"/>
  <c r="BZ46" i="16"/>
  <c r="BZ38" i="16"/>
  <c r="BZ41" i="16"/>
  <c r="BZ29" i="16"/>
  <c r="BZ45" i="16"/>
  <c r="BZ37" i="16"/>
  <c r="BZ43" i="16"/>
  <c r="BZ28" i="16"/>
  <c r="BZ44" i="16"/>
  <c r="BZ36" i="16"/>
  <c r="BZ35" i="16"/>
  <c r="BZ26" i="16"/>
  <c r="BZ42" i="16"/>
  <c r="BZ34" i="16"/>
  <c r="BZ25" i="16"/>
  <c r="BZ23" i="16"/>
  <c r="BZ33" i="16"/>
  <c r="BZ40" i="16"/>
  <c r="BZ47" i="16"/>
  <c r="BZ19" i="16"/>
  <c r="BZ14" i="16"/>
  <c r="BZ18" i="16"/>
  <c r="BZ13" i="16"/>
  <c r="BZ17" i="16"/>
  <c r="BZ12" i="16"/>
  <c r="BZ16" i="16"/>
  <c r="BZ11" i="16"/>
  <c r="BZ15" i="16"/>
  <c r="BZ10" i="16"/>
  <c r="C2" i="16"/>
  <c r="B2" i="44" s="1"/>
  <c r="C47" i="16"/>
  <c r="C3" i="16"/>
  <c r="B3" i="44" s="1"/>
  <c r="C4" i="16"/>
  <c r="B4" i="44" s="1"/>
  <c r="O15" i="39"/>
  <c r="BV38" i="16"/>
  <c r="J13" i="39"/>
  <c r="O22" i="39"/>
  <c r="J24" i="39"/>
  <c r="O24" i="39"/>
  <c r="J22" i="39"/>
  <c r="J14" i="39"/>
  <c r="J16" i="39"/>
  <c r="O25" i="39"/>
  <c r="BV36" i="16"/>
  <c r="J20" i="39"/>
  <c r="O23" i="39"/>
  <c r="O21" i="39"/>
  <c r="BV41" i="16"/>
  <c r="O19" i="39"/>
  <c r="O13" i="39"/>
  <c r="O18" i="39"/>
  <c r="O12" i="39"/>
  <c r="J18" i="39"/>
  <c r="BV43" i="16"/>
  <c r="O16" i="39"/>
  <c r="O20" i="39"/>
  <c r="O14" i="39"/>
  <c r="O17" i="39"/>
  <c r="H36" i="39"/>
  <c r="J12" i="39"/>
  <c r="J25" i="39"/>
  <c r="J21" i="39"/>
  <c r="J23" i="39"/>
  <c r="J19" i="39"/>
  <c r="J17" i="39"/>
  <c r="B47" i="44" l="1"/>
  <c r="CD44" i="16"/>
  <c r="G38" i="54"/>
  <c r="H38" i="54" s="1"/>
  <c r="CD35" i="16"/>
  <c r="G29" i="54"/>
  <c r="H29" i="54" s="1"/>
  <c r="CD39" i="16"/>
  <c r="G33" i="54"/>
  <c r="H33" i="54" s="1"/>
  <c r="CD43" i="16"/>
  <c r="G37" i="54"/>
  <c r="H37" i="54" s="1"/>
  <c r="CD40" i="16"/>
  <c r="G34" i="54"/>
  <c r="H34" i="54" s="1"/>
  <c r="CD38" i="16"/>
  <c r="G32" i="54"/>
  <c r="H32" i="54" s="1"/>
  <c r="CD42" i="16"/>
  <c r="G36" i="54"/>
  <c r="H36" i="54" s="1"/>
  <c r="CD45" i="16"/>
  <c r="G39" i="54"/>
  <c r="H39" i="54" s="1"/>
  <c r="CD41" i="16"/>
  <c r="G35" i="54"/>
  <c r="H35" i="54" s="1"/>
  <c r="CD37" i="16"/>
  <c r="G31" i="54"/>
  <c r="H31" i="54" s="1"/>
  <c r="CD34" i="16"/>
  <c r="G28" i="54"/>
  <c r="H28" i="54" s="1"/>
  <c r="CD36" i="16"/>
  <c r="G30" i="54"/>
  <c r="H30" i="54" s="1"/>
  <c r="J33" i="39"/>
  <c r="Q12" i="39"/>
  <c r="G33" i="39"/>
  <c r="G39" i="39"/>
  <c r="G36" i="39"/>
  <c r="G38" i="39"/>
  <c r="G40" i="39"/>
  <c r="G37" i="39"/>
  <c r="CH4" i="16"/>
  <c r="CI4" i="16" s="1"/>
  <c r="CH3" i="16"/>
  <c r="CI3" i="16" s="1"/>
  <c r="CH2" i="16"/>
  <c r="CI2" i="16" s="1"/>
  <c r="BV33" i="16"/>
  <c r="O34" i="39"/>
  <c r="J37" i="39"/>
  <c r="J39" i="39"/>
  <c r="J38" i="39"/>
  <c r="J36" i="39"/>
  <c r="O36" i="39"/>
  <c r="O35" i="39"/>
  <c r="CD33" i="16" l="1"/>
  <c r="G27" i="54"/>
  <c r="H27" i="54" s="1"/>
  <c r="X44" i="31"/>
  <c r="Y34" i="31"/>
  <c r="Y35" i="31"/>
  <c r="Y36" i="31"/>
  <c r="Z36" i="31"/>
  <c r="Y37" i="31"/>
  <c r="Y38" i="31"/>
  <c r="Z38" i="31"/>
  <c r="Y39" i="31"/>
  <c r="Y40" i="31"/>
  <c r="Y41" i="31"/>
  <c r="Y42" i="31"/>
  <c r="Y43" i="31"/>
  <c r="Y44" i="31"/>
  <c r="Z44" i="31"/>
  <c r="Y45" i="31"/>
  <c r="Y46" i="31"/>
  <c r="Z46" i="31"/>
  <c r="BR46" i="16" s="1"/>
  <c r="BU46" i="16" s="1"/>
  <c r="Z33" i="31"/>
  <c r="AC33" i="31" s="1"/>
  <c r="Y33" i="31"/>
  <c r="X34" i="31"/>
  <c r="Z34" i="31" s="1"/>
  <c r="AC34" i="31" s="1"/>
  <c r="X35" i="31"/>
  <c r="Z35" i="31" s="1"/>
  <c r="AC35" i="31" s="1"/>
  <c r="X36" i="31"/>
  <c r="X37" i="31"/>
  <c r="Z37" i="31" s="1"/>
  <c r="X38" i="31"/>
  <c r="X39" i="31"/>
  <c r="Z39" i="31" s="1"/>
  <c r="X40" i="31"/>
  <c r="Z40" i="31" s="1"/>
  <c r="X41" i="31"/>
  <c r="Z41" i="31" s="1"/>
  <c r="X42" i="31"/>
  <c r="Z42" i="31" s="1"/>
  <c r="X43" i="31"/>
  <c r="Z43" i="31" s="1"/>
  <c r="X45" i="31"/>
  <c r="Z45" i="31" s="1"/>
  <c r="X46" i="31"/>
  <c r="X33" i="31"/>
  <c r="U34" i="31"/>
  <c r="U35" i="31"/>
  <c r="U36" i="31"/>
  <c r="U37" i="31"/>
  <c r="U38" i="31"/>
  <c r="U39" i="31"/>
  <c r="U40" i="31"/>
  <c r="U41" i="31"/>
  <c r="U42" i="31"/>
  <c r="U43" i="31"/>
  <c r="U44" i="31"/>
  <c r="U45" i="31"/>
  <c r="U46" i="31"/>
  <c r="U33" i="31"/>
  <c r="O17" i="31"/>
  <c r="O18" i="31"/>
  <c r="O19" i="31"/>
  <c r="O20" i="31"/>
  <c r="O21" i="31"/>
  <c r="O22" i="31"/>
  <c r="O23" i="31"/>
  <c r="O24" i="31"/>
  <c r="O25" i="31"/>
  <c r="O26" i="31"/>
  <c r="O27" i="31"/>
  <c r="O28" i="31"/>
  <c r="O29" i="31"/>
  <c r="O30" i="31"/>
  <c r="BV52" i="16" l="1"/>
  <c r="BV46" i="16"/>
  <c r="G40" i="54" s="1"/>
  <c r="H40" i="54" s="1"/>
  <c r="L30" i="31"/>
  <c r="BV53" i="16" l="1"/>
  <c r="CD46" i="16"/>
  <c r="J12" i="35"/>
  <c r="K12" i="35" s="1"/>
  <c r="AD37" i="10" s="1"/>
  <c r="J13" i="35"/>
  <c r="K13" i="35" s="1"/>
  <c r="AD38" i="10" s="1"/>
  <c r="K10" i="35"/>
  <c r="AD35" i="10" s="1"/>
  <c r="I29" i="35" l="1"/>
  <c r="I11" i="35"/>
  <c r="I3" i="35"/>
  <c r="I4" i="35"/>
  <c r="I5" i="35"/>
  <c r="I6" i="35"/>
  <c r="I7" i="35"/>
  <c r="I8" i="35"/>
  <c r="I9" i="35"/>
  <c r="I13" i="35"/>
  <c r="I12" i="35"/>
  <c r="I10" i="35"/>
  <c r="F35" i="10" l="1"/>
  <c r="AB38" i="10"/>
  <c r="F38" i="10" s="1"/>
  <c r="AB37" i="10"/>
  <c r="F37" i="10" s="1"/>
  <c r="B29" i="35"/>
  <c r="C29" i="35" s="1"/>
  <c r="D29" i="35" s="1"/>
  <c r="H26" i="35"/>
  <c r="B27" i="35"/>
  <c r="C27" i="35" s="1"/>
  <c r="D27" i="35" s="1"/>
  <c r="B26" i="35"/>
  <c r="C26" i="35" s="1"/>
  <c r="D26" i="35" s="1"/>
  <c r="B25" i="35"/>
  <c r="C25" i="35" s="1"/>
  <c r="D25" i="35" s="1"/>
  <c r="B24" i="35"/>
  <c r="C24" i="35" s="1"/>
  <c r="D24" i="35" s="1"/>
  <c r="B23" i="35"/>
  <c r="C23" i="35" s="1"/>
  <c r="D23" i="35" s="1"/>
  <c r="B22" i="35"/>
  <c r="C22" i="35" s="1"/>
  <c r="D22" i="35" s="1"/>
  <c r="B21" i="35"/>
  <c r="C21" i="35" s="1"/>
  <c r="D21" i="35" s="1"/>
  <c r="B20" i="35"/>
  <c r="C20" i="35" s="1"/>
  <c r="D20" i="35" s="1"/>
  <c r="B19" i="35"/>
  <c r="C19" i="35" s="1"/>
  <c r="D19" i="35" s="1"/>
  <c r="B18" i="35"/>
  <c r="C18" i="35" s="1"/>
  <c r="D18" i="35" s="1"/>
  <c r="B17" i="35"/>
  <c r="C17" i="35" s="1"/>
  <c r="D17" i="35" s="1"/>
  <c r="B16" i="35"/>
  <c r="C16" i="35" s="1"/>
  <c r="D16" i="35" s="1"/>
  <c r="B15" i="35"/>
  <c r="C15" i="35" s="1"/>
  <c r="D15" i="35" s="1"/>
  <c r="B14" i="35"/>
  <c r="C14" i="35" s="1"/>
  <c r="D14" i="35" s="1"/>
  <c r="B13" i="35"/>
  <c r="C13" i="35" s="1"/>
  <c r="D13" i="35" s="1"/>
  <c r="B12" i="35"/>
  <c r="C12" i="35" s="1"/>
  <c r="D12" i="35" s="1"/>
  <c r="B11" i="35"/>
  <c r="C11" i="35" s="1"/>
  <c r="D11" i="35" s="1"/>
  <c r="B10" i="35"/>
  <c r="C10" i="35" s="1"/>
  <c r="D10" i="35" s="1"/>
  <c r="B9" i="35"/>
  <c r="C9" i="35" s="1"/>
  <c r="D9" i="35" s="1"/>
  <c r="B8" i="35"/>
  <c r="C8" i="35" s="1"/>
  <c r="D8" i="35" s="1"/>
  <c r="B7" i="35"/>
  <c r="C7" i="35" s="1"/>
  <c r="D7" i="35" s="1"/>
  <c r="B6" i="35"/>
  <c r="C6" i="35" s="1"/>
  <c r="D6" i="35" s="1"/>
  <c r="B5" i="35"/>
  <c r="C5" i="35" s="1"/>
  <c r="D5" i="35" s="1"/>
  <c r="B4" i="35"/>
  <c r="C4" i="35" s="1"/>
  <c r="D4" i="35" s="1"/>
  <c r="B3" i="35"/>
  <c r="C3" i="35" s="1"/>
  <c r="D3" i="35" s="1"/>
  <c r="L32" i="31"/>
  <c r="M32" i="31" s="1"/>
  <c r="M24" i="31"/>
  <c r="L34" i="31"/>
  <c r="L33" i="31"/>
  <c r="B38" i="31"/>
  <c r="E38" i="31" s="1"/>
  <c r="B37" i="31"/>
  <c r="D37" i="31" s="1"/>
  <c r="B36" i="31"/>
  <c r="E36" i="31" s="1"/>
  <c r="B35" i="31"/>
  <c r="E35" i="31" s="1"/>
  <c r="B34" i="31"/>
  <c r="E34" i="31" s="1"/>
  <c r="B33" i="31"/>
  <c r="E33" i="31" s="1"/>
  <c r="B32" i="31"/>
  <c r="E32" i="31" s="1"/>
  <c r="B31" i="31"/>
  <c r="E31" i="31" s="1"/>
  <c r="B30" i="31"/>
  <c r="E30" i="31" s="1"/>
  <c r="B29" i="31"/>
  <c r="E29" i="31" s="1"/>
  <c r="F62" i="31"/>
  <c r="F63" i="31"/>
  <c r="F64" i="31"/>
  <c r="F65" i="31"/>
  <c r="F66" i="31"/>
  <c r="F67" i="31"/>
  <c r="F69" i="31"/>
  <c r="F68" i="31"/>
  <c r="F22" i="31"/>
  <c r="F23" i="31"/>
  <c r="F24" i="31"/>
  <c r="F25" i="31"/>
  <c r="F26" i="31"/>
  <c r="F27" i="31"/>
  <c r="F21" i="31"/>
  <c r="B28" i="31"/>
  <c r="E28" i="31" s="1"/>
  <c r="AB36" i="31" s="1"/>
  <c r="AC36" i="31" s="1"/>
  <c r="C35" i="10" l="1"/>
  <c r="E35" i="10"/>
  <c r="D35" i="10"/>
  <c r="E37" i="10"/>
  <c r="D37" i="10"/>
  <c r="C37" i="10"/>
  <c r="E38" i="10"/>
  <c r="D38" i="10"/>
  <c r="C38" i="10"/>
  <c r="F29" i="31"/>
  <c r="AB37" i="31"/>
  <c r="AC37" i="31" s="1"/>
  <c r="F30" i="31"/>
  <c r="AB38" i="31"/>
  <c r="AC38" i="31" s="1"/>
  <c r="AB46" i="31"/>
  <c r="AC46" i="31" s="1"/>
  <c r="F32" i="31"/>
  <c r="AB40" i="31"/>
  <c r="AC40" i="31" s="1"/>
  <c r="F33" i="31"/>
  <c r="AB41" i="31"/>
  <c r="AC41" i="31" s="1"/>
  <c r="E37" i="31"/>
  <c r="F35" i="31"/>
  <c r="AB43" i="31"/>
  <c r="AC43" i="31" s="1"/>
  <c r="F31" i="31"/>
  <c r="AB39" i="31"/>
  <c r="AC39" i="31" s="1"/>
  <c r="F34" i="31"/>
  <c r="AB42" i="31"/>
  <c r="AC42" i="31" s="1"/>
  <c r="F36" i="31"/>
  <c r="AB44" i="31"/>
  <c r="AC44" i="31" s="1"/>
  <c r="F38" i="31"/>
  <c r="D38" i="31"/>
  <c r="F28" i="31"/>
  <c r="F37" i="31" l="1"/>
  <c r="AB45" i="31"/>
  <c r="AC45" i="31" s="1"/>
  <c r="L9" i="16"/>
  <c r="N23" i="16"/>
  <c r="N24" i="16"/>
  <c r="N25" i="16"/>
  <c r="N26" i="16"/>
  <c r="N27" i="16"/>
  <c r="N28" i="16"/>
  <c r="N29" i="16"/>
  <c r="N30" i="16"/>
  <c r="N31" i="16"/>
  <c r="N32" i="16"/>
  <c r="N33" i="16"/>
  <c r="N34" i="16"/>
  <c r="N35" i="16"/>
  <c r="N36" i="16"/>
  <c r="N37" i="16"/>
  <c r="N38" i="16"/>
  <c r="N39" i="16"/>
  <c r="N40" i="16"/>
  <c r="N41" i="16"/>
  <c r="N42" i="16"/>
  <c r="N43" i="16"/>
  <c r="N44" i="16"/>
  <c r="N45" i="16"/>
  <c r="N46" i="16"/>
  <c r="N47" i="16"/>
  <c r="I25" i="17" l="1"/>
  <c r="I24" i="17"/>
  <c r="I23" i="17"/>
  <c r="I26" i="17"/>
  <c r="I22" i="17"/>
  <c r="I9" i="16"/>
  <c r="I23" i="16"/>
  <c r="I24" i="16"/>
  <c r="I25" i="16"/>
  <c r="I26" i="16"/>
  <c r="I27" i="16"/>
  <c r="I28" i="16"/>
  <c r="I29" i="16"/>
  <c r="I30" i="16"/>
  <c r="I31" i="16"/>
  <c r="I32" i="16"/>
  <c r="I33" i="16"/>
  <c r="I34" i="16"/>
  <c r="I35" i="16"/>
  <c r="I36" i="16"/>
  <c r="I37" i="16"/>
  <c r="I38" i="16"/>
  <c r="I39" i="16"/>
  <c r="I40" i="16"/>
  <c r="I41" i="16"/>
  <c r="I42" i="16"/>
  <c r="I43" i="16"/>
  <c r="I44" i="16"/>
  <c r="I45" i="16"/>
  <c r="I46" i="16"/>
  <c r="I47" i="16"/>
  <c r="K18" i="34" l="1"/>
  <c r="D23" i="34"/>
  <c r="E23" i="34" s="1"/>
  <c r="C23" i="34"/>
  <c r="B23" i="34"/>
  <c r="F22" i="34"/>
  <c r="G22" i="34" s="1"/>
  <c r="B52" i="34" s="1"/>
  <c r="F21" i="34"/>
  <c r="G21" i="34" s="1"/>
  <c r="B50" i="34" s="1"/>
  <c r="F20" i="34"/>
  <c r="G20" i="34" s="1"/>
  <c r="B49" i="34" s="1"/>
  <c r="F19" i="34"/>
  <c r="G19" i="34" s="1"/>
  <c r="B48" i="34" s="1"/>
  <c r="F18" i="34"/>
  <c r="G18" i="34" s="1"/>
  <c r="B47" i="34" s="1"/>
  <c r="F17" i="34"/>
  <c r="G17" i="34" s="1"/>
  <c r="B46" i="34" s="1"/>
  <c r="F16" i="34"/>
  <c r="F15" i="34"/>
  <c r="G15" i="34" s="1"/>
  <c r="B44" i="34" s="1"/>
  <c r="G7" i="34" l="1"/>
  <c r="G3" i="34"/>
  <c r="D5" i="34"/>
  <c r="G6" i="34"/>
  <c r="H6" i="34" s="1"/>
  <c r="G8" i="34"/>
  <c r="F24" i="34"/>
  <c r="G24" i="34" s="1"/>
  <c r="G4" i="34"/>
  <c r="H4" i="34" s="1"/>
  <c r="D9" i="34"/>
  <c r="D11" i="34"/>
  <c r="G5" i="34"/>
  <c r="G11" i="34"/>
  <c r="H11" i="34" s="1"/>
  <c r="F23" i="34"/>
  <c r="G23" i="34" s="1"/>
  <c r="D4" i="34"/>
  <c r="D6" i="34"/>
  <c r="D8" i="34"/>
  <c r="I8" i="34" s="1"/>
  <c r="J8" i="34" s="1"/>
  <c r="B69" i="34" s="1"/>
  <c r="G10" i="34"/>
  <c r="B12" i="34"/>
  <c r="G9" i="34"/>
  <c r="E12" i="34"/>
  <c r="D7" i="34"/>
  <c r="C12" i="34"/>
  <c r="G2" i="34"/>
  <c r="H2" i="34" s="1"/>
  <c r="D3" i="34"/>
  <c r="D10" i="34"/>
  <c r="F12" i="34"/>
  <c r="G16" i="34"/>
  <c r="B45" i="34" s="1"/>
  <c r="D2" i="34"/>
  <c r="H8" i="34" l="1"/>
  <c r="H9" i="34"/>
  <c r="H5" i="34"/>
  <c r="H3" i="34"/>
  <c r="H10" i="34"/>
  <c r="H7" i="34"/>
  <c r="B28" i="34"/>
  <c r="B36" i="34"/>
  <c r="B27" i="34"/>
  <c r="B42" i="34"/>
  <c r="B29" i="34"/>
  <c r="B37" i="34"/>
  <c r="B33" i="34"/>
  <c r="B30" i="34"/>
  <c r="B38" i="34"/>
  <c r="B40" i="34"/>
  <c r="B41" i="34"/>
  <c r="B35" i="34"/>
  <c r="B31" i="34"/>
  <c r="B39" i="34"/>
  <c r="B32" i="34"/>
  <c r="B34" i="34"/>
  <c r="B43" i="34"/>
  <c r="I5" i="34"/>
  <c r="J5" i="34" s="1"/>
  <c r="B66" i="34" s="1"/>
  <c r="I3" i="34"/>
  <c r="J3" i="34" s="1"/>
  <c r="B64" i="34" s="1"/>
  <c r="I7" i="34"/>
  <c r="J7" i="34" s="1"/>
  <c r="B68" i="34" s="1"/>
  <c r="I6" i="34"/>
  <c r="J6" i="34" s="1"/>
  <c r="B67" i="34" s="1"/>
  <c r="I11" i="34"/>
  <c r="J11" i="34" s="1"/>
  <c r="B72" i="34" s="1"/>
  <c r="I4" i="34"/>
  <c r="J4" i="34" s="1"/>
  <c r="B65" i="34" s="1"/>
  <c r="I9" i="34"/>
  <c r="J9" i="34" s="1"/>
  <c r="B70" i="34" s="1"/>
  <c r="I10" i="34"/>
  <c r="J10" i="34" s="1"/>
  <c r="B71" i="34" s="1"/>
  <c r="G12" i="34"/>
  <c r="H12" i="34" s="1"/>
  <c r="D12" i="34"/>
  <c r="I2" i="34"/>
  <c r="I12" i="34" l="1"/>
  <c r="J12" i="34" s="1"/>
  <c r="I13" i="34"/>
  <c r="J13" i="34" s="1"/>
  <c r="J2" i="34"/>
  <c r="B63" i="34" s="1"/>
  <c r="B51" i="34" l="1"/>
  <c r="B61" i="34"/>
  <c r="B54" i="34"/>
  <c r="B62" i="34"/>
  <c r="B55" i="34"/>
  <c r="B53" i="34"/>
  <c r="B56" i="34"/>
  <c r="B58" i="34"/>
  <c r="B59" i="34"/>
  <c r="B60" i="34"/>
  <c r="B57" i="34"/>
  <c r="AW47" i="16"/>
  <c r="G47" i="44" s="1"/>
  <c r="D36" i="31" l="1"/>
  <c r="D35" i="31"/>
  <c r="D34" i="31"/>
  <c r="D33" i="31"/>
  <c r="D32" i="31"/>
  <c r="D31" i="31"/>
  <c r="D30" i="31"/>
  <c r="D29" i="31"/>
  <c r="D28" i="31"/>
  <c r="D27" i="31"/>
  <c r="D26" i="31"/>
  <c r="D25" i="31"/>
  <c r="D24" i="31"/>
  <c r="D23" i="31"/>
  <c r="D22" i="31"/>
  <c r="D21" i="31"/>
  <c r="AV47" i="16" l="1"/>
  <c r="P29" i="16"/>
  <c r="V29" i="16" s="1"/>
  <c r="P28" i="16"/>
  <c r="P43" i="16"/>
  <c r="V43" i="16" s="1"/>
  <c r="U43" i="16" s="1"/>
  <c r="P35" i="16"/>
  <c r="P27" i="16"/>
  <c r="P37" i="16"/>
  <c r="P36" i="16"/>
  <c r="V36" i="16" s="1"/>
  <c r="U36" i="16" s="1"/>
  <c r="P42" i="16"/>
  <c r="P34" i="16"/>
  <c r="V34" i="16" s="1"/>
  <c r="U34" i="16" s="1"/>
  <c r="P26" i="16"/>
  <c r="V26" i="16" s="1"/>
  <c r="U26" i="16" s="1"/>
  <c r="P41" i="16"/>
  <c r="V41" i="16" s="1"/>
  <c r="U41" i="16" s="1"/>
  <c r="P33" i="16"/>
  <c r="P25" i="16"/>
  <c r="P45" i="16"/>
  <c r="P44" i="16"/>
  <c r="P40" i="16"/>
  <c r="V40" i="16" s="1"/>
  <c r="U40" i="16" s="1"/>
  <c r="P47" i="16"/>
  <c r="V47" i="16" s="1"/>
  <c r="P39" i="16"/>
  <c r="V39" i="16" s="1"/>
  <c r="U39" i="16" s="1"/>
  <c r="P31" i="16"/>
  <c r="P23" i="16"/>
  <c r="V23" i="16" s="1"/>
  <c r="U23" i="16" s="1"/>
  <c r="P46" i="16"/>
  <c r="P38" i="16"/>
  <c r="V38" i="16" s="1"/>
  <c r="U38" i="16" s="1"/>
  <c r="P30" i="16"/>
  <c r="J36" i="57" l="1"/>
  <c r="J36" i="55"/>
  <c r="J31" i="57"/>
  <c r="J31" i="55"/>
  <c r="J19" i="57"/>
  <c r="J19" i="55"/>
  <c r="J16" i="57"/>
  <c r="J16" i="55"/>
  <c r="J27" i="57"/>
  <c r="J27" i="55"/>
  <c r="J29" i="57"/>
  <c r="J29" i="55"/>
  <c r="J34" i="57"/>
  <c r="J34" i="55"/>
  <c r="J32" i="57"/>
  <c r="J32" i="55"/>
  <c r="J33" i="57"/>
  <c r="J33" i="55"/>
  <c r="AH47" i="16"/>
  <c r="W47" i="16"/>
  <c r="V45" i="16"/>
  <c r="U45" i="16" s="1"/>
  <c r="V37" i="16"/>
  <c r="U37" i="16" s="1"/>
  <c r="V31" i="16"/>
  <c r="U31" i="16" s="1"/>
  <c r="V25" i="16"/>
  <c r="U25" i="16" s="1"/>
  <c r="V27" i="16"/>
  <c r="U27" i="16" s="1"/>
  <c r="V33" i="16"/>
  <c r="U33" i="16" s="1"/>
  <c r="V35" i="16"/>
  <c r="U35" i="16" s="1"/>
  <c r="U47" i="16"/>
  <c r="J47" i="44" s="1"/>
  <c r="AF47" i="16"/>
  <c r="V46" i="16"/>
  <c r="U46" i="16" s="1"/>
  <c r="V44" i="16"/>
  <c r="U44" i="16" s="1"/>
  <c r="V28" i="16"/>
  <c r="U28" i="16" s="1"/>
  <c r="U29" i="16"/>
  <c r="AH29" i="16"/>
  <c r="V30" i="16"/>
  <c r="U30" i="16" s="1"/>
  <c r="V42" i="16"/>
  <c r="U42" i="16" s="1"/>
  <c r="AS47" i="16"/>
  <c r="CC36" i="16"/>
  <c r="CC41" i="16"/>
  <c r="CC26" i="16"/>
  <c r="CC23" i="16"/>
  <c r="CC39" i="16"/>
  <c r="CC43" i="16"/>
  <c r="CC34" i="16"/>
  <c r="CC38" i="16"/>
  <c r="CC40" i="16"/>
  <c r="AE17" i="33"/>
  <c r="AD17" i="33"/>
  <c r="AE16" i="33"/>
  <c r="AD16" i="33"/>
  <c r="AE15" i="33"/>
  <c r="AD15" i="33"/>
  <c r="AE14" i="33"/>
  <c r="AD14" i="33"/>
  <c r="AE13" i="33"/>
  <c r="AD13" i="33"/>
  <c r="AE12" i="33"/>
  <c r="AD12" i="33"/>
  <c r="AE11" i="33"/>
  <c r="AD11" i="33"/>
  <c r="AE10" i="33"/>
  <c r="AD10" i="33"/>
  <c r="AE9" i="33"/>
  <c r="AD9" i="33"/>
  <c r="AE8" i="33"/>
  <c r="AD8" i="33"/>
  <c r="AE7" i="33"/>
  <c r="AD7" i="33"/>
  <c r="AE6" i="33"/>
  <c r="AD6" i="33"/>
  <c r="AE5" i="33"/>
  <c r="AD5" i="33"/>
  <c r="AE4" i="33"/>
  <c r="AD4" i="33"/>
  <c r="AE3" i="33"/>
  <c r="AD3" i="33"/>
  <c r="AE2" i="33"/>
  <c r="AD2" i="33"/>
  <c r="C12" i="33"/>
  <c r="D12" i="33"/>
  <c r="E12" i="33"/>
  <c r="F12" i="33"/>
  <c r="G12" i="33"/>
  <c r="H12" i="33"/>
  <c r="I12" i="33"/>
  <c r="J12" i="33"/>
  <c r="K12" i="33"/>
  <c r="L12" i="33"/>
  <c r="M12" i="33"/>
  <c r="N12" i="33"/>
  <c r="O12" i="33"/>
  <c r="P12" i="33"/>
  <c r="Q12" i="33"/>
  <c r="C13" i="33"/>
  <c r="D13" i="33"/>
  <c r="E13" i="33"/>
  <c r="F13" i="33"/>
  <c r="G13" i="33"/>
  <c r="H13" i="33"/>
  <c r="I13" i="33"/>
  <c r="J13" i="33"/>
  <c r="K13" i="33"/>
  <c r="L13" i="33"/>
  <c r="M13" i="33"/>
  <c r="N13" i="33"/>
  <c r="O13" i="33"/>
  <c r="P13" i="33"/>
  <c r="Q13" i="33"/>
  <c r="B13" i="33"/>
  <c r="B12" i="33"/>
  <c r="CC44" i="16" l="1"/>
  <c r="CF44" i="16" s="1"/>
  <c r="CH44" i="16" s="1"/>
  <c r="CI44" i="16" s="1"/>
  <c r="J37" i="57"/>
  <c r="J37" i="55"/>
  <c r="CC31" i="16"/>
  <c r="CF31" i="16" s="1"/>
  <c r="CH31" i="16" s="1"/>
  <c r="CI31" i="16" s="1"/>
  <c r="J24" i="57"/>
  <c r="J24" i="55"/>
  <c r="CC37" i="16"/>
  <c r="CF37" i="16" s="1"/>
  <c r="CH37" i="16" s="1"/>
  <c r="CI37" i="16" s="1"/>
  <c r="J30" i="57"/>
  <c r="J30" i="55"/>
  <c r="CC28" i="16"/>
  <c r="J21" i="57"/>
  <c r="J21" i="55"/>
  <c r="CC45" i="16"/>
  <c r="CF45" i="16" s="1"/>
  <c r="CH45" i="16" s="1"/>
  <c r="CI45" i="16" s="1"/>
  <c r="J38" i="57"/>
  <c r="J38" i="55"/>
  <c r="CC25" i="16"/>
  <c r="CF25" i="16" s="1"/>
  <c r="CH25" i="16" s="1"/>
  <c r="CI25" i="16" s="1"/>
  <c r="J18" i="57"/>
  <c r="J18" i="55"/>
  <c r="CC46" i="16"/>
  <c r="J39" i="57"/>
  <c r="J39" i="55"/>
  <c r="CC30" i="16"/>
  <c r="CF30" i="16" s="1"/>
  <c r="CH30" i="16" s="1"/>
  <c r="CI30" i="16" s="1"/>
  <c r="J23" i="57"/>
  <c r="J23" i="55"/>
  <c r="CC35" i="16"/>
  <c r="J28" i="57"/>
  <c r="J28" i="55"/>
  <c r="CC42" i="16"/>
  <c r="CF42" i="16" s="1"/>
  <c r="CH42" i="16" s="1"/>
  <c r="CI42" i="16" s="1"/>
  <c r="J35" i="57"/>
  <c r="J35" i="55"/>
  <c r="CC33" i="16"/>
  <c r="CF33" i="16" s="1"/>
  <c r="CH33" i="16" s="1"/>
  <c r="CI33" i="16" s="1"/>
  <c r="J26" i="57"/>
  <c r="J26" i="55"/>
  <c r="CC29" i="16"/>
  <c r="J22" i="57"/>
  <c r="J22" i="55"/>
  <c r="CC27" i="16"/>
  <c r="CF27" i="16" s="1"/>
  <c r="CH27" i="16" s="1"/>
  <c r="CI27" i="16" s="1"/>
  <c r="J20" i="57"/>
  <c r="J20" i="55"/>
  <c r="AB47" i="16"/>
  <c r="CF41" i="16"/>
  <c r="CH41" i="16" s="1"/>
  <c r="CI41" i="16" s="1"/>
  <c r="CF36" i="16"/>
  <c r="CH36" i="16" s="1"/>
  <c r="CI36" i="16" s="1"/>
  <c r="CF43" i="16"/>
  <c r="CH43" i="16" s="1"/>
  <c r="CI43" i="16" s="1"/>
  <c r="CF40" i="16"/>
  <c r="CH40" i="16" s="1"/>
  <c r="CI40" i="16" s="1"/>
  <c r="CF29" i="16"/>
  <c r="CH29" i="16" s="1"/>
  <c r="CI29" i="16" s="1"/>
  <c r="CF46" i="16"/>
  <c r="CH46" i="16" s="1"/>
  <c r="CI46" i="16" s="1"/>
  <c r="CF38" i="16"/>
  <c r="CH38" i="16" s="1"/>
  <c r="CI38" i="16" s="1"/>
  <c r="CF34" i="16"/>
  <c r="CH34" i="16" s="1"/>
  <c r="CI34" i="16" s="1"/>
  <c r="CF23" i="16"/>
  <c r="CH23" i="16" s="1"/>
  <c r="CI23" i="16" s="1"/>
  <c r="CF35" i="16"/>
  <c r="CH35" i="16" s="1"/>
  <c r="CI35" i="16" s="1"/>
  <c r="CF28" i="16"/>
  <c r="CH28" i="16" s="1"/>
  <c r="CI28" i="16" s="1"/>
  <c r="CF39" i="16"/>
  <c r="CH39" i="16" s="1"/>
  <c r="CI39" i="16" s="1"/>
  <c r="CF26" i="16"/>
  <c r="CH26" i="16" s="1"/>
  <c r="CI26" i="16" s="1"/>
  <c r="AH42" i="16"/>
  <c r="W42" i="16"/>
  <c r="AH31" i="16"/>
  <c r="W31" i="16"/>
  <c r="AH39" i="16"/>
  <c r="W39" i="16"/>
  <c r="AH45" i="16"/>
  <c r="W45" i="16"/>
  <c r="AH36" i="16"/>
  <c r="W36" i="16"/>
  <c r="AH38" i="16"/>
  <c r="W38" i="16"/>
  <c r="AH43" i="16"/>
  <c r="W43" i="16"/>
  <c r="AH44" i="16"/>
  <c r="W44" i="16"/>
  <c r="AH23" i="16"/>
  <c r="W23" i="16"/>
  <c r="AH33" i="16"/>
  <c r="W33" i="16"/>
  <c r="AH25" i="16"/>
  <c r="W25" i="16"/>
  <c r="AH26" i="16"/>
  <c r="W26" i="16"/>
  <c r="AH41" i="16"/>
  <c r="W41" i="16"/>
  <c r="AH30" i="16"/>
  <c r="W30" i="16"/>
  <c r="AH40" i="16"/>
  <c r="W40" i="16"/>
  <c r="AH37" i="16"/>
  <c r="W37" i="16"/>
  <c r="AH34" i="16"/>
  <c r="W34" i="16"/>
  <c r="AH35" i="16"/>
  <c r="W35" i="16"/>
  <c r="W29" i="16"/>
  <c r="AH28" i="16"/>
  <c r="W28" i="16"/>
  <c r="AH27" i="16"/>
  <c r="W27" i="16"/>
  <c r="AH46" i="16"/>
  <c r="W46" i="16"/>
  <c r="Y47" i="16"/>
  <c r="AD47" i="16" s="1"/>
  <c r="CC47" i="16"/>
  <c r="BW47" i="16" s="1"/>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39" i="13"/>
  <c r="F40" i="13"/>
  <c r="F41" i="13"/>
  <c r="F42" i="13"/>
  <c r="F7" i="13"/>
  <c r="BX47" i="16" l="1"/>
  <c r="K236" i="17"/>
  <c r="Z236" i="17" s="1"/>
  <c r="K235" i="17"/>
  <c r="Z235" i="17" s="1"/>
  <c r="K234" i="17"/>
  <c r="Z234" i="17" s="1"/>
  <c r="K237" i="17"/>
  <c r="Z237" i="17" s="1"/>
  <c r="K233" i="17"/>
  <c r="Z233" i="17" s="1"/>
  <c r="K232" i="17"/>
  <c r="Z232" i="17" s="1"/>
  <c r="B4" i="16"/>
  <c r="B3" i="16"/>
  <c r="B2" i="16"/>
  <c r="Q2" i="16"/>
  <c r="Q3" i="16"/>
  <c r="Q4" i="16"/>
  <c r="L2" i="16"/>
  <c r="L3" i="16"/>
  <c r="L4" i="16"/>
  <c r="C13" i="28"/>
  <c r="R2" i="16" l="1"/>
  <c r="Z2" i="16" s="1"/>
  <c r="I2" i="16"/>
  <c r="I3" i="16"/>
  <c r="I4" i="16"/>
  <c r="N3" i="16"/>
  <c r="N2" i="16"/>
  <c r="N4" i="16"/>
  <c r="R3" i="16"/>
  <c r="AW3" i="16"/>
  <c r="G3" i="44" s="1"/>
  <c r="AW2" i="16"/>
  <c r="G2" i="44" s="1"/>
  <c r="R4" i="16"/>
  <c r="AW4" i="16"/>
  <c r="G4" i="44" s="1"/>
  <c r="Z3" i="16" l="1"/>
  <c r="CM3" i="16" s="1"/>
  <c r="CM2" i="16"/>
  <c r="Z4" i="16"/>
  <c r="CM4" i="16" s="1"/>
  <c r="AX2" i="16"/>
  <c r="AX3" i="16"/>
  <c r="AX4" i="16"/>
  <c r="P2" i="16"/>
  <c r="P3" i="16"/>
  <c r="P4" i="16"/>
  <c r="V3" i="16" l="1"/>
  <c r="U3" i="16" s="1"/>
  <c r="J3" i="44" s="1"/>
  <c r="V2" i="16"/>
  <c r="U2" i="16" s="1"/>
  <c r="V4" i="16"/>
  <c r="U4" i="16" s="1"/>
  <c r="AV4" i="16"/>
  <c r="AV3" i="16"/>
  <c r="AV2" i="16"/>
  <c r="AY4" i="16" l="1"/>
  <c r="BA4" i="16" s="1"/>
  <c r="BC4" i="16" s="1"/>
  <c r="J4" i="44"/>
  <c r="AF2" i="16"/>
  <c r="BI2" i="16"/>
  <c r="J2" i="44"/>
  <c r="AZ2" i="16"/>
  <c r="BB2" i="16" s="1"/>
  <c r="AY2" i="16"/>
  <c r="BA2" i="16" s="1"/>
  <c r="BC2" i="16" s="1"/>
  <c r="Y2" i="16"/>
  <c r="AD2" i="16" s="1"/>
  <c r="AZ4" i="16"/>
  <c r="BB4" i="16" s="1"/>
  <c r="Y4" i="16"/>
  <c r="AD4" i="16" s="1"/>
  <c r="AF4" i="16"/>
  <c r="Y3" i="16"/>
  <c r="AD3" i="16" s="1"/>
  <c r="AF3" i="16"/>
  <c r="AY3" i="16"/>
  <c r="BA3" i="16" s="1"/>
  <c r="BC3" i="16" s="1"/>
  <c r="AZ3" i="16"/>
  <c r="BB3" i="16" s="1"/>
  <c r="AE2" i="16" l="1"/>
  <c r="AC2" i="16" s="1"/>
  <c r="BW2" i="16" s="1"/>
  <c r="D2" i="44"/>
  <c r="BH2" i="16"/>
  <c r="AE3" i="16"/>
  <c r="AC3" i="16" s="1"/>
  <c r="BW3" i="16" s="1"/>
  <c r="E3" i="44" s="1"/>
  <c r="D3" i="44"/>
  <c r="BH3" i="16"/>
  <c r="AE4" i="16"/>
  <c r="AC4" i="16" s="1"/>
  <c r="BW4" i="16" s="1"/>
  <c r="D4" i="44"/>
  <c r="BH4" i="16"/>
  <c r="BD2" i="16"/>
  <c r="BD3" i="16"/>
  <c r="BD4" i="16"/>
  <c r="M18" i="31"/>
  <c r="M19" i="31"/>
  <c r="M20" i="31"/>
  <c r="M21" i="31"/>
  <c r="M22" i="31"/>
  <c r="M27" i="31"/>
  <c r="M29" i="31"/>
  <c r="M17" i="31"/>
  <c r="CJ4" i="16" l="1"/>
  <c r="CK4" i="16" s="1"/>
  <c r="E4" i="44"/>
  <c r="H2" i="44"/>
  <c r="I2" i="44"/>
  <c r="I3" i="44"/>
  <c r="H3" i="44"/>
  <c r="CJ2" i="16"/>
  <c r="CK2" i="16" s="1"/>
  <c r="E2" i="44"/>
  <c r="H4" i="44"/>
  <c r="I4" i="44"/>
  <c r="CN2" i="16"/>
  <c r="CN4" i="16"/>
  <c r="CN3" i="16"/>
  <c r="CJ3" i="16"/>
  <c r="CK3" i="16" s="1"/>
  <c r="M34" i="31"/>
  <c r="M33" i="31"/>
  <c r="C44" i="27"/>
  <c r="C43" i="27"/>
  <c r="C42" i="27"/>
  <c r="C41" i="27"/>
  <c r="C40" i="27"/>
  <c r="C39" i="27"/>
  <c r="C38" i="27"/>
  <c r="C37" i="27"/>
  <c r="C36" i="27"/>
  <c r="C35" i="27"/>
  <c r="F9" i="31" l="1"/>
  <c r="C9" i="31"/>
  <c r="F8" i="31"/>
  <c r="C8" i="31"/>
  <c r="F7" i="31"/>
  <c r="C7" i="31"/>
  <c r="F6" i="31"/>
  <c r="C6" i="31"/>
  <c r="F5" i="31"/>
  <c r="C5" i="31"/>
  <c r="F4" i="31"/>
  <c r="C4" i="31"/>
  <c r="F3" i="31"/>
  <c r="C3" i="31"/>
  <c r="AY5" i="30" l="1"/>
  <c r="AZ5" i="30"/>
  <c r="BA5" i="30"/>
  <c r="BB5" i="30"/>
  <c r="BC5" i="30"/>
  <c r="BD5" i="30"/>
  <c r="BE5" i="30"/>
  <c r="BF5" i="30"/>
  <c r="AY6" i="30"/>
  <c r="AZ6" i="30"/>
  <c r="BA6" i="30"/>
  <c r="BB6" i="30"/>
  <c r="BC6" i="30"/>
  <c r="BD6" i="30"/>
  <c r="BE6" i="30"/>
  <c r="BF6" i="30"/>
  <c r="AY7" i="30"/>
  <c r="AZ7" i="30"/>
  <c r="BA7" i="30"/>
  <c r="BB7" i="30"/>
  <c r="BC7" i="30"/>
  <c r="BD7" i="30"/>
  <c r="BE7" i="30"/>
  <c r="BF7" i="30"/>
  <c r="AY8" i="30"/>
  <c r="AZ8" i="30"/>
  <c r="BA8" i="30"/>
  <c r="BB8" i="30"/>
  <c r="BC8" i="30"/>
  <c r="BD8" i="30"/>
  <c r="BE8" i="30"/>
  <c r="BF8" i="30"/>
  <c r="AY9" i="30"/>
  <c r="AZ9" i="30"/>
  <c r="BA9" i="30"/>
  <c r="BB9" i="30"/>
  <c r="BC9" i="30"/>
  <c r="BD9" i="30"/>
  <c r="BE9" i="30"/>
  <c r="BF9" i="30"/>
  <c r="AY10" i="30"/>
  <c r="AZ10" i="30"/>
  <c r="BA10" i="30"/>
  <c r="BB10" i="30"/>
  <c r="BC10" i="30"/>
  <c r="BD10" i="30"/>
  <c r="BE10" i="30"/>
  <c r="BF10" i="30"/>
  <c r="AY11" i="30"/>
  <c r="AZ11" i="30"/>
  <c r="BA11" i="30"/>
  <c r="BB11" i="30"/>
  <c r="BC11" i="30"/>
  <c r="BD11" i="30"/>
  <c r="BE11" i="30"/>
  <c r="BF11" i="30"/>
  <c r="AY12" i="30"/>
  <c r="AZ12" i="30"/>
  <c r="BA12" i="30"/>
  <c r="BB12" i="30"/>
  <c r="BC12" i="30"/>
  <c r="BD12" i="30"/>
  <c r="BE12" i="30"/>
  <c r="BF12" i="30"/>
  <c r="AY13" i="30"/>
  <c r="AZ13" i="30"/>
  <c r="BA13" i="30"/>
  <c r="BB13" i="30"/>
  <c r="BC13" i="30"/>
  <c r="BD13" i="30"/>
  <c r="BE13" i="30"/>
  <c r="BF13" i="30"/>
  <c r="AY14" i="30"/>
  <c r="AZ14" i="30"/>
  <c r="BA14" i="30"/>
  <c r="BB14" i="30"/>
  <c r="BC14" i="30"/>
  <c r="BD14" i="30"/>
  <c r="BE14" i="30"/>
  <c r="BF14" i="30"/>
  <c r="AY15" i="30"/>
  <c r="AZ15" i="30"/>
  <c r="BA15" i="30"/>
  <c r="BB15" i="30"/>
  <c r="BC15" i="30"/>
  <c r="BD15" i="30"/>
  <c r="BE15" i="30"/>
  <c r="BF15" i="30"/>
  <c r="AY16" i="30"/>
  <c r="AZ16" i="30"/>
  <c r="BA16" i="30"/>
  <c r="BB16" i="30"/>
  <c r="BC16" i="30"/>
  <c r="BD16" i="30"/>
  <c r="BE16" i="30"/>
  <c r="BF16" i="30"/>
  <c r="AY17" i="30"/>
  <c r="AZ17" i="30"/>
  <c r="BA17" i="30"/>
  <c r="BB17" i="30"/>
  <c r="BC17" i="30"/>
  <c r="BD17" i="30"/>
  <c r="BE17" i="30"/>
  <c r="BF17" i="30"/>
  <c r="AY18" i="30"/>
  <c r="AZ18" i="30"/>
  <c r="BA18" i="30"/>
  <c r="BB18" i="30"/>
  <c r="BC18" i="30"/>
  <c r="BD18" i="30"/>
  <c r="BE18" i="30"/>
  <c r="BF18" i="30"/>
  <c r="AY19" i="30"/>
  <c r="AZ19" i="30"/>
  <c r="BA19" i="30"/>
  <c r="BB19" i="30"/>
  <c r="BC19" i="30"/>
  <c r="BD19" i="30"/>
  <c r="BE19" i="30"/>
  <c r="BF19" i="30"/>
  <c r="AY20" i="30"/>
  <c r="AZ20" i="30"/>
  <c r="BA20" i="30"/>
  <c r="BB20" i="30"/>
  <c r="BC20" i="30"/>
  <c r="BD20" i="30"/>
  <c r="BE20" i="30"/>
  <c r="BF20" i="30"/>
  <c r="AY21" i="30"/>
  <c r="AZ21" i="30"/>
  <c r="BA21" i="30"/>
  <c r="BB21" i="30"/>
  <c r="BC21" i="30"/>
  <c r="BD21" i="30"/>
  <c r="BE21" i="30"/>
  <c r="BF21" i="30"/>
  <c r="AY22" i="30"/>
  <c r="AZ22" i="30"/>
  <c r="BA22" i="30"/>
  <c r="BB22" i="30"/>
  <c r="BC22" i="30"/>
  <c r="BD22" i="30"/>
  <c r="BE22" i="30"/>
  <c r="BF22" i="30"/>
  <c r="AY23" i="30"/>
  <c r="AZ23" i="30"/>
  <c r="BA23" i="30"/>
  <c r="BB23" i="30"/>
  <c r="BC23" i="30"/>
  <c r="BD23" i="30"/>
  <c r="BE23" i="30"/>
  <c r="BF23" i="30"/>
  <c r="AY24" i="30"/>
  <c r="AZ24" i="30"/>
  <c r="BA24" i="30"/>
  <c r="BB24" i="30"/>
  <c r="BC24" i="30"/>
  <c r="BD24" i="30"/>
  <c r="BE24" i="30"/>
  <c r="BF24" i="30"/>
  <c r="AY25" i="30"/>
  <c r="AZ25" i="30"/>
  <c r="BA25" i="30"/>
  <c r="BB25" i="30"/>
  <c r="BC25" i="30"/>
  <c r="BD25" i="30"/>
  <c r="BE25" i="30"/>
  <c r="BF25" i="30"/>
  <c r="AY26" i="30"/>
  <c r="AZ26" i="30"/>
  <c r="BA26" i="30"/>
  <c r="BB26" i="30"/>
  <c r="BC26" i="30"/>
  <c r="BD26" i="30"/>
  <c r="BE26" i="30"/>
  <c r="BF26" i="30"/>
  <c r="AY27" i="30"/>
  <c r="AZ27" i="30"/>
  <c r="BA27" i="30"/>
  <c r="BB27" i="30"/>
  <c r="BC27" i="30"/>
  <c r="BD27" i="30"/>
  <c r="BE27" i="30"/>
  <c r="BF27" i="30"/>
  <c r="AY28" i="30"/>
  <c r="AZ28" i="30"/>
  <c r="BA28" i="30"/>
  <c r="BB28" i="30"/>
  <c r="BC28" i="30"/>
  <c r="BD28" i="30"/>
  <c r="BE28" i="30"/>
  <c r="BF28" i="30"/>
  <c r="AY29" i="30"/>
  <c r="AZ29" i="30"/>
  <c r="BA29" i="30"/>
  <c r="BB29" i="30"/>
  <c r="BC29" i="30"/>
  <c r="BD29" i="30"/>
  <c r="BE29" i="30"/>
  <c r="BF29" i="30"/>
  <c r="AY30" i="30"/>
  <c r="AZ30" i="30"/>
  <c r="BA30" i="30"/>
  <c r="BB30" i="30"/>
  <c r="BC30" i="30"/>
  <c r="BD30" i="30"/>
  <c r="BE30" i="30"/>
  <c r="BF30" i="30"/>
  <c r="AY31" i="30"/>
  <c r="AZ31" i="30"/>
  <c r="BA31" i="30"/>
  <c r="BB31" i="30"/>
  <c r="BC31" i="30"/>
  <c r="BD31" i="30"/>
  <c r="BE31" i="30"/>
  <c r="BF31" i="30"/>
  <c r="AY32" i="30"/>
  <c r="AZ32" i="30"/>
  <c r="BA32" i="30"/>
  <c r="BB32" i="30"/>
  <c r="BC32" i="30"/>
  <c r="BD32" i="30"/>
  <c r="BE32" i="30"/>
  <c r="BF32" i="30"/>
  <c r="AY33" i="30"/>
  <c r="AZ33" i="30"/>
  <c r="BA33" i="30"/>
  <c r="BB33" i="30"/>
  <c r="BC33" i="30"/>
  <c r="BD33" i="30"/>
  <c r="BE33" i="30"/>
  <c r="BF33" i="30"/>
  <c r="AY34" i="30"/>
  <c r="AZ34" i="30"/>
  <c r="BA34" i="30"/>
  <c r="BB34" i="30"/>
  <c r="BC34" i="30"/>
  <c r="BD34" i="30"/>
  <c r="BE34" i="30"/>
  <c r="BF34" i="30"/>
  <c r="AY35" i="30"/>
  <c r="AZ35" i="30"/>
  <c r="BA35" i="30"/>
  <c r="BB35" i="30"/>
  <c r="BC35" i="30"/>
  <c r="BD35" i="30"/>
  <c r="BE35" i="30"/>
  <c r="BF35" i="30"/>
  <c r="AY36" i="30"/>
  <c r="AZ36" i="30"/>
  <c r="BA36" i="30"/>
  <c r="BB36" i="30"/>
  <c r="BC36" i="30"/>
  <c r="BD36" i="30"/>
  <c r="BE36" i="30"/>
  <c r="BF36" i="30"/>
  <c r="AY37" i="30"/>
  <c r="AZ37" i="30"/>
  <c r="BA37" i="30"/>
  <c r="BB37" i="30"/>
  <c r="BC37" i="30"/>
  <c r="BD37" i="30"/>
  <c r="BE37" i="30"/>
  <c r="BF37" i="30"/>
  <c r="AY38" i="30"/>
  <c r="AZ38" i="30"/>
  <c r="BA38" i="30"/>
  <c r="BB38" i="30"/>
  <c r="BC38" i="30"/>
  <c r="BD38" i="30"/>
  <c r="BE38" i="30"/>
  <c r="BF38" i="30"/>
  <c r="AY39" i="30"/>
  <c r="AZ39" i="30"/>
  <c r="BA39" i="30"/>
  <c r="BB39" i="30"/>
  <c r="BC39" i="30"/>
  <c r="BD39" i="30"/>
  <c r="BE39" i="30"/>
  <c r="BF39" i="30"/>
  <c r="AY40" i="30"/>
  <c r="AZ40" i="30"/>
  <c r="BA40" i="30"/>
  <c r="BB40" i="30"/>
  <c r="BC40" i="30"/>
  <c r="BD40" i="30"/>
  <c r="BE40" i="30"/>
  <c r="BF40" i="30"/>
  <c r="AY41" i="30"/>
  <c r="AZ41" i="30"/>
  <c r="BA41" i="30"/>
  <c r="BB41" i="30"/>
  <c r="BC41" i="30"/>
  <c r="BD41" i="30"/>
  <c r="BE41" i="30"/>
  <c r="BF41" i="30"/>
  <c r="AY42" i="30"/>
  <c r="AZ42" i="30"/>
  <c r="BA42" i="30"/>
  <c r="BB42" i="30"/>
  <c r="BC42" i="30"/>
  <c r="BD42" i="30"/>
  <c r="BE42" i="30"/>
  <c r="BF42" i="30"/>
  <c r="AY43" i="30"/>
  <c r="AZ43" i="30"/>
  <c r="BA43" i="30"/>
  <c r="BB43" i="30"/>
  <c r="BC43" i="30"/>
  <c r="BD43" i="30"/>
  <c r="BE43" i="30"/>
  <c r="BF43" i="30"/>
  <c r="AY44" i="30"/>
  <c r="AZ44" i="30"/>
  <c r="BA44" i="30"/>
  <c r="BB44" i="30"/>
  <c r="BC44" i="30"/>
  <c r="BD44" i="30"/>
  <c r="BE44" i="30"/>
  <c r="BF44" i="30"/>
  <c r="AY45" i="30"/>
  <c r="AZ45" i="30"/>
  <c r="BA45" i="30"/>
  <c r="BB45" i="30"/>
  <c r="BC45" i="30"/>
  <c r="BD45" i="30"/>
  <c r="BE45" i="30"/>
  <c r="BF45" i="30"/>
  <c r="BF4" i="30"/>
  <c r="BE4" i="30"/>
  <c r="BD4" i="30"/>
  <c r="BC4" i="30"/>
  <c r="BB4" i="30"/>
  <c r="BA4" i="30"/>
  <c r="AZ4" i="30"/>
  <c r="AY4" i="30"/>
  <c r="J46" i="30"/>
  <c r="I46" i="30"/>
  <c r="H46" i="30"/>
  <c r="G46" i="30"/>
  <c r="F46" i="30"/>
  <c r="E46" i="30"/>
  <c r="D46" i="30"/>
  <c r="C46" i="30"/>
  <c r="BM49" i="30" s="1"/>
  <c r="BN49" i="30" s="1"/>
  <c r="J45" i="30"/>
  <c r="I45" i="30"/>
  <c r="H45" i="30"/>
  <c r="G45" i="30"/>
  <c r="F45" i="30"/>
  <c r="E45" i="30"/>
  <c r="D45" i="30"/>
  <c r="C45" i="30"/>
  <c r="BM48" i="30" s="1"/>
  <c r="J44" i="30"/>
  <c r="I44" i="30"/>
  <c r="H44" i="30"/>
  <c r="G44" i="30"/>
  <c r="G65" i="30" s="1"/>
  <c r="F44" i="30"/>
  <c r="E44" i="30"/>
  <c r="E65" i="30" s="1"/>
  <c r="D44" i="30"/>
  <c r="C44" i="30"/>
  <c r="BM47" i="30" s="1"/>
  <c r="J43" i="30"/>
  <c r="I43" i="30"/>
  <c r="H43" i="30"/>
  <c r="G43" i="30"/>
  <c r="G64" i="30" s="1"/>
  <c r="F43" i="30"/>
  <c r="F64" i="30" s="1"/>
  <c r="E43" i="30"/>
  <c r="D43" i="30"/>
  <c r="D64" i="30" s="1"/>
  <c r="C43" i="30"/>
  <c r="BM46" i="30" s="1"/>
  <c r="J42" i="30"/>
  <c r="I42" i="30"/>
  <c r="H42" i="30"/>
  <c r="G42" i="30"/>
  <c r="F42" i="30"/>
  <c r="E42" i="30"/>
  <c r="D42" i="30"/>
  <c r="C42" i="30"/>
  <c r="BM45" i="30" s="1"/>
  <c r="J41" i="30"/>
  <c r="I41" i="30"/>
  <c r="H41" i="30"/>
  <c r="G41" i="30"/>
  <c r="F41" i="30"/>
  <c r="E41" i="30"/>
  <c r="D41" i="30"/>
  <c r="C41" i="30"/>
  <c r="BM44" i="30" s="1"/>
  <c r="J40" i="30"/>
  <c r="I40" i="30"/>
  <c r="H40" i="30"/>
  <c r="G40" i="30"/>
  <c r="G61" i="30" s="1"/>
  <c r="F40" i="30"/>
  <c r="E40" i="30"/>
  <c r="E61" i="30" s="1"/>
  <c r="D40" i="30"/>
  <c r="C40" i="30"/>
  <c r="BM43" i="30" s="1"/>
  <c r="J39" i="30"/>
  <c r="I39" i="30"/>
  <c r="H39" i="30"/>
  <c r="G39" i="30"/>
  <c r="G60" i="30" s="1"/>
  <c r="F39" i="30"/>
  <c r="F60" i="30" s="1"/>
  <c r="E39" i="30"/>
  <c r="D39" i="30"/>
  <c r="C39" i="30"/>
  <c r="BM42" i="30" s="1"/>
  <c r="J38" i="30"/>
  <c r="I38" i="30"/>
  <c r="H38" i="30"/>
  <c r="G38" i="30"/>
  <c r="F38" i="30"/>
  <c r="E38" i="30"/>
  <c r="D38" i="30"/>
  <c r="C38" i="30"/>
  <c r="BM41" i="30" s="1"/>
  <c r="J37" i="30"/>
  <c r="I37" i="30"/>
  <c r="H37" i="30"/>
  <c r="G37" i="30"/>
  <c r="F37" i="30"/>
  <c r="E37" i="30"/>
  <c r="D37" i="30"/>
  <c r="C37" i="30"/>
  <c r="BM40" i="30" s="1"/>
  <c r="J36" i="30"/>
  <c r="I36" i="30"/>
  <c r="H36" i="30"/>
  <c r="G36" i="30"/>
  <c r="G57" i="30" s="1"/>
  <c r="F36" i="30"/>
  <c r="E36" i="30"/>
  <c r="E57" i="30" s="1"/>
  <c r="D36" i="30"/>
  <c r="C36" i="30"/>
  <c r="BM39" i="30" s="1"/>
  <c r="J35" i="30"/>
  <c r="I35" i="30"/>
  <c r="H35" i="30"/>
  <c r="G35" i="30"/>
  <c r="G56" i="30" s="1"/>
  <c r="F35" i="30"/>
  <c r="F56" i="30" s="1"/>
  <c r="E35" i="30"/>
  <c r="D35" i="30"/>
  <c r="C35" i="30"/>
  <c r="BM38" i="30" s="1"/>
  <c r="J34" i="30"/>
  <c r="I34" i="30"/>
  <c r="H34" i="30"/>
  <c r="G34" i="30"/>
  <c r="F34" i="30"/>
  <c r="E34" i="30"/>
  <c r="D34" i="30"/>
  <c r="C34" i="30"/>
  <c r="BM37" i="30" s="1"/>
  <c r="J33" i="30"/>
  <c r="I33" i="30"/>
  <c r="H33" i="30"/>
  <c r="G33" i="30"/>
  <c r="F33" i="30"/>
  <c r="E33" i="30"/>
  <c r="D33" i="30"/>
  <c r="C33" i="30"/>
  <c r="BM36" i="30" s="1"/>
  <c r="J32" i="30"/>
  <c r="I32" i="30"/>
  <c r="J31" i="30"/>
  <c r="I31" i="30"/>
  <c r="H31" i="30"/>
  <c r="G31" i="30"/>
  <c r="F31" i="30"/>
  <c r="E31" i="30"/>
  <c r="D31" i="30"/>
  <c r="C31" i="30"/>
  <c r="BM34" i="30" s="1"/>
  <c r="J30" i="30"/>
  <c r="I30" i="30"/>
  <c r="H30" i="30"/>
  <c r="G30" i="30"/>
  <c r="F30" i="30"/>
  <c r="E30" i="30"/>
  <c r="D30" i="30"/>
  <c r="C30" i="30"/>
  <c r="BM33" i="30" s="1"/>
  <c r="J29" i="30"/>
  <c r="I29" i="30"/>
  <c r="H29" i="30"/>
  <c r="G29" i="30"/>
  <c r="F29" i="30"/>
  <c r="E29" i="30"/>
  <c r="D29" i="30"/>
  <c r="C29" i="30"/>
  <c r="BM32" i="30" s="1"/>
  <c r="J28" i="30"/>
  <c r="I28" i="30"/>
  <c r="H28" i="30"/>
  <c r="G28" i="30"/>
  <c r="F28" i="30"/>
  <c r="E28" i="30"/>
  <c r="D28" i="30"/>
  <c r="C28" i="30"/>
  <c r="BM31" i="30" s="1"/>
  <c r="J27" i="30"/>
  <c r="I27" i="30"/>
  <c r="J26" i="30"/>
  <c r="I26" i="30"/>
  <c r="H26" i="30"/>
  <c r="G26" i="30"/>
  <c r="F26" i="30"/>
  <c r="E26" i="30"/>
  <c r="D26" i="30"/>
  <c r="C26" i="30"/>
  <c r="BM29" i="30" s="1"/>
  <c r="J25" i="30"/>
  <c r="I25" i="30"/>
  <c r="H25" i="30"/>
  <c r="G25" i="30"/>
  <c r="F25" i="30"/>
  <c r="E25" i="30"/>
  <c r="D25" i="30"/>
  <c r="C25" i="30"/>
  <c r="BM28" i="30" s="1"/>
  <c r="J24" i="30"/>
  <c r="I24" i="30"/>
  <c r="H24" i="30"/>
  <c r="G24" i="30"/>
  <c r="F24" i="30"/>
  <c r="E24" i="30"/>
  <c r="D24" i="30"/>
  <c r="C24" i="30"/>
  <c r="BM27" i="30" s="1"/>
  <c r="J23" i="30"/>
  <c r="I23" i="30"/>
  <c r="H23" i="30"/>
  <c r="G23" i="30"/>
  <c r="F23" i="30"/>
  <c r="E23" i="30"/>
  <c r="D23" i="30"/>
  <c r="C23" i="30"/>
  <c r="BM26" i="30" s="1"/>
  <c r="J22" i="30"/>
  <c r="I22" i="30"/>
  <c r="H22" i="30"/>
  <c r="G22" i="30"/>
  <c r="F22" i="30"/>
  <c r="E22" i="30"/>
  <c r="D22" i="30"/>
  <c r="C22" i="30"/>
  <c r="BM25" i="30" s="1"/>
  <c r="J21" i="30"/>
  <c r="I21" i="30"/>
  <c r="H21" i="30"/>
  <c r="G21" i="30"/>
  <c r="F21" i="30"/>
  <c r="E21" i="30"/>
  <c r="D21" i="30"/>
  <c r="C21" i="30"/>
  <c r="BM24" i="30" s="1"/>
  <c r="J20" i="30"/>
  <c r="I20" i="30"/>
  <c r="H20" i="30"/>
  <c r="G20" i="30"/>
  <c r="F20" i="30"/>
  <c r="E20" i="30"/>
  <c r="D20" i="30"/>
  <c r="C20" i="30"/>
  <c r="BM23" i="30" s="1"/>
  <c r="J19" i="30"/>
  <c r="I19" i="30"/>
  <c r="H19" i="30"/>
  <c r="G19" i="30"/>
  <c r="F19" i="30"/>
  <c r="E19" i="30"/>
  <c r="D19" i="30"/>
  <c r="C19" i="30"/>
  <c r="BM22" i="30" s="1"/>
  <c r="J18" i="30"/>
  <c r="I18" i="30"/>
  <c r="H18" i="30"/>
  <c r="G18" i="30"/>
  <c r="F18" i="30"/>
  <c r="E18" i="30"/>
  <c r="D18" i="30"/>
  <c r="C18" i="30"/>
  <c r="BM21" i="30" s="1"/>
  <c r="J17" i="30"/>
  <c r="I17" i="30"/>
  <c r="H17" i="30"/>
  <c r="G17" i="30"/>
  <c r="F17" i="30"/>
  <c r="E17" i="30"/>
  <c r="D17" i="30"/>
  <c r="C17" i="30"/>
  <c r="BM20" i="30" s="1"/>
  <c r="J16" i="30"/>
  <c r="I16" i="30"/>
  <c r="H16" i="30"/>
  <c r="G16" i="30"/>
  <c r="F16" i="30"/>
  <c r="E16" i="30"/>
  <c r="D16" i="30"/>
  <c r="C16" i="30"/>
  <c r="BM19" i="30" s="1"/>
  <c r="J15" i="30"/>
  <c r="I15" i="30"/>
  <c r="H15" i="30"/>
  <c r="G15" i="30"/>
  <c r="F15" i="30"/>
  <c r="E15" i="30"/>
  <c r="D15" i="30"/>
  <c r="C15" i="30"/>
  <c r="BM18" i="30" s="1"/>
  <c r="J14" i="30"/>
  <c r="I14" i="30"/>
  <c r="H14" i="30"/>
  <c r="G14" i="30"/>
  <c r="F14" i="30"/>
  <c r="E14" i="30"/>
  <c r="D14" i="30"/>
  <c r="C14" i="30"/>
  <c r="BM17" i="30" s="1"/>
  <c r="J13" i="30"/>
  <c r="I13" i="30"/>
  <c r="H13" i="30"/>
  <c r="G13" i="30"/>
  <c r="F13" i="30"/>
  <c r="E13" i="30"/>
  <c r="D13" i="30"/>
  <c r="C13" i="30"/>
  <c r="BM16" i="30" s="1"/>
  <c r="J12" i="30"/>
  <c r="I12" i="30"/>
  <c r="H12" i="30"/>
  <c r="G12" i="30"/>
  <c r="F12" i="30"/>
  <c r="E12" i="30"/>
  <c r="D12" i="30"/>
  <c r="C12" i="30"/>
  <c r="BM15" i="30" s="1"/>
  <c r="J11" i="30"/>
  <c r="I11" i="30"/>
  <c r="H11" i="30"/>
  <c r="G11" i="30"/>
  <c r="F11" i="30"/>
  <c r="E11" i="30"/>
  <c r="D11" i="30"/>
  <c r="C11" i="30"/>
  <c r="BM14" i="30" s="1"/>
  <c r="J10" i="30"/>
  <c r="I10" i="30"/>
  <c r="H10" i="30"/>
  <c r="G10" i="30"/>
  <c r="F10" i="30"/>
  <c r="E10" i="30"/>
  <c r="D10" i="30"/>
  <c r="C10" i="30"/>
  <c r="BM13" i="30" s="1"/>
  <c r="J9" i="30"/>
  <c r="I9" i="30"/>
  <c r="H9" i="30"/>
  <c r="G9" i="30"/>
  <c r="F9" i="30"/>
  <c r="E9" i="30"/>
  <c r="D9" i="30"/>
  <c r="C9" i="30"/>
  <c r="BM12" i="30" s="1"/>
  <c r="J8" i="30"/>
  <c r="I8" i="30"/>
  <c r="H8" i="30"/>
  <c r="G8" i="30"/>
  <c r="F8" i="30"/>
  <c r="E8" i="30"/>
  <c r="D8" i="30"/>
  <c r="C8" i="30"/>
  <c r="BM11" i="30" s="1"/>
  <c r="J7" i="30"/>
  <c r="I7" i="30"/>
  <c r="H7" i="30"/>
  <c r="G7" i="30"/>
  <c r="F7" i="30"/>
  <c r="E7" i="30"/>
  <c r="D7" i="30"/>
  <c r="C7" i="30"/>
  <c r="BM10" i="30" s="1"/>
  <c r="J6" i="30"/>
  <c r="I6" i="30"/>
  <c r="H6" i="30"/>
  <c r="G6" i="30"/>
  <c r="F6" i="30"/>
  <c r="E6" i="30"/>
  <c r="D6" i="30"/>
  <c r="C6" i="30"/>
  <c r="BM9" i="30" s="1"/>
  <c r="J5" i="30"/>
  <c r="I5" i="30"/>
  <c r="H5" i="30"/>
  <c r="G5" i="30"/>
  <c r="F5" i="30"/>
  <c r="E5" i="30"/>
  <c r="D5" i="30"/>
  <c r="C5" i="30"/>
  <c r="BM8" i="30" s="1"/>
  <c r="J4" i="30"/>
  <c r="I4" i="30"/>
  <c r="H4" i="30"/>
  <c r="G4" i="30"/>
  <c r="F4" i="30"/>
  <c r="E4" i="30"/>
  <c r="D4" i="30"/>
  <c r="C4" i="30"/>
  <c r="BM7" i="30" s="1"/>
  <c r="B67" i="30"/>
  <c r="B66" i="30"/>
  <c r="B65" i="30"/>
  <c r="B64" i="30"/>
  <c r="B63" i="30"/>
  <c r="B62" i="30"/>
  <c r="B61" i="30"/>
  <c r="B60" i="30"/>
  <c r="B59" i="30"/>
  <c r="B58" i="30"/>
  <c r="B57" i="30"/>
  <c r="B56" i="30"/>
  <c r="G55" i="30"/>
  <c r="F55" i="30"/>
  <c r="E55" i="30"/>
  <c r="D55" i="30"/>
  <c r="C55" i="30"/>
  <c r="AK52" i="30"/>
  <c r="AM52" i="30" s="1"/>
  <c r="K52" i="30"/>
  <c r="AK51" i="30"/>
  <c r="AM51" i="30" s="1"/>
  <c r="K51" i="30"/>
  <c r="AK50" i="30"/>
  <c r="AM50" i="30" s="1"/>
  <c r="K50" i="30"/>
  <c r="AK49" i="30"/>
  <c r="AM49" i="30" s="1"/>
  <c r="K49" i="30"/>
  <c r="AK48" i="30"/>
  <c r="AM48" i="30" s="1"/>
  <c r="J48" i="30"/>
  <c r="I48" i="30"/>
  <c r="G48" i="30"/>
  <c r="F48" i="30"/>
  <c r="E48" i="30"/>
  <c r="D48" i="30"/>
  <c r="C48" i="30"/>
  <c r="AM47" i="30"/>
  <c r="AK47" i="30"/>
  <c r="AL47" i="30" s="1"/>
  <c r="J47" i="30"/>
  <c r="I47" i="30"/>
  <c r="G47" i="30"/>
  <c r="F47" i="30"/>
  <c r="E47" i="30"/>
  <c r="D47" i="30"/>
  <c r="C47" i="30"/>
  <c r="AL46" i="30"/>
  <c r="AK46" i="30"/>
  <c r="AM46" i="30" s="1"/>
  <c r="AK45" i="30"/>
  <c r="AM45" i="30" s="1"/>
  <c r="AL44" i="30"/>
  <c r="AK44" i="30"/>
  <c r="AM44" i="30" s="1"/>
  <c r="AK43" i="30"/>
  <c r="AL43" i="30" s="1"/>
  <c r="AL42" i="30"/>
  <c r="AK42" i="30"/>
  <c r="AM42" i="30" s="1"/>
  <c r="AK41" i="30"/>
  <c r="AM41" i="30" s="1"/>
  <c r="AL40" i="30"/>
  <c r="AK40" i="30"/>
  <c r="AM40" i="30" s="1"/>
  <c r="AK39" i="30"/>
  <c r="AL39" i="30" s="1"/>
  <c r="AL38" i="30"/>
  <c r="AK38" i="30"/>
  <c r="AM38" i="30" s="1"/>
  <c r="AK37" i="30"/>
  <c r="AL37" i="30" s="1"/>
  <c r="AL36" i="30"/>
  <c r="AK36" i="30"/>
  <c r="AM36" i="30" s="1"/>
  <c r="AK35" i="30"/>
  <c r="AM35" i="30" s="1"/>
  <c r="AL34" i="30"/>
  <c r="AK34" i="30"/>
  <c r="AM34" i="30" s="1"/>
  <c r="AK33" i="30"/>
  <c r="AM33" i="30" s="1"/>
  <c r="AL32" i="30"/>
  <c r="AK32" i="30"/>
  <c r="AM32" i="30" s="1"/>
  <c r="AK31" i="30"/>
  <c r="AL31" i="30" s="1"/>
  <c r="AL30" i="30"/>
  <c r="AK30" i="30"/>
  <c r="AM30" i="30" s="1"/>
  <c r="AK29" i="30"/>
  <c r="AL29" i="30" s="1"/>
  <c r="AL28" i="30"/>
  <c r="AK28" i="30"/>
  <c r="AM28" i="30" s="1"/>
  <c r="AK27" i="30"/>
  <c r="AL27" i="30" s="1"/>
  <c r="AL26" i="30"/>
  <c r="AK26" i="30"/>
  <c r="AM26" i="30" s="1"/>
  <c r="AK25" i="30"/>
  <c r="AL25" i="30" s="1"/>
  <c r="AL24" i="30"/>
  <c r="AK24" i="30"/>
  <c r="AM24" i="30" s="1"/>
  <c r="AK23" i="30"/>
  <c r="AL23" i="30" s="1"/>
  <c r="AL22" i="30"/>
  <c r="AK22" i="30"/>
  <c r="AM22" i="30" s="1"/>
  <c r="AK21" i="30"/>
  <c r="AL21" i="30" s="1"/>
  <c r="AK20" i="30"/>
  <c r="AL20" i="30" s="1"/>
  <c r="AK19" i="30"/>
  <c r="AL19" i="30" s="1"/>
  <c r="AK18" i="30"/>
  <c r="AL18" i="30" s="1"/>
  <c r="AK17" i="30"/>
  <c r="AM17" i="30" s="1"/>
  <c r="AK16" i="30"/>
  <c r="AL16" i="30" s="1"/>
  <c r="AK15" i="30"/>
  <c r="AM15" i="30" s="1"/>
  <c r="AK14" i="30"/>
  <c r="AL14" i="30" s="1"/>
  <c r="AK13" i="30"/>
  <c r="AL13" i="30" s="1"/>
  <c r="AK12" i="30"/>
  <c r="AL12" i="30" s="1"/>
  <c r="AK11" i="30"/>
  <c r="AL11" i="30" s="1"/>
  <c r="AM10" i="30"/>
  <c r="AK10" i="30"/>
  <c r="AL10" i="30" s="1"/>
  <c r="AK9" i="30"/>
  <c r="AL9" i="30" s="1"/>
  <c r="AK8" i="30"/>
  <c r="AL8" i="30" s="1"/>
  <c r="AK7" i="30"/>
  <c r="AL7" i="30" s="1"/>
  <c r="AK6" i="30"/>
  <c r="AL6" i="30" s="1"/>
  <c r="AK5" i="30"/>
  <c r="AL5" i="30" s="1"/>
  <c r="AK4" i="30"/>
  <c r="AL4" i="30" s="1"/>
  <c r="AH2" i="30"/>
  <c r="I3" i="28"/>
  <c r="AM6" i="30" l="1"/>
  <c r="AM14" i="30"/>
  <c r="AM8" i="30"/>
  <c r="AM4" i="30"/>
  <c r="AM20" i="30"/>
  <c r="AM12" i="30"/>
  <c r="AM18" i="30"/>
  <c r="AM16" i="30"/>
  <c r="BJ4" i="30"/>
  <c r="BN4" i="30" s="1"/>
  <c r="BJ5" i="30"/>
  <c r="BJ6" i="30"/>
  <c r="BJ7" i="30"/>
  <c r="BJ8" i="30"/>
  <c r="BJ16" i="30"/>
  <c r="BJ18" i="30"/>
  <c r="BJ19" i="30"/>
  <c r="BJ20" i="30"/>
  <c r="BJ21" i="30"/>
  <c r="BJ22" i="30"/>
  <c r="BJ23" i="30"/>
  <c r="BJ24" i="30"/>
  <c r="BJ28" i="30"/>
  <c r="BJ29" i="30"/>
  <c r="BJ30" i="30"/>
  <c r="BJ31" i="30"/>
  <c r="BJ33" i="30"/>
  <c r="BJ34" i="30"/>
  <c r="BJ35" i="30"/>
  <c r="BJ36" i="30"/>
  <c r="BJ37" i="30"/>
  <c r="BJ38" i="30"/>
  <c r="BJ39" i="30"/>
  <c r="BJ40" i="30"/>
  <c r="BJ41" i="30"/>
  <c r="BJ42" i="30"/>
  <c r="BJ43" i="30"/>
  <c r="BJ44" i="30"/>
  <c r="BJ45" i="30"/>
  <c r="BJ15" i="30"/>
  <c r="BJ17" i="30"/>
  <c r="BK8" i="30"/>
  <c r="BK12" i="30"/>
  <c r="BK17" i="30"/>
  <c r="BK19" i="30"/>
  <c r="BK23" i="30"/>
  <c r="BK25" i="30"/>
  <c r="BK27" i="30"/>
  <c r="BK29" i="30"/>
  <c r="BK30" i="30"/>
  <c r="BK31" i="30"/>
  <c r="BK32" i="30"/>
  <c r="BK34" i="30"/>
  <c r="BK35" i="30"/>
  <c r="BK36" i="30"/>
  <c r="BK37" i="30"/>
  <c r="BK38" i="30"/>
  <c r="BK39" i="30"/>
  <c r="BK40" i="30"/>
  <c r="BK41" i="30"/>
  <c r="BK42" i="30"/>
  <c r="BK43" i="30"/>
  <c r="BK44" i="30"/>
  <c r="BK45" i="30"/>
  <c r="BK46" i="30"/>
  <c r="BK47" i="30"/>
  <c r="BK6" i="30"/>
  <c r="BK10" i="30"/>
  <c r="BK14" i="30"/>
  <c r="BK22" i="30"/>
  <c r="BK7" i="30"/>
  <c r="BK11" i="30"/>
  <c r="BK15" i="30"/>
  <c r="BK18" i="30"/>
  <c r="BK21" i="30"/>
  <c r="BK24" i="30"/>
  <c r="BK5" i="30"/>
  <c r="BK9" i="30"/>
  <c r="BK13" i="30"/>
  <c r="BK16" i="30"/>
  <c r="BK20" i="30"/>
  <c r="BK26" i="30"/>
  <c r="BJ9" i="30"/>
  <c r="BJ10" i="30"/>
  <c r="BJ11" i="30"/>
  <c r="BJ12" i="30"/>
  <c r="BJ13" i="30"/>
  <c r="BJ25" i="30"/>
  <c r="BJ14" i="30"/>
  <c r="BL6" i="30"/>
  <c r="BL7" i="30"/>
  <c r="BL8" i="30"/>
  <c r="BL9" i="30"/>
  <c r="BL10" i="30"/>
  <c r="BL11" i="30"/>
  <c r="BL12" i="30"/>
  <c r="BL13" i="30"/>
  <c r="BL14" i="30"/>
  <c r="BL15" i="30"/>
  <c r="BL16" i="30"/>
  <c r="BL17" i="30"/>
  <c r="BL18" i="30"/>
  <c r="BL19" i="30"/>
  <c r="BL20" i="30"/>
  <c r="BL21" i="30"/>
  <c r="BL22" i="30"/>
  <c r="BL23" i="30"/>
  <c r="BL24" i="30"/>
  <c r="BL25" i="30"/>
  <c r="BL26" i="30"/>
  <c r="BL27" i="30"/>
  <c r="BL28" i="30"/>
  <c r="BL30" i="30"/>
  <c r="BL31" i="30"/>
  <c r="BL32" i="30"/>
  <c r="BL33" i="30"/>
  <c r="BL35" i="30"/>
  <c r="BL36" i="30"/>
  <c r="BL37" i="30"/>
  <c r="BL38" i="30"/>
  <c r="BL39" i="30"/>
  <c r="BL40" i="30"/>
  <c r="BL41" i="30"/>
  <c r="BL42" i="30"/>
  <c r="BL43" i="30"/>
  <c r="BL44" i="30"/>
  <c r="BL46" i="30"/>
  <c r="BL47" i="30"/>
  <c r="BL48" i="30"/>
  <c r="BN48" i="30" s="1"/>
  <c r="BJ26" i="30"/>
  <c r="K48" i="30"/>
  <c r="BL45" i="30"/>
  <c r="E66" i="30"/>
  <c r="F66" i="30"/>
  <c r="D66" i="30"/>
  <c r="D59" i="30"/>
  <c r="D63" i="30"/>
  <c r="D67" i="30"/>
  <c r="E58" i="30"/>
  <c r="F58" i="30"/>
  <c r="D58" i="30"/>
  <c r="D62" i="30"/>
  <c r="E59" i="30"/>
  <c r="E63" i="30"/>
  <c r="E67" i="30"/>
  <c r="E62" i="30"/>
  <c r="F62" i="30"/>
  <c r="G58" i="30"/>
  <c r="G62" i="30"/>
  <c r="F63" i="30"/>
  <c r="G66" i="30"/>
  <c r="F67" i="30"/>
  <c r="D56" i="30"/>
  <c r="F57" i="30"/>
  <c r="D57" i="30"/>
  <c r="C57" i="30"/>
  <c r="D60" i="30"/>
  <c r="F61" i="30"/>
  <c r="C61" i="30"/>
  <c r="D61" i="30"/>
  <c r="F65" i="30"/>
  <c r="D65" i="30"/>
  <c r="C65" i="30"/>
  <c r="E56" i="30"/>
  <c r="E60" i="30"/>
  <c r="E64" i="30"/>
  <c r="AL15" i="30"/>
  <c r="AL17" i="30"/>
  <c r="AL33" i="30"/>
  <c r="AL35" i="30"/>
  <c r="AL41" i="30"/>
  <c r="AL45" i="30"/>
  <c r="AM5" i="30"/>
  <c r="AM7" i="30"/>
  <c r="AM9" i="30"/>
  <c r="AM11" i="30"/>
  <c r="AM13" i="30"/>
  <c r="AM19" i="30"/>
  <c r="AM21" i="30"/>
  <c r="AM23" i="30"/>
  <c r="AM25" i="30"/>
  <c r="AM27" i="30"/>
  <c r="AM29" i="30"/>
  <c r="AM31" i="30"/>
  <c r="AM37" i="30"/>
  <c r="AM39" i="30"/>
  <c r="AM43" i="30"/>
  <c r="AL48" i="30"/>
  <c r="AL50" i="30"/>
  <c r="AL52" i="30"/>
  <c r="C56" i="30"/>
  <c r="C60" i="30"/>
  <c r="C64" i="30"/>
  <c r="G59" i="30"/>
  <c r="G63" i="30"/>
  <c r="G67" i="30"/>
  <c r="AL49" i="30"/>
  <c r="AL51" i="30"/>
  <c r="C58" i="30"/>
  <c r="C62" i="30"/>
  <c r="C66" i="30"/>
  <c r="D55" i="9"/>
  <c r="E55" i="9"/>
  <c r="F55" i="9"/>
  <c r="G55" i="9"/>
  <c r="C55" i="9"/>
  <c r="B67" i="9"/>
  <c r="B57" i="9"/>
  <c r="B58" i="9"/>
  <c r="B59" i="9"/>
  <c r="B60" i="9"/>
  <c r="B61" i="9"/>
  <c r="B62" i="9"/>
  <c r="B63" i="9"/>
  <c r="B64" i="9"/>
  <c r="B65" i="9"/>
  <c r="B66" i="9"/>
  <c r="B56" i="9"/>
  <c r="O40" i="4"/>
  <c r="BN47" i="30" l="1"/>
  <c r="BN46" i="30"/>
  <c r="BN24" i="30"/>
  <c r="BN5" i="30"/>
  <c r="BN38" i="30"/>
  <c r="BN39" i="30"/>
  <c r="BN31" i="30"/>
  <c r="BN21" i="30"/>
  <c r="BN19" i="30"/>
  <c r="BN17" i="30"/>
  <c r="BN40" i="30"/>
  <c r="BN42" i="30"/>
  <c r="BN18" i="30"/>
  <c r="BN15" i="30"/>
  <c r="BN14" i="30"/>
  <c r="BN41" i="30"/>
  <c r="BN9" i="30"/>
  <c r="BN23" i="30"/>
  <c r="BN6" i="30"/>
  <c r="BN20" i="30"/>
  <c r="BN43" i="30"/>
  <c r="BN45" i="30"/>
  <c r="BN12" i="30"/>
  <c r="BN25" i="30"/>
  <c r="BN11" i="30"/>
  <c r="BN16" i="30"/>
  <c r="BN8" i="30"/>
  <c r="BN36" i="30"/>
  <c r="BN44" i="30"/>
  <c r="BN22" i="30"/>
  <c r="BN37" i="30"/>
  <c r="BN7" i="30"/>
  <c r="BN13" i="30"/>
  <c r="BN10" i="30"/>
  <c r="BN26" i="30"/>
  <c r="G68" i="30"/>
  <c r="C67" i="30"/>
  <c r="F59" i="30"/>
  <c r="F68" i="30" s="1"/>
  <c r="J68" i="30" s="1"/>
  <c r="C59" i="30"/>
  <c r="C63" i="30"/>
  <c r="E68" i="30"/>
  <c r="D68" i="30"/>
  <c r="C48" i="18"/>
  <c r="D48" i="18"/>
  <c r="E48" i="18"/>
  <c r="F48" i="18"/>
  <c r="G48" i="18"/>
  <c r="H48" i="18"/>
  <c r="I48" i="18"/>
  <c r="J48" i="18"/>
  <c r="K48" i="18"/>
  <c r="L48" i="18"/>
  <c r="B48" i="18"/>
  <c r="I68" i="30" l="1"/>
  <c r="C68" i="30"/>
  <c r="H68" i="30" s="1"/>
  <c r="F46" i="10"/>
  <c r="C6" i="28" s="1"/>
  <c r="F45" i="10"/>
  <c r="C5" i="28" s="1"/>
  <c r="F44" i="10"/>
  <c r="C4" i="28" s="1"/>
  <c r="F43" i="10"/>
  <c r="F42" i="10"/>
  <c r="F41" i="10"/>
  <c r="F40" i="10"/>
  <c r="F39" i="10"/>
  <c r="F36" i="10"/>
  <c r="F34" i="10"/>
  <c r="F33" i="10"/>
  <c r="F32" i="10"/>
  <c r="F31" i="10"/>
  <c r="F30" i="10"/>
  <c r="F29" i="10"/>
  <c r="F28" i="10"/>
  <c r="F27" i="10"/>
  <c r="F26" i="10"/>
  <c r="F25" i="10"/>
  <c r="F24" i="10"/>
  <c r="F23" i="10"/>
  <c r="F22" i="10"/>
  <c r="E30" i="9"/>
  <c r="G23" i="9"/>
  <c r="F23" i="9"/>
  <c r="G22" i="9"/>
  <c r="E22" i="9"/>
  <c r="G21" i="9"/>
  <c r="C21" i="9"/>
  <c r="E20" i="9"/>
  <c r="G19" i="9"/>
  <c r="C17" i="9"/>
  <c r="J46" i="9"/>
  <c r="J45" i="9"/>
  <c r="J44" i="9"/>
  <c r="J43" i="9"/>
  <c r="J42" i="9"/>
  <c r="J41" i="9"/>
  <c r="J40" i="9"/>
  <c r="J39" i="9"/>
  <c r="J38" i="9"/>
  <c r="J37" i="9"/>
  <c r="J36" i="9"/>
  <c r="J35" i="9"/>
  <c r="J34" i="9"/>
  <c r="J33" i="9"/>
  <c r="J32" i="9"/>
  <c r="J31" i="9"/>
  <c r="J30" i="9"/>
  <c r="J29" i="9"/>
  <c r="J14" i="9"/>
  <c r="J15" i="9"/>
  <c r="J16" i="9"/>
  <c r="J17" i="9"/>
  <c r="J18" i="9"/>
  <c r="J19" i="9"/>
  <c r="J20" i="9"/>
  <c r="J21" i="9"/>
  <c r="J22" i="9"/>
  <c r="J23" i="9"/>
  <c r="J24" i="9"/>
  <c r="J25" i="9"/>
  <c r="J26" i="9"/>
  <c r="I31" i="9"/>
  <c r="I32" i="9"/>
  <c r="I33" i="9"/>
  <c r="I34" i="9"/>
  <c r="I35" i="9"/>
  <c r="I36" i="9"/>
  <c r="I37" i="9"/>
  <c r="I38" i="9"/>
  <c r="I39" i="9"/>
  <c r="I40" i="9"/>
  <c r="I41" i="9"/>
  <c r="I42" i="9"/>
  <c r="I43" i="9"/>
  <c r="I44" i="9"/>
  <c r="I45" i="9"/>
  <c r="I46" i="9"/>
  <c r="I19" i="9"/>
  <c r="I20" i="9"/>
  <c r="I21" i="9"/>
  <c r="I22" i="9"/>
  <c r="I23" i="9"/>
  <c r="I24" i="9"/>
  <c r="I25" i="9"/>
  <c r="I28" i="9"/>
  <c r="I30" i="9"/>
  <c r="I48" i="9"/>
  <c r="I16" i="9"/>
  <c r="I18" i="9"/>
  <c r="H46" i="9"/>
  <c r="H30" i="9"/>
  <c r="H26" i="9"/>
  <c r="H25" i="9"/>
  <c r="H24" i="9"/>
  <c r="H23" i="9"/>
  <c r="H22" i="9"/>
  <c r="H21" i="9"/>
  <c r="H20" i="9"/>
  <c r="H19" i="9"/>
  <c r="H18" i="9"/>
  <c r="H17" i="9"/>
  <c r="H16" i="9"/>
  <c r="H15" i="9"/>
  <c r="H14" i="9"/>
  <c r="J13" i="9"/>
  <c r="I13" i="9"/>
  <c r="H13" i="9"/>
  <c r="J12" i="9"/>
  <c r="I12" i="9"/>
  <c r="H12" i="9"/>
  <c r="J11" i="9"/>
  <c r="I11" i="9"/>
  <c r="H11" i="9"/>
  <c r="J10" i="9"/>
  <c r="I10" i="9"/>
  <c r="H10" i="9"/>
  <c r="J9" i="9"/>
  <c r="I9" i="9"/>
  <c r="H9" i="9"/>
  <c r="J8" i="9"/>
  <c r="I8" i="9"/>
  <c r="H8" i="9"/>
  <c r="J7" i="9"/>
  <c r="I7" i="9"/>
  <c r="H7" i="9"/>
  <c r="J6" i="9"/>
  <c r="I6" i="9"/>
  <c r="H6" i="9"/>
  <c r="J5" i="9"/>
  <c r="I5" i="9"/>
  <c r="H5" i="9"/>
  <c r="J4" i="9"/>
  <c r="I4" i="9"/>
  <c r="H4" i="9"/>
  <c r="C3" i="28" l="1"/>
  <c r="J48" i="9"/>
  <c r="G48" i="9"/>
  <c r="F48" i="9"/>
  <c r="E48" i="9"/>
  <c r="C48" i="9"/>
  <c r="N44" i="27"/>
  <c r="N43" i="27"/>
  <c r="N42" i="27"/>
  <c r="N41" i="27"/>
  <c r="N40" i="27"/>
  <c r="N39" i="27"/>
  <c r="N38" i="27"/>
  <c r="N37" i="27"/>
  <c r="N36" i="27"/>
  <c r="N35" i="27"/>
  <c r="N34" i="27"/>
  <c r="N33" i="27"/>
  <c r="N32" i="27"/>
  <c r="N31" i="27"/>
  <c r="N29" i="27"/>
  <c r="N28" i="27"/>
  <c r="N27" i="27"/>
  <c r="N26" i="27"/>
  <c r="N24" i="27"/>
  <c r="N23" i="27"/>
  <c r="N22" i="27"/>
  <c r="N21" i="27"/>
  <c r="N20" i="27"/>
  <c r="N19" i="27"/>
  <c r="N18" i="27"/>
  <c r="N17" i="27"/>
  <c r="N16" i="27"/>
  <c r="N15" i="27"/>
  <c r="N14" i="27"/>
  <c r="N13" i="27"/>
  <c r="N12" i="27"/>
  <c r="N11" i="27"/>
  <c r="N10" i="27"/>
  <c r="N9" i="27"/>
  <c r="N8" i="27"/>
  <c r="N7" i="27"/>
  <c r="N6" i="27"/>
  <c r="N5" i="27"/>
  <c r="N4" i="27"/>
  <c r="N3" i="27"/>
  <c r="N2" i="27"/>
  <c r="K11" i="24" l="1"/>
  <c r="X2" i="25"/>
  <c r="Y2" i="25"/>
  <c r="X3" i="25"/>
  <c r="Y3" i="25"/>
  <c r="X4" i="25"/>
  <c r="Y4" i="25"/>
  <c r="X5" i="25"/>
  <c r="Y5" i="25"/>
  <c r="X6" i="25"/>
  <c r="Y6" i="25"/>
  <c r="X7" i="25"/>
  <c r="Y7" i="25"/>
  <c r="X8" i="25"/>
  <c r="Y8" i="25"/>
  <c r="X9" i="25"/>
  <c r="Y9" i="25"/>
  <c r="X10" i="25"/>
  <c r="Y10" i="25"/>
  <c r="X11" i="25"/>
  <c r="Y11" i="25"/>
  <c r="X12" i="25"/>
  <c r="Y12" i="25"/>
  <c r="X13" i="25"/>
  <c r="Y13" i="25"/>
  <c r="X14" i="25"/>
  <c r="Y14" i="25"/>
  <c r="X15" i="25"/>
  <c r="Y15" i="25"/>
  <c r="X16" i="25"/>
  <c r="Y16" i="25"/>
  <c r="X17" i="25"/>
  <c r="Y17" i="25"/>
  <c r="X18" i="25"/>
  <c r="Y18" i="25"/>
  <c r="X19" i="25"/>
  <c r="Y19" i="25"/>
  <c r="X20" i="25"/>
  <c r="Y20" i="25"/>
  <c r="X21" i="25"/>
  <c r="Y21" i="25"/>
  <c r="X22" i="25"/>
  <c r="Y22" i="25"/>
  <c r="X23" i="25"/>
  <c r="Y23" i="25"/>
  <c r="X24" i="25"/>
  <c r="Y24" i="25"/>
  <c r="X25" i="25"/>
  <c r="Y25" i="25"/>
  <c r="X26" i="25"/>
  <c r="Y26" i="25"/>
  <c r="X27" i="25"/>
  <c r="Y27" i="25"/>
  <c r="X28" i="25"/>
  <c r="Y28" i="25"/>
  <c r="X29" i="25"/>
  <c r="Y29" i="25"/>
  <c r="X30" i="25"/>
  <c r="Y30" i="25"/>
  <c r="X31" i="25"/>
  <c r="Y31" i="25"/>
  <c r="X32" i="25"/>
  <c r="Y32" i="25"/>
  <c r="X33" i="25"/>
  <c r="Y33" i="25"/>
  <c r="X34" i="25"/>
  <c r="Y34" i="25"/>
  <c r="X35" i="25"/>
  <c r="Y35" i="25"/>
  <c r="X36" i="25"/>
  <c r="Y36" i="25"/>
  <c r="X37" i="25"/>
  <c r="Y37" i="25"/>
  <c r="X38" i="25"/>
  <c r="Y38" i="25"/>
  <c r="X39" i="25"/>
  <c r="Y39" i="25"/>
  <c r="X40" i="25"/>
  <c r="Y40" i="25"/>
  <c r="X41" i="25"/>
  <c r="Y41" i="25"/>
  <c r="X42" i="25"/>
  <c r="Y42" i="25"/>
  <c r="X43" i="25"/>
  <c r="Y43" i="25"/>
  <c r="X44" i="25"/>
  <c r="Y44" i="25"/>
  <c r="T2" i="25"/>
  <c r="U2" i="25"/>
  <c r="V2" i="25"/>
  <c r="W2" i="25"/>
  <c r="T3" i="25"/>
  <c r="U3" i="25"/>
  <c r="V3" i="25"/>
  <c r="W3" i="25"/>
  <c r="T4" i="25"/>
  <c r="U4" i="25"/>
  <c r="V4" i="25"/>
  <c r="W4" i="25"/>
  <c r="T5" i="25"/>
  <c r="U5" i="25"/>
  <c r="V5" i="25"/>
  <c r="W5" i="25"/>
  <c r="T6" i="25"/>
  <c r="U6" i="25"/>
  <c r="V6" i="25"/>
  <c r="W6" i="25"/>
  <c r="T7" i="25"/>
  <c r="U7" i="25"/>
  <c r="V7" i="25"/>
  <c r="W7" i="25"/>
  <c r="T8" i="25"/>
  <c r="U8" i="25"/>
  <c r="V8" i="25"/>
  <c r="W8" i="25"/>
  <c r="T9" i="25"/>
  <c r="U9" i="25"/>
  <c r="V9" i="25"/>
  <c r="W9" i="25"/>
  <c r="T10" i="25"/>
  <c r="U10" i="25"/>
  <c r="V10" i="25"/>
  <c r="W10" i="25"/>
  <c r="T11" i="25"/>
  <c r="U11" i="25"/>
  <c r="V11" i="25"/>
  <c r="W11" i="25"/>
  <c r="T12" i="25"/>
  <c r="U12" i="25"/>
  <c r="V12" i="25"/>
  <c r="W12" i="25"/>
  <c r="T13" i="25"/>
  <c r="U13" i="25"/>
  <c r="V13" i="25"/>
  <c r="W13" i="25"/>
  <c r="T14" i="25"/>
  <c r="U14" i="25"/>
  <c r="V14" i="25"/>
  <c r="W14" i="25"/>
  <c r="T15" i="25"/>
  <c r="U15" i="25"/>
  <c r="V15" i="25"/>
  <c r="W15" i="25"/>
  <c r="T16" i="25"/>
  <c r="U16" i="25"/>
  <c r="V16" i="25"/>
  <c r="W16" i="25"/>
  <c r="T17" i="25"/>
  <c r="U17" i="25"/>
  <c r="V17" i="25"/>
  <c r="W17" i="25"/>
  <c r="T18" i="25"/>
  <c r="U18" i="25"/>
  <c r="V18" i="25"/>
  <c r="W18" i="25"/>
  <c r="T19" i="25"/>
  <c r="U19" i="25"/>
  <c r="V19" i="25"/>
  <c r="W19" i="25"/>
  <c r="T20" i="25"/>
  <c r="U20" i="25"/>
  <c r="V20" i="25"/>
  <c r="W20" i="25"/>
  <c r="T21" i="25"/>
  <c r="U21" i="25"/>
  <c r="V21" i="25"/>
  <c r="W21" i="25"/>
  <c r="T22" i="25"/>
  <c r="U22" i="25"/>
  <c r="V22" i="25"/>
  <c r="W22" i="25"/>
  <c r="T23" i="25"/>
  <c r="U23" i="25"/>
  <c r="V23" i="25"/>
  <c r="W23" i="25"/>
  <c r="T24" i="25"/>
  <c r="U24" i="25"/>
  <c r="V24" i="25"/>
  <c r="W24" i="25"/>
  <c r="T25" i="25"/>
  <c r="U25" i="25"/>
  <c r="V25" i="25"/>
  <c r="W25" i="25"/>
  <c r="T26" i="25"/>
  <c r="U26" i="25"/>
  <c r="V26" i="25"/>
  <c r="W26" i="25"/>
  <c r="T27" i="25"/>
  <c r="U27" i="25"/>
  <c r="V27" i="25"/>
  <c r="W27" i="25"/>
  <c r="T28" i="25"/>
  <c r="U28" i="25"/>
  <c r="V28" i="25"/>
  <c r="W28" i="25"/>
  <c r="T29" i="25"/>
  <c r="U29" i="25"/>
  <c r="V29" i="25"/>
  <c r="W29" i="25"/>
  <c r="T30" i="25"/>
  <c r="U30" i="25"/>
  <c r="V30" i="25"/>
  <c r="W30" i="25"/>
  <c r="T31" i="25"/>
  <c r="U31" i="25"/>
  <c r="V31" i="25"/>
  <c r="W31" i="25"/>
  <c r="T32" i="25"/>
  <c r="U32" i="25"/>
  <c r="V32" i="25"/>
  <c r="W32" i="25"/>
  <c r="T33" i="25"/>
  <c r="U33" i="25"/>
  <c r="V33" i="25"/>
  <c r="W33" i="25"/>
  <c r="T34" i="25"/>
  <c r="U34" i="25"/>
  <c r="V34" i="25"/>
  <c r="W34" i="25"/>
  <c r="T35" i="25"/>
  <c r="U35" i="25"/>
  <c r="V35" i="25"/>
  <c r="W35" i="25"/>
  <c r="T36" i="25"/>
  <c r="U36" i="25"/>
  <c r="V36" i="25"/>
  <c r="W36" i="25"/>
  <c r="T37" i="25"/>
  <c r="U37" i="25"/>
  <c r="V37" i="25"/>
  <c r="W37" i="25"/>
  <c r="T38" i="25"/>
  <c r="U38" i="25"/>
  <c r="V38" i="25"/>
  <c r="W38" i="25"/>
  <c r="T39" i="25"/>
  <c r="U39" i="25"/>
  <c r="V39" i="25"/>
  <c r="W39" i="25"/>
  <c r="T40" i="25"/>
  <c r="U40" i="25"/>
  <c r="V40" i="25"/>
  <c r="W40" i="25"/>
  <c r="T41" i="25"/>
  <c r="U41" i="25"/>
  <c r="V41" i="25"/>
  <c r="W41" i="25"/>
  <c r="T42" i="25"/>
  <c r="U42" i="25"/>
  <c r="V42" i="25"/>
  <c r="W42" i="25"/>
  <c r="T43" i="25"/>
  <c r="U43" i="25"/>
  <c r="V43" i="25"/>
  <c r="W43" i="25"/>
  <c r="T44" i="25"/>
  <c r="U44" i="25"/>
  <c r="V44" i="25"/>
  <c r="W44" i="25"/>
  <c r="S2" i="25"/>
  <c r="S3" i="25"/>
  <c r="S4" i="25"/>
  <c r="S5" i="25"/>
  <c r="S6" i="25"/>
  <c r="S7" i="25"/>
  <c r="S8" i="25"/>
  <c r="S9" i="25"/>
  <c r="S10" i="25"/>
  <c r="S11" i="25"/>
  <c r="S12" i="25"/>
  <c r="S13" i="25"/>
  <c r="S14" i="25"/>
  <c r="S15" i="25"/>
  <c r="S16" i="25"/>
  <c r="S17" i="25"/>
  <c r="S18" i="25"/>
  <c r="S19" i="25"/>
  <c r="S20" i="25"/>
  <c r="S21" i="25"/>
  <c r="S22" i="25"/>
  <c r="S23" i="25"/>
  <c r="S24" i="25"/>
  <c r="S25" i="25"/>
  <c r="S26" i="25"/>
  <c r="S27" i="25"/>
  <c r="S28" i="25"/>
  <c r="S29" i="25"/>
  <c r="S30" i="25"/>
  <c r="S31" i="25"/>
  <c r="S32" i="25"/>
  <c r="S33" i="25"/>
  <c r="S34" i="25"/>
  <c r="S35" i="25"/>
  <c r="S36" i="25"/>
  <c r="S37" i="25"/>
  <c r="S38" i="25"/>
  <c r="S39" i="25"/>
  <c r="S40" i="25"/>
  <c r="S41" i="25"/>
  <c r="S42" i="25"/>
  <c r="S43" i="25"/>
  <c r="S44" i="25"/>
  <c r="R44" i="25"/>
  <c r="R43" i="25"/>
  <c r="R42" i="25"/>
  <c r="R41" i="25"/>
  <c r="R40" i="25"/>
  <c r="R39" i="25"/>
  <c r="R38" i="25"/>
  <c r="R37" i="25"/>
  <c r="R36" i="25"/>
  <c r="R35" i="25"/>
  <c r="R34" i="25"/>
  <c r="R33" i="25"/>
  <c r="R32" i="25"/>
  <c r="R31" i="25"/>
  <c r="R30" i="25"/>
  <c r="R29" i="25"/>
  <c r="R28" i="25"/>
  <c r="R27" i="25"/>
  <c r="R26" i="25"/>
  <c r="R25" i="25"/>
  <c r="R24" i="25"/>
  <c r="R23" i="25"/>
  <c r="R22" i="25"/>
  <c r="R21" i="25"/>
  <c r="R20" i="25"/>
  <c r="R19" i="25"/>
  <c r="R18" i="25"/>
  <c r="R17" i="25"/>
  <c r="R16" i="25"/>
  <c r="R15" i="25"/>
  <c r="R14" i="25"/>
  <c r="R13" i="25"/>
  <c r="R12" i="25"/>
  <c r="R11" i="25"/>
  <c r="R10" i="25"/>
  <c r="R9" i="25"/>
  <c r="R8" i="25"/>
  <c r="R6" i="25"/>
  <c r="R5" i="25"/>
  <c r="R4" i="25"/>
  <c r="R3" i="25"/>
  <c r="R2" i="25"/>
  <c r="D3" i="25"/>
  <c r="E3" i="25" s="1"/>
  <c r="D4" i="25"/>
  <c r="E4" i="25" s="1"/>
  <c r="D5" i="25"/>
  <c r="E5" i="25" s="1"/>
  <c r="D6" i="25"/>
  <c r="E6" i="25" s="1"/>
  <c r="D7" i="25"/>
  <c r="E7" i="25" s="1"/>
  <c r="D8" i="25"/>
  <c r="E8" i="25" s="1"/>
  <c r="D9" i="25"/>
  <c r="E9" i="25" s="1"/>
  <c r="D10" i="25"/>
  <c r="E10" i="25" s="1"/>
  <c r="D11" i="25"/>
  <c r="E11" i="25" s="1"/>
  <c r="D12" i="25"/>
  <c r="E12" i="25" s="1"/>
  <c r="D13" i="25"/>
  <c r="E13" i="25" s="1"/>
  <c r="D14" i="25"/>
  <c r="E14" i="25" s="1"/>
  <c r="D15" i="25"/>
  <c r="E15" i="25" s="1"/>
  <c r="D16" i="25"/>
  <c r="E16" i="25" s="1"/>
  <c r="D17" i="25"/>
  <c r="E17" i="25" s="1"/>
  <c r="D18" i="25"/>
  <c r="E18" i="25" s="1"/>
  <c r="D19" i="25"/>
  <c r="E19" i="25" s="1"/>
  <c r="D20" i="25"/>
  <c r="E20" i="25" s="1"/>
  <c r="D21" i="25"/>
  <c r="E21" i="25" s="1"/>
  <c r="D22" i="25"/>
  <c r="E22" i="25" s="1"/>
  <c r="D23" i="25"/>
  <c r="E23" i="25" s="1"/>
  <c r="D24" i="25"/>
  <c r="E24" i="25" s="1"/>
  <c r="D25" i="25"/>
  <c r="E25" i="25" s="1"/>
  <c r="D26" i="25"/>
  <c r="E26" i="25" s="1"/>
  <c r="D27" i="25"/>
  <c r="E27" i="25" s="1"/>
  <c r="D28" i="25"/>
  <c r="E28" i="25" s="1"/>
  <c r="D29" i="25"/>
  <c r="E29" i="25" s="1"/>
  <c r="D30" i="25"/>
  <c r="E30" i="25" s="1"/>
  <c r="D31" i="25"/>
  <c r="E31" i="25" s="1"/>
  <c r="D32" i="25"/>
  <c r="E32" i="25" s="1"/>
  <c r="D33" i="25"/>
  <c r="E33" i="25" s="1"/>
  <c r="D34" i="25"/>
  <c r="E34" i="25" s="1"/>
  <c r="D35" i="25"/>
  <c r="E35" i="25" s="1"/>
  <c r="D36" i="25"/>
  <c r="E36" i="25" s="1"/>
  <c r="D37" i="25"/>
  <c r="E37" i="25" s="1"/>
  <c r="D38" i="25"/>
  <c r="E38" i="25" s="1"/>
  <c r="D39" i="25"/>
  <c r="E39" i="25" s="1"/>
  <c r="D40" i="25"/>
  <c r="E40" i="25" s="1"/>
  <c r="D41" i="25"/>
  <c r="E41" i="25" s="1"/>
  <c r="D42" i="25"/>
  <c r="E42" i="25" s="1"/>
  <c r="D43" i="25"/>
  <c r="E43" i="25" s="1"/>
  <c r="D44" i="25"/>
  <c r="D2" i="25"/>
  <c r="E2" i="25" s="1"/>
  <c r="Z17" i="25" l="1"/>
  <c r="Z41" i="25"/>
  <c r="Z40" i="25"/>
  <c r="Z32" i="25"/>
  <c r="Z24" i="25"/>
  <c r="Z16" i="25"/>
  <c r="Z37" i="25"/>
  <c r="Z29" i="25"/>
  <c r="Z13" i="25"/>
  <c r="Z5" i="25"/>
  <c r="Z35" i="25"/>
  <c r="Z9" i="25"/>
  <c r="Z19" i="25"/>
  <c r="Z33" i="25"/>
  <c r="Z11" i="25"/>
  <c r="Z27" i="25"/>
  <c r="Z3" i="25"/>
  <c r="Z21" i="25"/>
  <c r="Z25" i="25"/>
  <c r="Z43" i="25"/>
  <c r="Z26" i="25"/>
  <c r="Z38" i="25"/>
  <c r="Z30" i="25"/>
  <c r="Z22" i="25"/>
  <c r="Z14" i="25"/>
  <c r="Z34" i="25"/>
  <c r="Z12" i="25"/>
  <c r="Z20" i="25"/>
  <c r="Z28" i="25"/>
  <c r="Z36" i="25"/>
  <c r="Z44" i="25"/>
  <c r="Z10" i="25"/>
  <c r="Z18" i="25"/>
  <c r="Z6" i="25"/>
  <c r="Z2" i="25"/>
  <c r="Z15" i="25"/>
  <c r="Z23" i="25"/>
  <c r="Z31" i="25"/>
  <c r="Z39" i="25"/>
  <c r="Z42" i="25"/>
  <c r="Z4" i="25"/>
  <c r="Z8" i="25"/>
  <c r="D14" i="24"/>
  <c r="D12" i="24"/>
  <c r="D11" i="24"/>
  <c r="P38" i="4"/>
  <c r="B6" i="22" l="1"/>
  <c r="O47" i="18" l="1"/>
  <c r="P47" i="18" s="1"/>
  <c r="V237" i="17"/>
  <c r="U237" i="17"/>
  <c r="D237" i="17" s="1"/>
  <c r="S237" i="17"/>
  <c r="R237" i="17"/>
  <c r="Q237" i="17"/>
  <c r="M237" i="17"/>
  <c r="G237" i="17"/>
  <c r="O237" i="17" s="1"/>
  <c r="E237" i="17"/>
  <c r="B237" i="17" s="1"/>
  <c r="V236" i="17"/>
  <c r="U236" i="17"/>
  <c r="D236" i="17" s="1"/>
  <c r="S236" i="17"/>
  <c r="R236" i="17"/>
  <c r="Q236" i="17"/>
  <c r="M236" i="17"/>
  <c r="G236" i="17"/>
  <c r="O236" i="17" s="1"/>
  <c r="E236" i="17"/>
  <c r="B236" i="17" s="1"/>
  <c r="V235" i="17"/>
  <c r="U235" i="17"/>
  <c r="D235" i="17" s="1"/>
  <c r="S235" i="17"/>
  <c r="R235" i="17"/>
  <c r="Q235" i="17"/>
  <c r="M235" i="17"/>
  <c r="G235" i="17"/>
  <c r="O235" i="17" s="1"/>
  <c r="E235" i="17"/>
  <c r="B235" i="17" s="1"/>
  <c r="V234" i="17"/>
  <c r="U234" i="17"/>
  <c r="D234" i="17" s="1"/>
  <c r="S234" i="17"/>
  <c r="R234" i="17"/>
  <c r="Q234" i="17"/>
  <c r="M234" i="17"/>
  <c r="G234" i="17"/>
  <c r="X234" i="17" s="1"/>
  <c r="E234" i="17"/>
  <c r="B234" i="17" s="1"/>
  <c r="V233" i="17"/>
  <c r="U233" i="17"/>
  <c r="D233" i="17" s="1"/>
  <c r="S233" i="17"/>
  <c r="R233" i="17"/>
  <c r="Q233" i="17"/>
  <c r="M233" i="17"/>
  <c r="G233" i="17"/>
  <c r="O233" i="17" s="1"/>
  <c r="E233" i="17"/>
  <c r="B233" i="17" s="1"/>
  <c r="V232" i="17"/>
  <c r="U232" i="17"/>
  <c r="D232" i="17" s="1"/>
  <c r="S232" i="17"/>
  <c r="R232" i="17"/>
  <c r="Q232" i="17"/>
  <c r="M232" i="17"/>
  <c r="G232" i="17"/>
  <c r="O232" i="17" s="1"/>
  <c r="E232" i="17"/>
  <c r="B232" i="17" s="1"/>
  <c r="AD231" i="17"/>
  <c r="V231" i="17"/>
  <c r="U231" i="17"/>
  <c r="D231" i="17" s="1"/>
  <c r="M231" i="17"/>
  <c r="AF231" i="17"/>
  <c r="F231" i="17"/>
  <c r="E231" i="17"/>
  <c r="B231" i="17" s="1"/>
  <c r="AD230" i="17"/>
  <c r="V230" i="17"/>
  <c r="U230" i="17"/>
  <c r="D230" i="17" s="1"/>
  <c r="M230" i="17"/>
  <c r="AF230" i="17"/>
  <c r="F230" i="17"/>
  <c r="E230" i="17"/>
  <c r="B230" i="17" s="1"/>
  <c r="AD229" i="17"/>
  <c r="V229" i="17"/>
  <c r="U229" i="17"/>
  <c r="D229" i="17" s="1"/>
  <c r="M229" i="17"/>
  <c r="AF229" i="17"/>
  <c r="F229" i="17"/>
  <c r="E229" i="17"/>
  <c r="B229" i="17" s="1"/>
  <c r="V228" i="17"/>
  <c r="U228" i="17"/>
  <c r="D228" i="17" s="1"/>
  <c r="M228" i="17"/>
  <c r="AF228" i="17"/>
  <c r="F228" i="17"/>
  <c r="E228" i="17"/>
  <c r="B228" i="17" s="1"/>
  <c r="V227" i="17"/>
  <c r="U227" i="17"/>
  <c r="D227" i="17" s="1"/>
  <c r="M227" i="17"/>
  <c r="AF227" i="17"/>
  <c r="F227" i="17"/>
  <c r="E227" i="17"/>
  <c r="B227" i="17" s="1"/>
  <c r="V226" i="17"/>
  <c r="U226" i="17"/>
  <c r="D226" i="17" s="1"/>
  <c r="M226" i="17"/>
  <c r="AF226" i="17"/>
  <c r="F226" i="17"/>
  <c r="E226" i="17"/>
  <c r="B226" i="17" s="1"/>
  <c r="AD225" i="17"/>
  <c r="V225" i="17"/>
  <c r="U225" i="17"/>
  <c r="D225" i="17" s="1"/>
  <c r="M225" i="17"/>
  <c r="AF225" i="17"/>
  <c r="F225" i="17"/>
  <c r="E225" i="17"/>
  <c r="B225" i="17" s="1"/>
  <c r="AD224" i="17"/>
  <c r="V224" i="17"/>
  <c r="U224" i="17"/>
  <c r="D224" i="17" s="1"/>
  <c r="M224" i="17"/>
  <c r="AF224" i="17"/>
  <c r="F224" i="17"/>
  <c r="E224" i="17"/>
  <c r="B224" i="17" s="1"/>
  <c r="AD223" i="17"/>
  <c r="V223" i="17"/>
  <c r="U223" i="17"/>
  <c r="D223" i="17" s="1"/>
  <c r="M223" i="17"/>
  <c r="AF223" i="17"/>
  <c r="F223" i="17"/>
  <c r="E223" i="17"/>
  <c r="B223" i="17" s="1"/>
  <c r="V222" i="17"/>
  <c r="U222" i="17"/>
  <c r="D222" i="17" s="1"/>
  <c r="M222" i="17"/>
  <c r="AF222" i="17"/>
  <c r="F222" i="17"/>
  <c r="E222" i="17"/>
  <c r="B222" i="17" s="1"/>
  <c r="V221" i="17"/>
  <c r="U221" i="17"/>
  <c r="D221" i="17" s="1"/>
  <c r="M221" i="17"/>
  <c r="AF221" i="17"/>
  <c r="F221" i="17"/>
  <c r="E221" i="17"/>
  <c r="B221" i="17" s="1"/>
  <c r="V220" i="17"/>
  <c r="U220" i="17"/>
  <c r="D220" i="17" s="1"/>
  <c r="M220" i="17"/>
  <c r="AF220" i="17"/>
  <c r="F220" i="17"/>
  <c r="E220" i="17"/>
  <c r="B220" i="17" s="1"/>
  <c r="AD219" i="17"/>
  <c r="V219" i="17"/>
  <c r="U219" i="17"/>
  <c r="D219" i="17" s="1"/>
  <c r="M219" i="17"/>
  <c r="AF219" i="17"/>
  <c r="F219" i="17"/>
  <c r="E219" i="17"/>
  <c r="B219" i="17" s="1"/>
  <c r="V218" i="17"/>
  <c r="U218" i="17"/>
  <c r="D218" i="17" s="1"/>
  <c r="M218" i="17"/>
  <c r="AF218" i="17"/>
  <c r="F218" i="17"/>
  <c r="E218" i="17"/>
  <c r="B218" i="17" s="1"/>
  <c r="V217" i="17"/>
  <c r="U217" i="17"/>
  <c r="D217" i="17" s="1"/>
  <c r="M217" i="17"/>
  <c r="AF217" i="17"/>
  <c r="F217" i="17"/>
  <c r="E217" i="17"/>
  <c r="B217" i="17" s="1"/>
  <c r="V216" i="17"/>
  <c r="U216" i="17"/>
  <c r="D216" i="17" s="1"/>
  <c r="M216" i="17"/>
  <c r="AF216" i="17"/>
  <c r="F216" i="17"/>
  <c r="E216" i="17"/>
  <c r="B216" i="17" s="1"/>
  <c r="V215" i="17"/>
  <c r="U215" i="17"/>
  <c r="D215" i="17" s="1"/>
  <c r="M215" i="17"/>
  <c r="AF215" i="17"/>
  <c r="F215" i="17"/>
  <c r="E215" i="17"/>
  <c r="B215" i="17" s="1"/>
  <c r="V214" i="17"/>
  <c r="U214" i="17"/>
  <c r="D214" i="17" s="1"/>
  <c r="M214" i="17"/>
  <c r="AF214" i="17"/>
  <c r="F214" i="17"/>
  <c r="E214" i="17"/>
  <c r="B214" i="17" s="1"/>
  <c r="V213" i="17"/>
  <c r="U213" i="17"/>
  <c r="D213" i="17" s="1"/>
  <c r="M213" i="17"/>
  <c r="AF213" i="17"/>
  <c r="F213" i="17"/>
  <c r="E213" i="17"/>
  <c r="B213" i="17" s="1"/>
  <c r="V212" i="17"/>
  <c r="U212" i="17"/>
  <c r="D212" i="17" s="1"/>
  <c r="M212" i="17"/>
  <c r="AF212" i="17"/>
  <c r="F212" i="17"/>
  <c r="E212" i="17"/>
  <c r="B212" i="17" s="1"/>
  <c r="V211" i="17"/>
  <c r="U211" i="17"/>
  <c r="D211" i="17" s="1"/>
  <c r="M211" i="17"/>
  <c r="AF211" i="17"/>
  <c r="F211" i="17"/>
  <c r="E211" i="17"/>
  <c r="B211" i="17" s="1"/>
  <c r="V210" i="17"/>
  <c r="U210" i="17"/>
  <c r="D210" i="17" s="1"/>
  <c r="M210" i="17"/>
  <c r="AF210" i="17"/>
  <c r="F210" i="17"/>
  <c r="E210" i="17"/>
  <c r="B210" i="17" s="1"/>
  <c r="V209" i="17"/>
  <c r="U209" i="17"/>
  <c r="D209" i="17" s="1"/>
  <c r="M209" i="17"/>
  <c r="AF209" i="17"/>
  <c r="F209" i="17"/>
  <c r="E209" i="17"/>
  <c r="B209" i="17" s="1"/>
  <c r="AD208" i="17"/>
  <c r="V208" i="17"/>
  <c r="U208" i="17"/>
  <c r="D208" i="17" s="1"/>
  <c r="M208" i="17"/>
  <c r="AF208" i="17"/>
  <c r="F208" i="17"/>
  <c r="E208" i="17"/>
  <c r="B208" i="17" s="1"/>
  <c r="V207" i="17"/>
  <c r="U207" i="17"/>
  <c r="D207" i="17" s="1"/>
  <c r="M207" i="17"/>
  <c r="AF207" i="17"/>
  <c r="F207" i="17"/>
  <c r="E207" i="17"/>
  <c r="B207" i="17" s="1"/>
  <c r="V206" i="17"/>
  <c r="U206" i="17"/>
  <c r="D206" i="17" s="1"/>
  <c r="M206" i="17"/>
  <c r="AF206" i="17"/>
  <c r="F206" i="17"/>
  <c r="E206" i="17"/>
  <c r="B206" i="17" s="1"/>
  <c r="V205" i="17"/>
  <c r="U205" i="17"/>
  <c r="D205" i="17" s="1"/>
  <c r="M205" i="17"/>
  <c r="AF205" i="17"/>
  <c r="F205" i="17"/>
  <c r="E205" i="17"/>
  <c r="B205" i="17" s="1"/>
  <c r="V204" i="17"/>
  <c r="U204" i="17"/>
  <c r="D204" i="17" s="1"/>
  <c r="M204" i="17"/>
  <c r="AF204" i="17"/>
  <c r="F204" i="17"/>
  <c r="E204" i="17"/>
  <c r="B204" i="17" s="1"/>
  <c r="V203" i="17"/>
  <c r="U203" i="17"/>
  <c r="D203" i="17" s="1"/>
  <c r="M203" i="17"/>
  <c r="AF203" i="17"/>
  <c r="F203" i="17"/>
  <c r="E203" i="17"/>
  <c r="B203" i="17" s="1"/>
  <c r="V202" i="17"/>
  <c r="U202" i="17"/>
  <c r="D202" i="17" s="1"/>
  <c r="M202" i="17"/>
  <c r="AF202" i="17"/>
  <c r="F202" i="17"/>
  <c r="E202" i="17"/>
  <c r="B202" i="17" s="1"/>
  <c r="V201" i="17"/>
  <c r="U201" i="17"/>
  <c r="D201" i="17" s="1"/>
  <c r="M201" i="17"/>
  <c r="AF201" i="17"/>
  <c r="F201" i="17"/>
  <c r="E201" i="17"/>
  <c r="B201" i="17" s="1"/>
  <c r="V200" i="17"/>
  <c r="U200" i="17"/>
  <c r="D200" i="17" s="1"/>
  <c r="M200" i="17"/>
  <c r="AF200" i="17"/>
  <c r="F200" i="17"/>
  <c r="E200" i="17"/>
  <c r="B200" i="17" s="1"/>
  <c r="V199" i="17"/>
  <c r="U199" i="17"/>
  <c r="D199" i="17" s="1"/>
  <c r="M199" i="17"/>
  <c r="AF199" i="17"/>
  <c r="F199" i="17"/>
  <c r="E199" i="17"/>
  <c r="B199" i="17" s="1"/>
  <c r="V198" i="17"/>
  <c r="U198" i="17"/>
  <c r="D198" i="17" s="1"/>
  <c r="M198" i="17"/>
  <c r="AF198" i="17"/>
  <c r="F198" i="17"/>
  <c r="E198" i="17"/>
  <c r="B198" i="17" s="1"/>
  <c r="V197" i="17"/>
  <c r="U197" i="17"/>
  <c r="D197" i="17" s="1"/>
  <c r="M197" i="17"/>
  <c r="AF197" i="17"/>
  <c r="F197" i="17"/>
  <c r="E197" i="17"/>
  <c r="B197" i="17" s="1"/>
  <c r="V196" i="17"/>
  <c r="U196" i="17"/>
  <c r="D196" i="17" s="1"/>
  <c r="M196" i="17"/>
  <c r="AF196" i="17"/>
  <c r="F196" i="17"/>
  <c r="E196" i="17"/>
  <c r="B196" i="17" s="1"/>
  <c r="V195" i="17"/>
  <c r="U195" i="17"/>
  <c r="D195" i="17" s="1"/>
  <c r="M195" i="17"/>
  <c r="AF195" i="17"/>
  <c r="F195" i="17"/>
  <c r="E195" i="17"/>
  <c r="B195" i="17" s="1"/>
  <c r="V194" i="17"/>
  <c r="U194" i="17"/>
  <c r="D194" i="17" s="1"/>
  <c r="M194" i="17"/>
  <c r="AF194" i="17"/>
  <c r="F194" i="17"/>
  <c r="E194" i="17"/>
  <c r="B194" i="17" s="1"/>
  <c r="V193" i="17"/>
  <c r="U193" i="17"/>
  <c r="D193" i="17" s="1"/>
  <c r="M193" i="17"/>
  <c r="AF193" i="17"/>
  <c r="F193" i="17"/>
  <c r="E193" i="17"/>
  <c r="B193" i="17" s="1"/>
  <c r="V192" i="17"/>
  <c r="U192" i="17"/>
  <c r="D192" i="17" s="1"/>
  <c r="M192" i="17"/>
  <c r="AF192" i="17"/>
  <c r="F192" i="17"/>
  <c r="E192" i="17"/>
  <c r="B192" i="17" s="1"/>
  <c r="AD191" i="17"/>
  <c r="V191" i="17"/>
  <c r="U191" i="17"/>
  <c r="D191" i="17" s="1"/>
  <c r="M191" i="17"/>
  <c r="AF191" i="17"/>
  <c r="F191" i="17"/>
  <c r="E191" i="17"/>
  <c r="B191" i="17" s="1"/>
  <c r="V190" i="17"/>
  <c r="U190" i="17"/>
  <c r="D190" i="17" s="1"/>
  <c r="M190" i="17"/>
  <c r="AF190" i="17"/>
  <c r="F190" i="17"/>
  <c r="E190" i="17"/>
  <c r="B190" i="17" s="1"/>
  <c r="V189" i="17"/>
  <c r="U189" i="17"/>
  <c r="D189" i="17" s="1"/>
  <c r="M189" i="17"/>
  <c r="AF189" i="17"/>
  <c r="F189" i="17"/>
  <c r="E189" i="17"/>
  <c r="B189" i="17" s="1"/>
  <c r="V188" i="17"/>
  <c r="U188" i="17"/>
  <c r="D188" i="17" s="1"/>
  <c r="M188" i="17"/>
  <c r="AF188" i="17"/>
  <c r="F188" i="17"/>
  <c r="E188" i="17"/>
  <c r="B188" i="17" s="1"/>
  <c r="V187" i="17"/>
  <c r="U187" i="17"/>
  <c r="D187" i="17" s="1"/>
  <c r="M187" i="17"/>
  <c r="AF187" i="17"/>
  <c r="F187" i="17"/>
  <c r="E187" i="17"/>
  <c r="B187" i="17" s="1"/>
  <c r="V186" i="17"/>
  <c r="U186" i="17"/>
  <c r="D186" i="17" s="1"/>
  <c r="M186" i="17"/>
  <c r="AF186" i="17"/>
  <c r="F186" i="17"/>
  <c r="E186" i="17"/>
  <c r="B186" i="17" s="1"/>
  <c r="V185" i="17"/>
  <c r="U185" i="17"/>
  <c r="D185" i="17" s="1"/>
  <c r="M185" i="17"/>
  <c r="AF185" i="17"/>
  <c r="F185" i="17"/>
  <c r="E185" i="17"/>
  <c r="B185" i="17" s="1"/>
  <c r="V184" i="17"/>
  <c r="U184" i="17"/>
  <c r="D184" i="17" s="1"/>
  <c r="M184" i="17"/>
  <c r="AF184" i="17"/>
  <c r="F184" i="17"/>
  <c r="E184" i="17"/>
  <c r="B184" i="17" s="1"/>
  <c r="V183" i="17"/>
  <c r="U183" i="17"/>
  <c r="D183" i="17" s="1"/>
  <c r="M183" i="17"/>
  <c r="AF183" i="17"/>
  <c r="F183" i="17"/>
  <c r="E183" i="17"/>
  <c r="B183" i="17" s="1"/>
  <c r="V182" i="17"/>
  <c r="U182" i="17"/>
  <c r="D182" i="17" s="1"/>
  <c r="M182" i="17"/>
  <c r="AF182" i="17"/>
  <c r="F182" i="17"/>
  <c r="E182" i="17"/>
  <c r="B182" i="17" s="1"/>
  <c r="V181" i="17"/>
  <c r="U181" i="17"/>
  <c r="D181" i="17" s="1"/>
  <c r="M181" i="17"/>
  <c r="AF181" i="17"/>
  <c r="F181" i="17"/>
  <c r="E181" i="17"/>
  <c r="B181" i="17" s="1"/>
  <c r="V180" i="17"/>
  <c r="U180" i="17"/>
  <c r="D180" i="17" s="1"/>
  <c r="M180" i="17"/>
  <c r="AF180" i="17"/>
  <c r="F180" i="17"/>
  <c r="E180" i="17"/>
  <c r="B180" i="17" s="1"/>
  <c r="V179" i="17"/>
  <c r="U179" i="17"/>
  <c r="D179" i="17" s="1"/>
  <c r="M179" i="17"/>
  <c r="AF179" i="17"/>
  <c r="F179" i="17"/>
  <c r="E179" i="17"/>
  <c r="B179" i="17" s="1"/>
  <c r="V178" i="17"/>
  <c r="U178" i="17"/>
  <c r="D178" i="17" s="1"/>
  <c r="M178" i="17"/>
  <c r="AF178" i="17"/>
  <c r="F178" i="17"/>
  <c r="E178" i="17"/>
  <c r="B178" i="17" s="1"/>
  <c r="AD177" i="17"/>
  <c r="V177" i="17"/>
  <c r="U177" i="17"/>
  <c r="D177" i="17" s="1"/>
  <c r="M177" i="17"/>
  <c r="AF177" i="17"/>
  <c r="F177" i="17"/>
  <c r="E177" i="17"/>
  <c r="B177" i="17" s="1"/>
  <c r="V176" i="17"/>
  <c r="U176" i="17"/>
  <c r="D176" i="17" s="1"/>
  <c r="M176" i="17"/>
  <c r="AF176" i="17"/>
  <c r="F176" i="17"/>
  <c r="E176" i="17"/>
  <c r="B176" i="17" s="1"/>
  <c r="V175" i="17"/>
  <c r="U175" i="17"/>
  <c r="D175" i="17" s="1"/>
  <c r="M175" i="17"/>
  <c r="AF175" i="17"/>
  <c r="F175" i="17"/>
  <c r="E175" i="17"/>
  <c r="B175" i="17" s="1"/>
  <c r="V174" i="17"/>
  <c r="U174" i="17"/>
  <c r="D174" i="17" s="1"/>
  <c r="M174" i="17"/>
  <c r="AF174" i="17"/>
  <c r="F174" i="17"/>
  <c r="E174" i="17"/>
  <c r="B174" i="17" s="1"/>
  <c r="V173" i="17"/>
  <c r="U173" i="17"/>
  <c r="D173" i="17" s="1"/>
  <c r="M173" i="17"/>
  <c r="AF173" i="17"/>
  <c r="F173" i="17"/>
  <c r="E173" i="17"/>
  <c r="B173" i="17" s="1"/>
  <c r="V172" i="17"/>
  <c r="U172" i="17"/>
  <c r="D172" i="17" s="1"/>
  <c r="M172" i="17"/>
  <c r="AF172" i="17"/>
  <c r="F172" i="17"/>
  <c r="E172" i="17"/>
  <c r="B172" i="17" s="1"/>
  <c r="V171" i="17"/>
  <c r="U171" i="17"/>
  <c r="D171" i="17" s="1"/>
  <c r="M171" i="17"/>
  <c r="AF171" i="17"/>
  <c r="F171" i="17"/>
  <c r="E171" i="17"/>
  <c r="B171" i="17" s="1"/>
  <c r="V170" i="17"/>
  <c r="U170" i="17"/>
  <c r="D170" i="17" s="1"/>
  <c r="M170" i="17"/>
  <c r="AF170" i="17"/>
  <c r="F170" i="17"/>
  <c r="E170" i="17"/>
  <c r="B170" i="17" s="1"/>
  <c r="V169" i="17"/>
  <c r="U169" i="17"/>
  <c r="D169" i="17" s="1"/>
  <c r="M169" i="17"/>
  <c r="AF169" i="17"/>
  <c r="F169" i="17"/>
  <c r="E169" i="17"/>
  <c r="B169" i="17" s="1"/>
  <c r="V168" i="17"/>
  <c r="U168" i="17"/>
  <c r="D168" i="17" s="1"/>
  <c r="M168" i="17"/>
  <c r="AF168" i="17"/>
  <c r="F168" i="17"/>
  <c r="E168" i="17"/>
  <c r="B168" i="17" s="1"/>
  <c r="V167" i="17"/>
  <c r="U167" i="17"/>
  <c r="D167" i="17" s="1"/>
  <c r="M167" i="17"/>
  <c r="AF167" i="17"/>
  <c r="F167" i="17"/>
  <c r="E167" i="17"/>
  <c r="B167" i="17" s="1"/>
  <c r="AD166" i="17"/>
  <c r="V166" i="17"/>
  <c r="U166" i="17"/>
  <c r="D166" i="17" s="1"/>
  <c r="M166" i="17"/>
  <c r="AF166" i="17"/>
  <c r="F166" i="17"/>
  <c r="E166" i="17"/>
  <c r="B166" i="17" s="1"/>
  <c r="V165" i="17"/>
  <c r="U165" i="17"/>
  <c r="D165" i="17" s="1"/>
  <c r="M165" i="17"/>
  <c r="AF165" i="17"/>
  <c r="F165" i="17"/>
  <c r="E165" i="17"/>
  <c r="B165" i="17" s="1"/>
  <c r="AD164" i="17"/>
  <c r="V164" i="17"/>
  <c r="U164" i="17"/>
  <c r="D164" i="17" s="1"/>
  <c r="M164" i="17"/>
  <c r="AF164" i="17"/>
  <c r="F164" i="17"/>
  <c r="E164" i="17"/>
  <c r="B164" i="17" s="1"/>
  <c r="V163" i="17"/>
  <c r="U163" i="17"/>
  <c r="D163" i="17" s="1"/>
  <c r="M163" i="17"/>
  <c r="AF163" i="17"/>
  <c r="F163" i="17"/>
  <c r="E163" i="17"/>
  <c r="B163" i="17" s="1"/>
  <c r="V162" i="17"/>
  <c r="U162" i="17"/>
  <c r="D162" i="17" s="1"/>
  <c r="M162" i="17"/>
  <c r="AF162" i="17"/>
  <c r="F162" i="17"/>
  <c r="E162" i="17"/>
  <c r="B162" i="17" s="1"/>
  <c r="V161" i="17"/>
  <c r="U161" i="17"/>
  <c r="D161" i="17" s="1"/>
  <c r="M161" i="17"/>
  <c r="AF161" i="17"/>
  <c r="F161" i="17"/>
  <c r="E161" i="17"/>
  <c r="B161" i="17" s="1"/>
  <c r="V160" i="17"/>
  <c r="U160" i="17"/>
  <c r="D160" i="17" s="1"/>
  <c r="M160" i="17"/>
  <c r="AF160" i="17"/>
  <c r="F160" i="17"/>
  <c r="E160" i="17"/>
  <c r="B160" i="17" s="1"/>
  <c r="AD159" i="17"/>
  <c r="V159" i="17"/>
  <c r="U159" i="17"/>
  <c r="D159" i="17" s="1"/>
  <c r="M159" i="17"/>
  <c r="AF159" i="17"/>
  <c r="F159" i="17"/>
  <c r="E159" i="17"/>
  <c r="B159" i="17" s="1"/>
  <c r="V158" i="17"/>
  <c r="U158" i="17"/>
  <c r="D158" i="17" s="1"/>
  <c r="M158" i="17"/>
  <c r="AF158" i="17"/>
  <c r="F158" i="17"/>
  <c r="E158" i="17"/>
  <c r="B158" i="17" s="1"/>
  <c r="V157" i="17"/>
  <c r="U157" i="17"/>
  <c r="D157" i="17" s="1"/>
  <c r="M157" i="17"/>
  <c r="AF157" i="17"/>
  <c r="F157" i="17"/>
  <c r="E157" i="17"/>
  <c r="B157" i="17" s="1"/>
  <c r="V156" i="17"/>
  <c r="U156" i="17"/>
  <c r="D156" i="17" s="1"/>
  <c r="M156" i="17"/>
  <c r="AF156" i="17"/>
  <c r="F156" i="17"/>
  <c r="E156" i="17"/>
  <c r="B156" i="17" s="1"/>
  <c r="AD155" i="17"/>
  <c r="V155" i="17"/>
  <c r="U155" i="17"/>
  <c r="D155" i="17" s="1"/>
  <c r="M155" i="17"/>
  <c r="F155" i="17"/>
  <c r="E155" i="17"/>
  <c r="B155" i="17" s="1"/>
  <c r="V154" i="17"/>
  <c r="U154" i="17"/>
  <c r="D154" i="17" s="1"/>
  <c r="M154" i="17"/>
  <c r="F154" i="17"/>
  <c r="E154" i="17"/>
  <c r="B154" i="17" s="1"/>
  <c r="V153" i="17"/>
  <c r="U153" i="17"/>
  <c r="D153" i="17" s="1"/>
  <c r="M153" i="17"/>
  <c r="F153" i="17"/>
  <c r="E153" i="17"/>
  <c r="B153" i="17" s="1"/>
  <c r="V152" i="17"/>
  <c r="U152" i="17"/>
  <c r="D152" i="17" s="1"/>
  <c r="M152" i="17"/>
  <c r="F152" i="17"/>
  <c r="E152" i="17"/>
  <c r="B152" i="17" s="1"/>
  <c r="V151" i="17"/>
  <c r="U151" i="17"/>
  <c r="D151" i="17" s="1"/>
  <c r="M151" i="17"/>
  <c r="F151" i="17"/>
  <c r="E151" i="17"/>
  <c r="B151" i="17" s="1"/>
  <c r="V150" i="17"/>
  <c r="U150" i="17"/>
  <c r="D150" i="17" s="1"/>
  <c r="M150" i="17"/>
  <c r="F150" i="17"/>
  <c r="E150" i="17"/>
  <c r="B150" i="17" s="1"/>
  <c r="AD149" i="17"/>
  <c r="V149" i="17"/>
  <c r="U149" i="17"/>
  <c r="D149" i="17" s="1"/>
  <c r="M149" i="17"/>
  <c r="F149" i="17"/>
  <c r="E149" i="17"/>
  <c r="B149" i="17" s="1"/>
  <c r="V148" i="17"/>
  <c r="U148" i="17"/>
  <c r="D148" i="17" s="1"/>
  <c r="M148" i="17"/>
  <c r="AF148" i="17"/>
  <c r="F148" i="17"/>
  <c r="E148" i="17"/>
  <c r="B148" i="17" s="1"/>
  <c r="AD147" i="17"/>
  <c r="V147" i="17"/>
  <c r="U147" i="17"/>
  <c r="D147" i="17" s="1"/>
  <c r="M147" i="17"/>
  <c r="AF147" i="17"/>
  <c r="F147" i="17"/>
  <c r="E147" i="17"/>
  <c r="B147" i="17" s="1"/>
  <c r="V146" i="17"/>
  <c r="U146" i="17"/>
  <c r="D146" i="17" s="1"/>
  <c r="M146" i="17"/>
  <c r="AF146" i="17"/>
  <c r="F146" i="17"/>
  <c r="E146" i="17"/>
  <c r="B146" i="17" s="1"/>
  <c r="V145" i="17"/>
  <c r="U145" i="17"/>
  <c r="D145" i="17" s="1"/>
  <c r="M145" i="17"/>
  <c r="AF145" i="17"/>
  <c r="F145" i="17"/>
  <c r="E145" i="17"/>
  <c r="B145" i="17" s="1"/>
  <c r="V144" i="17"/>
  <c r="U144" i="17"/>
  <c r="D144" i="17" s="1"/>
  <c r="M144" i="17"/>
  <c r="AF144" i="17"/>
  <c r="F144" i="17"/>
  <c r="E144" i="17"/>
  <c r="B144" i="17" s="1"/>
  <c r="AD143" i="17"/>
  <c r="V143" i="17"/>
  <c r="U143" i="17"/>
  <c r="D143" i="17" s="1"/>
  <c r="M143" i="17"/>
  <c r="AF143" i="17"/>
  <c r="F143" i="17"/>
  <c r="E143" i="17"/>
  <c r="B143" i="17" s="1"/>
  <c r="V142" i="17"/>
  <c r="U142" i="17"/>
  <c r="D142" i="17" s="1"/>
  <c r="M142" i="17"/>
  <c r="AF142" i="17"/>
  <c r="F142" i="17"/>
  <c r="E142" i="17"/>
  <c r="B142" i="17" s="1"/>
  <c r="V141" i="17"/>
  <c r="U141" i="17"/>
  <c r="D141" i="17" s="1"/>
  <c r="M141" i="17"/>
  <c r="AF141" i="17"/>
  <c r="F141" i="17"/>
  <c r="E141" i="17"/>
  <c r="B141" i="17" s="1"/>
  <c r="V140" i="17"/>
  <c r="U140" i="17"/>
  <c r="D140" i="17" s="1"/>
  <c r="M140" i="17"/>
  <c r="AF140" i="17"/>
  <c r="F140" i="17"/>
  <c r="E140" i="17"/>
  <c r="B140" i="17" s="1"/>
  <c r="V139" i="17"/>
  <c r="U139" i="17"/>
  <c r="D139" i="17" s="1"/>
  <c r="M139" i="17"/>
  <c r="AF139" i="17"/>
  <c r="F139" i="17"/>
  <c r="E139" i="17"/>
  <c r="B139" i="17" s="1"/>
  <c r="V138" i="17"/>
  <c r="U138" i="17"/>
  <c r="D138" i="17" s="1"/>
  <c r="M138" i="17"/>
  <c r="AF138" i="17"/>
  <c r="F138" i="17"/>
  <c r="E138" i="17"/>
  <c r="B138" i="17" s="1"/>
  <c r="AD137" i="17"/>
  <c r="V137" i="17"/>
  <c r="U137" i="17"/>
  <c r="D137" i="17" s="1"/>
  <c r="M137" i="17"/>
  <c r="F137" i="17"/>
  <c r="E137" i="17"/>
  <c r="B137" i="17" s="1"/>
  <c r="AD136" i="17"/>
  <c r="V136" i="17"/>
  <c r="U136" i="17"/>
  <c r="D136" i="17" s="1"/>
  <c r="M136" i="17"/>
  <c r="F136" i="17"/>
  <c r="E136" i="17"/>
  <c r="B136" i="17" s="1"/>
  <c r="V135" i="17"/>
  <c r="U135" i="17"/>
  <c r="D135" i="17" s="1"/>
  <c r="M135" i="17"/>
  <c r="AF135" i="17"/>
  <c r="F135" i="17"/>
  <c r="E135" i="17"/>
  <c r="B135" i="17" s="1"/>
  <c r="AD134" i="17"/>
  <c r="V134" i="17"/>
  <c r="U134" i="17"/>
  <c r="D134" i="17" s="1"/>
  <c r="M134" i="17"/>
  <c r="AF134" i="17"/>
  <c r="F134" i="17"/>
  <c r="E134" i="17"/>
  <c r="B134" i="17" s="1"/>
  <c r="V133" i="17"/>
  <c r="U133" i="17"/>
  <c r="D133" i="17" s="1"/>
  <c r="M133" i="17"/>
  <c r="AF133" i="17"/>
  <c r="F133" i="17"/>
  <c r="E133" i="17"/>
  <c r="B133" i="17" s="1"/>
  <c r="V132" i="17"/>
  <c r="U132" i="17"/>
  <c r="D132" i="17" s="1"/>
  <c r="M132" i="17"/>
  <c r="AF132" i="17"/>
  <c r="F132" i="17"/>
  <c r="E132" i="17"/>
  <c r="B132" i="17" s="1"/>
  <c r="V131" i="17"/>
  <c r="U131" i="17"/>
  <c r="D131" i="17" s="1"/>
  <c r="M131" i="17"/>
  <c r="AF131" i="17"/>
  <c r="F131" i="17"/>
  <c r="E131" i="17"/>
  <c r="B131" i="17" s="1"/>
  <c r="AD130" i="17"/>
  <c r="V130" i="17"/>
  <c r="U130" i="17"/>
  <c r="D130" i="17" s="1"/>
  <c r="M130" i="17"/>
  <c r="F130" i="17"/>
  <c r="E130" i="17"/>
  <c r="B130" i="17" s="1"/>
  <c r="AD129" i="17"/>
  <c r="V129" i="17"/>
  <c r="U129" i="17"/>
  <c r="D129" i="17" s="1"/>
  <c r="M129" i="17"/>
  <c r="F129" i="17"/>
  <c r="E129" i="17"/>
  <c r="B129" i="17" s="1"/>
  <c r="AD128" i="17"/>
  <c r="V128" i="17"/>
  <c r="U128" i="17"/>
  <c r="D128" i="17" s="1"/>
  <c r="M128" i="17"/>
  <c r="F128" i="17"/>
  <c r="E128" i="17"/>
  <c r="B128" i="17" s="1"/>
  <c r="AD127" i="17"/>
  <c r="W127" i="17"/>
  <c r="V127" i="17"/>
  <c r="U127" i="17"/>
  <c r="D127" i="17" s="1"/>
  <c r="M127" i="17"/>
  <c r="AF127" i="17"/>
  <c r="F127" i="17"/>
  <c r="E127" i="17"/>
  <c r="B127" i="17" s="1"/>
  <c r="AD126" i="17"/>
  <c r="V126" i="17"/>
  <c r="U126" i="17"/>
  <c r="D126" i="17" s="1"/>
  <c r="M126" i="17"/>
  <c r="AF126" i="17"/>
  <c r="F126" i="17"/>
  <c r="E126" i="17"/>
  <c r="B126" i="17" s="1"/>
  <c r="AD125" i="17"/>
  <c r="V125" i="17"/>
  <c r="U125" i="17"/>
  <c r="D125" i="17" s="1"/>
  <c r="M125" i="17"/>
  <c r="AF125" i="17"/>
  <c r="F125" i="17"/>
  <c r="E125" i="17"/>
  <c r="B125" i="17" s="1"/>
  <c r="V124" i="17"/>
  <c r="U124" i="17"/>
  <c r="D124" i="17" s="1"/>
  <c r="M124" i="17"/>
  <c r="AF124" i="17"/>
  <c r="F124" i="17"/>
  <c r="E124" i="17"/>
  <c r="B124" i="17" s="1"/>
  <c r="V123" i="17"/>
  <c r="U123" i="17"/>
  <c r="D123" i="17" s="1"/>
  <c r="M123" i="17"/>
  <c r="AF123" i="17"/>
  <c r="F123" i="17"/>
  <c r="E123" i="17"/>
  <c r="B123" i="17" s="1"/>
  <c r="V122" i="17"/>
  <c r="U122" i="17"/>
  <c r="D122" i="17" s="1"/>
  <c r="M122" i="17"/>
  <c r="AF122" i="17"/>
  <c r="F122" i="17"/>
  <c r="E122" i="17"/>
  <c r="B122" i="17" s="1"/>
  <c r="V121" i="17"/>
  <c r="U121" i="17"/>
  <c r="D121" i="17" s="1"/>
  <c r="M121" i="17"/>
  <c r="AF121" i="17"/>
  <c r="F121" i="17"/>
  <c r="E121" i="17"/>
  <c r="B121" i="17" s="1"/>
  <c r="AD120" i="17"/>
  <c r="V120" i="17"/>
  <c r="U120" i="17"/>
  <c r="D120" i="17" s="1"/>
  <c r="M120" i="17"/>
  <c r="F120" i="17"/>
  <c r="E120" i="17"/>
  <c r="B120" i="17" s="1"/>
  <c r="AD119" i="17"/>
  <c r="V119" i="17"/>
  <c r="U119" i="17"/>
  <c r="D119" i="17" s="1"/>
  <c r="M119" i="17"/>
  <c r="AF119" i="17"/>
  <c r="F119" i="17"/>
  <c r="E119" i="17"/>
  <c r="B119" i="17" s="1"/>
  <c r="AD118" i="17"/>
  <c r="V118" i="17"/>
  <c r="U118" i="17"/>
  <c r="D118" i="17" s="1"/>
  <c r="M118" i="17"/>
  <c r="AF118" i="17"/>
  <c r="F118" i="17"/>
  <c r="E118" i="17"/>
  <c r="B118" i="17" s="1"/>
  <c r="V117" i="17"/>
  <c r="U117" i="17"/>
  <c r="D117" i="17" s="1"/>
  <c r="M117" i="17"/>
  <c r="AF117" i="17"/>
  <c r="F117" i="17"/>
  <c r="E117" i="17"/>
  <c r="B117" i="17" s="1"/>
  <c r="V116" i="17"/>
  <c r="U116" i="17"/>
  <c r="D116" i="17" s="1"/>
  <c r="M116" i="17"/>
  <c r="AF116" i="17"/>
  <c r="F116" i="17"/>
  <c r="E116" i="17"/>
  <c r="B116" i="17" s="1"/>
  <c r="V115" i="17"/>
  <c r="U115" i="17"/>
  <c r="D115" i="17" s="1"/>
  <c r="M115" i="17"/>
  <c r="AF115" i="17"/>
  <c r="F115" i="17"/>
  <c r="E115" i="17"/>
  <c r="B115" i="17" s="1"/>
  <c r="V114" i="17"/>
  <c r="U114" i="17"/>
  <c r="D114" i="17" s="1"/>
  <c r="M114" i="17"/>
  <c r="AF114" i="17"/>
  <c r="F114" i="17"/>
  <c r="E114" i="17"/>
  <c r="B114" i="17" s="1"/>
  <c r="V113" i="17"/>
  <c r="U113" i="17"/>
  <c r="D113" i="17" s="1"/>
  <c r="M113" i="17"/>
  <c r="AF113" i="17"/>
  <c r="F113" i="17"/>
  <c r="E113" i="17"/>
  <c r="B113" i="17" s="1"/>
  <c r="V112" i="17"/>
  <c r="U112" i="17"/>
  <c r="D112" i="17" s="1"/>
  <c r="M112" i="17"/>
  <c r="AF112" i="17"/>
  <c r="F112" i="17"/>
  <c r="E112" i="17"/>
  <c r="B112" i="17" s="1"/>
  <c r="V111" i="17"/>
  <c r="U111" i="17"/>
  <c r="D111" i="17" s="1"/>
  <c r="M111" i="17"/>
  <c r="AF111" i="17"/>
  <c r="F111" i="17"/>
  <c r="E111" i="17"/>
  <c r="B111" i="17" s="1"/>
  <c r="V110" i="17"/>
  <c r="U110" i="17"/>
  <c r="D110" i="17" s="1"/>
  <c r="M110" i="17"/>
  <c r="AF110" i="17"/>
  <c r="F110" i="17"/>
  <c r="E110" i="17"/>
  <c r="B110" i="17" s="1"/>
  <c r="V109" i="17"/>
  <c r="U109" i="17"/>
  <c r="D109" i="17" s="1"/>
  <c r="M109" i="17"/>
  <c r="AF109" i="17"/>
  <c r="F109" i="17"/>
  <c r="E109" i="17"/>
  <c r="B109" i="17" s="1"/>
  <c r="V108" i="17"/>
  <c r="U108" i="17"/>
  <c r="D108" i="17" s="1"/>
  <c r="M108" i="17"/>
  <c r="AF108" i="17"/>
  <c r="F108" i="17"/>
  <c r="E108" i="17"/>
  <c r="B108" i="17" s="1"/>
  <c r="V107" i="17"/>
  <c r="U107" i="17"/>
  <c r="D107" i="17" s="1"/>
  <c r="M107" i="17"/>
  <c r="AF107" i="17"/>
  <c r="F107" i="17"/>
  <c r="E107" i="17"/>
  <c r="B107" i="17" s="1"/>
  <c r="V106" i="17"/>
  <c r="U106" i="17"/>
  <c r="D106" i="17" s="1"/>
  <c r="M106" i="17"/>
  <c r="AF106" i="17"/>
  <c r="F106" i="17"/>
  <c r="E106" i="17"/>
  <c r="B106" i="17" s="1"/>
  <c r="V105" i="17"/>
  <c r="U105" i="17"/>
  <c r="D105" i="17" s="1"/>
  <c r="M105" i="17"/>
  <c r="AF105" i="17"/>
  <c r="F105" i="17"/>
  <c r="E105" i="17"/>
  <c r="B105" i="17" s="1"/>
  <c r="AC104" i="17"/>
  <c r="V104" i="17"/>
  <c r="U104" i="17"/>
  <c r="D104" i="17" s="1"/>
  <c r="F104" i="17"/>
  <c r="E104" i="17"/>
  <c r="B104" i="17" s="1"/>
  <c r="AC103" i="17"/>
  <c r="V103" i="17"/>
  <c r="U103" i="17"/>
  <c r="D103" i="17" s="1"/>
  <c r="F103" i="17"/>
  <c r="E103" i="17"/>
  <c r="B103" i="17" s="1"/>
  <c r="AC102" i="17"/>
  <c r="V102" i="17"/>
  <c r="U102" i="17"/>
  <c r="D102" i="17" s="1"/>
  <c r="F102" i="17"/>
  <c r="E102" i="17"/>
  <c r="B102" i="17" s="1"/>
  <c r="AC101" i="17"/>
  <c r="V101" i="17"/>
  <c r="U101" i="17"/>
  <c r="D101" i="17" s="1"/>
  <c r="F101" i="17"/>
  <c r="E101" i="17"/>
  <c r="B101" i="17" s="1"/>
  <c r="AC100" i="17"/>
  <c r="V100" i="17"/>
  <c r="U100" i="17"/>
  <c r="D100" i="17" s="1"/>
  <c r="F100" i="17"/>
  <c r="E100" i="17"/>
  <c r="B100" i="17" s="1"/>
  <c r="AC99" i="17"/>
  <c r="V99" i="17"/>
  <c r="U99" i="17"/>
  <c r="D99" i="17" s="1"/>
  <c r="AF99" i="17"/>
  <c r="F99" i="17"/>
  <c r="E99" i="17"/>
  <c r="B99" i="17" s="1"/>
  <c r="AC98" i="17"/>
  <c r="V98" i="17"/>
  <c r="U98" i="17"/>
  <c r="D98" i="17" s="1"/>
  <c r="AF98" i="17"/>
  <c r="F98" i="17"/>
  <c r="E98" i="17"/>
  <c r="B98" i="17" s="1"/>
  <c r="AC97" i="17"/>
  <c r="V97" i="17"/>
  <c r="U97" i="17"/>
  <c r="D97" i="17" s="1"/>
  <c r="AF97" i="17"/>
  <c r="F97" i="17"/>
  <c r="E97" i="17"/>
  <c r="B97" i="17" s="1"/>
  <c r="AC96" i="17"/>
  <c r="V96" i="17"/>
  <c r="U96" i="17"/>
  <c r="D96" i="17" s="1"/>
  <c r="AF96" i="17"/>
  <c r="F96" i="17"/>
  <c r="E96" i="17"/>
  <c r="B96" i="17" s="1"/>
  <c r="AC95" i="17"/>
  <c r="V95" i="17"/>
  <c r="U95" i="17"/>
  <c r="D95" i="17" s="1"/>
  <c r="AF95" i="17"/>
  <c r="F95" i="17"/>
  <c r="E95" i="17"/>
  <c r="B95" i="17" s="1"/>
  <c r="AC94" i="17"/>
  <c r="V94" i="17"/>
  <c r="U94" i="17"/>
  <c r="D94" i="17" s="1"/>
  <c r="F94" i="17"/>
  <c r="E94" i="17"/>
  <c r="B94" i="17" s="1"/>
  <c r="AC93" i="17"/>
  <c r="V93" i="17"/>
  <c r="U93" i="17"/>
  <c r="D93" i="17" s="1"/>
  <c r="F93" i="17"/>
  <c r="E93" i="17"/>
  <c r="B93" i="17" s="1"/>
  <c r="AC92" i="17"/>
  <c r="V92" i="17"/>
  <c r="U92" i="17"/>
  <c r="D92" i="17" s="1"/>
  <c r="F92" i="17"/>
  <c r="E92" i="17"/>
  <c r="B92" i="17" s="1"/>
  <c r="AC91" i="17"/>
  <c r="V91" i="17"/>
  <c r="U91" i="17"/>
  <c r="D91" i="17" s="1"/>
  <c r="F91" i="17"/>
  <c r="E91" i="17"/>
  <c r="B91" i="17" s="1"/>
  <c r="AC90" i="17"/>
  <c r="V90" i="17"/>
  <c r="U90" i="17"/>
  <c r="D90" i="17" s="1"/>
  <c r="F90" i="17"/>
  <c r="E90" i="17"/>
  <c r="B90" i="17" s="1"/>
  <c r="AC89" i="17"/>
  <c r="V89" i="17"/>
  <c r="U89" i="17"/>
  <c r="D89" i="17" s="1"/>
  <c r="F89" i="17"/>
  <c r="E89" i="17"/>
  <c r="B89" i="17" s="1"/>
  <c r="AC88" i="17"/>
  <c r="V88" i="17"/>
  <c r="U88" i="17"/>
  <c r="D88" i="17" s="1"/>
  <c r="F88" i="17"/>
  <c r="E88" i="17"/>
  <c r="B88" i="17" s="1"/>
  <c r="AC87" i="17"/>
  <c r="V87" i="17"/>
  <c r="U87" i="17"/>
  <c r="D87" i="17" s="1"/>
  <c r="F87" i="17"/>
  <c r="E87" i="17"/>
  <c r="B87" i="17" s="1"/>
  <c r="AC86" i="17"/>
  <c r="V86" i="17"/>
  <c r="U86" i="17"/>
  <c r="D86" i="17" s="1"/>
  <c r="F86" i="17"/>
  <c r="E86" i="17"/>
  <c r="B86" i="17" s="1"/>
  <c r="AC85" i="17"/>
  <c r="V85" i="17"/>
  <c r="U85" i="17"/>
  <c r="D85" i="17" s="1"/>
  <c r="F85" i="17"/>
  <c r="E85" i="17"/>
  <c r="B85" i="17" s="1"/>
  <c r="AC84" i="17"/>
  <c r="V84" i="17"/>
  <c r="U84" i="17"/>
  <c r="D84" i="17" s="1"/>
  <c r="F84" i="17"/>
  <c r="E84" i="17"/>
  <c r="B84" i="17" s="1"/>
  <c r="AC83" i="17"/>
  <c r="V83" i="17"/>
  <c r="U83" i="17"/>
  <c r="D83" i="17" s="1"/>
  <c r="F83" i="17"/>
  <c r="E83" i="17"/>
  <c r="B83" i="17" s="1"/>
  <c r="AC82" i="17"/>
  <c r="V82" i="17"/>
  <c r="U82" i="17"/>
  <c r="D82" i="17" s="1"/>
  <c r="F82" i="17"/>
  <c r="E82" i="17"/>
  <c r="B82" i="17" s="1"/>
  <c r="AC81" i="17"/>
  <c r="V81" i="17"/>
  <c r="U81" i="17"/>
  <c r="D81" i="17" s="1"/>
  <c r="F81" i="17"/>
  <c r="E81" i="17"/>
  <c r="B81" i="17" s="1"/>
  <c r="AC80" i="17"/>
  <c r="V80" i="17"/>
  <c r="U80" i="17"/>
  <c r="D80" i="17" s="1"/>
  <c r="F80" i="17"/>
  <c r="E80" i="17"/>
  <c r="B80" i="17" s="1"/>
  <c r="AC79" i="17"/>
  <c r="V79" i="17"/>
  <c r="U79" i="17"/>
  <c r="D79" i="17" s="1"/>
  <c r="F79" i="17"/>
  <c r="E79" i="17"/>
  <c r="B79" i="17" s="1"/>
  <c r="AC78" i="17"/>
  <c r="V78" i="17"/>
  <c r="U78" i="17"/>
  <c r="D78" i="17" s="1"/>
  <c r="F78" i="17"/>
  <c r="E78" i="17"/>
  <c r="B78" i="17" s="1"/>
  <c r="AC77" i="17"/>
  <c r="V77" i="17"/>
  <c r="U77" i="17"/>
  <c r="D77" i="17" s="1"/>
  <c r="F77" i="17"/>
  <c r="E77" i="17"/>
  <c r="B77" i="17" s="1"/>
  <c r="AC76" i="17"/>
  <c r="V76" i="17"/>
  <c r="U76" i="17"/>
  <c r="D76" i="17" s="1"/>
  <c r="F76" i="17"/>
  <c r="E76" i="17"/>
  <c r="B76" i="17" s="1"/>
  <c r="AC75" i="17"/>
  <c r="V75" i="17"/>
  <c r="U75" i="17"/>
  <c r="D75" i="17" s="1"/>
  <c r="F75" i="17"/>
  <c r="E75" i="17"/>
  <c r="B75" i="17" s="1"/>
  <c r="V74" i="17"/>
  <c r="U74" i="17"/>
  <c r="D74" i="17" s="1"/>
  <c r="F74" i="17"/>
  <c r="E74" i="17"/>
  <c r="B74" i="17" s="1"/>
  <c r="V73" i="17"/>
  <c r="U73" i="17"/>
  <c r="D73" i="17" s="1"/>
  <c r="F73" i="17"/>
  <c r="E73" i="17"/>
  <c r="B73" i="17" s="1"/>
  <c r="V72" i="17"/>
  <c r="U72" i="17"/>
  <c r="D72" i="17" s="1"/>
  <c r="F72" i="17"/>
  <c r="E72" i="17"/>
  <c r="B72" i="17" s="1"/>
  <c r="V71" i="17"/>
  <c r="U71" i="17"/>
  <c r="D71" i="17" s="1"/>
  <c r="F71" i="17"/>
  <c r="E71" i="17"/>
  <c r="B71" i="17" s="1"/>
  <c r="V70" i="17"/>
  <c r="U70" i="17"/>
  <c r="D70" i="17" s="1"/>
  <c r="F70" i="17"/>
  <c r="E70" i="17"/>
  <c r="B70" i="17" s="1"/>
  <c r="AD69" i="17"/>
  <c r="V69" i="17"/>
  <c r="U69" i="17"/>
  <c r="D69" i="17" s="1"/>
  <c r="F69" i="17"/>
  <c r="E69" i="17"/>
  <c r="B69" i="17" s="1"/>
  <c r="V68" i="17"/>
  <c r="U68" i="17"/>
  <c r="D68" i="17" s="1"/>
  <c r="F68" i="17"/>
  <c r="E68" i="17"/>
  <c r="B68" i="17" s="1"/>
  <c r="V67" i="17"/>
  <c r="U67" i="17"/>
  <c r="D67" i="17" s="1"/>
  <c r="F67" i="17"/>
  <c r="E67" i="17"/>
  <c r="B67" i="17" s="1"/>
  <c r="V66" i="17"/>
  <c r="U66" i="17"/>
  <c r="D66" i="17" s="1"/>
  <c r="F66" i="17"/>
  <c r="E66" i="17"/>
  <c r="B66" i="17" s="1"/>
  <c r="V65" i="17"/>
  <c r="U65" i="17"/>
  <c r="D65" i="17" s="1"/>
  <c r="F65" i="17"/>
  <c r="E65" i="17"/>
  <c r="B65" i="17" s="1"/>
  <c r="V64" i="17"/>
  <c r="U64" i="17"/>
  <c r="D64" i="17" s="1"/>
  <c r="F64" i="17"/>
  <c r="E64" i="17"/>
  <c r="B64" i="17" s="1"/>
  <c r="V63" i="17"/>
  <c r="U63" i="17"/>
  <c r="F63" i="17"/>
  <c r="E63" i="17"/>
  <c r="B63" i="17" s="1"/>
  <c r="V62" i="17"/>
  <c r="U62" i="17"/>
  <c r="D63" i="17" s="1"/>
  <c r="F62" i="17"/>
  <c r="E62" i="17"/>
  <c r="B62" i="17" s="1"/>
  <c r="V61" i="17"/>
  <c r="U61" i="17"/>
  <c r="D61" i="17" s="1"/>
  <c r="F61" i="17"/>
  <c r="E61" i="17"/>
  <c r="B61" i="17" s="1"/>
  <c r="V60" i="17"/>
  <c r="U60" i="17"/>
  <c r="D60" i="17" s="1"/>
  <c r="F60" i="17"/>
  <c r="E60" i="17"/>
  <c r="B60" i="17" s="1"/>
  <c r="V59" i="17"/>
  <c r="U59" i="17"/>
  <c r="D59" i="17" s="1"/>
  <c r="F59" i="17"/>
  <c r="E59" i="17"/>
  <c r="B59" i="17" s="1"/>
  <c r="V58" i="17"/>
  <c r="U58" i="17"/>
  <c r="D58" i="17" s="1"/>
  <c r="F58" i="17"/>
  <c r="E58" i="17"/>
  <c r="B58" i="17" s="1"/>
  <c r="V57" i="17"/>
  <c r="U57" i="17"/>
  <c r="D57" i="17" s="1"/>
  <c r="F57" i="17"/>
  <c r="E57" i="17"/>
  <c r="B57" i="17" s="1"/>
  <c r="V56" i="17"/>
  <c r="U56" i="17"/>
  <c r="D56" i="17" s="1"/>
  <c r="F56" i="17"/>
  <c r="E56" i="17"/>
  <c r="B56" i="17" s="1"/>
  <c r="V55" i="17"/>
  <c r="U55" i="17"/>
  <c r="D55" i="17" s="1"/>
  <c r="F55" i="17"/>
  <c r="E55" i="17"/>
  <c r="B55" i="17" s="1"/>
  <c r="V54" i="17"/>
  <c r="U54" i="17"/>
  <c r="D54" i="17" s="1"/>
  <c r="F54" i="17"/>
  <c r="E54" i="17"/>
  <c r="B54" i="17" s="1"/>
  <c r="V53" i="17"/>
  <c r="U53" i="17"/>
  <c r="D53" i="17" s="1"/>
  <c r="F53" i="17"/>
  <c r="E53" i="17"/>
  <c r="B53" i="17" s="1"/>
  <c r="V52" i="17"/>
  <c r="U52" i="17"/>
  <c r="D52" i="17" s="1"/>
  <c r="F52" i="17"/>
  <c r="E52" i="17"/>
  <c r="B52" i="17" s="1"/>
  <c r="V51" i="17"/>
  <c r="U51" i="17"/>
  <c r="D51" i="17" s="1"/>
  <c r="F51" i="17"/>
  <c r="E51" i="17"/>
  <c r="B51" i="17" s="1"/>
  <c r="V50" i="17"/>
  <c r="U50" i="17"/>
  <c r="D50" i="17" s="1"/>
  <c r="F50" i="17"/>
  <c r="E50" i="17"/>
  <c r="B50" i="17" s="1"/>
  <c r="V49" i="17"/>
  <c r="U49" i="17"/>
  <c r="D49" i="17" s="1"/>
  <c r="F49" i="17"/>
  <c r="E49" i="17"/>
  <c r="B49" i="17" s="1"/>
  <c r="V48" i="17"/>
  <c r="U48" i="17"/>
  <c r="D48" i="17" s="1"/>
  <c r="F48" i="17"/>
  <c r="E48" i="17"/>
  <c r="B48" i="17" s="1"/>
  <c r="V47" i="17"/>
  <c r="U47" i="17"/>
  <c r="D47" i="17" s="1"/>
  <c r="F47" i="17"/>
  <c r="E47" i="17"/>
  <c r="B47" i="17" s="1"/>
  <c r="V46" i="17"/>
  <c r="U46" i="17"/>
  <c r="D46" i="17" s="1"/>
  <c r="F46" i="17"/>
  <c r="E46" i="17"/>
  <c r="B46" i="17" s="1"/>
  <c r="V45" i="17"/>
  <c r="U45" i="17"/>
  <c r="D45" i="17" s="1"/>
  <c r="F45" i="17"/>
  <c r="E45" i="17"/>
  <c r="B45" i="17" s="1"/>
  <c r="V44" i="17"/>
  <c r="U44" i="17"/>
  <c r="D44" i="17" s="1"/>
  <c r="F44" i="17"/>
  <c r="E44" i="17"/>
  <c r="B44" i="17" s="1"/>
  <c r="V43" i="17"/>
  <c r="U43" i="17"/>
  <c r="D43" i="17" s="1"/>
  <c r="F43" i="17"/>
  <c r="E43" i="17"/>
  <c r="B43" i="17" s="1"/>
  <c r="V42" i="17"/>
  <c r="U42" i="17"/>
  <c r="D42" i="17" s="1"/>
  <c r="F42" i="17"/>
  <c r="E42" i="17"/>
  <c r="B42" i="17" s="1"/>
  <c r="V41" i="17"/>
  <c r="U41" i="17"/>
  <c r="D41" i="17" s="1"/>
  <c r="F41" i="17"/>
  <c r="E41" i="17"/>
  <c r="B41" i="17" s="1"/>
  <c r="V40" i="17"/>
  <c r="U40" i="17"/>
  <c r="D40" i="17" s="1"/>
  <c r="F40" i="17"/>
  <c r="E40" i="17"/>
  <c r="B40" i="17" s="1"/>
  <c r="V39" i="17"/>
  <c r="U39" i="17"/>
  <c r="D39" i="17" s="1"/>
  <c r="F39" i="17"/>
  <c r="E39" i="17"/>
  <c r="B39" i="17" s="1"/>
  <c r="V38" i="17"/>
  <c r="U38" i="17"/>
  <c r="D38" i="17" s="1"/>
  <c r="F38" i="17"/>
  <c r="E38" i="17"/>
  <c r="B38" i="17" s="1"/>
  <c r="V37" i="17"/>
  <c r="U37" i="17"/>
  <c r="D37" i="17" s="1"/>
  <c r="F37" i="17"/>
  <c r="E37" i="17"/>
  <c r="B37" i="17" s="1"/>
  <c r="AC36" i="17"/>
  <c r="V36" i="17"/>
  <c r="U36" i="17"/>
  <c r="D36" i="17" s="1"/>
  <c r="F36" i="17"/>
  <c r="E36" i="17"/>
  <c r="B36" i="17" s="1"/>
  <c r="AC35" i="17"/>
  <c r="V35" i="17"/>
  <c r="U35" i="17"/>
  <c r="D35" i="17" s="1"/>
  <c r="F35" i="17"/>
  <c r="E35" i="17"/>
  <c r="B35" i="17" s="1"/>
  <c r="AC34" i="17"/>
  <c r="V34" i="17"/>
  <c r="U34" i="17"/>
  <c r="D34" i="17" s="1"/>
  <c r="F34" i="17"/>
  <c r="E34" i="17"/>
  <c r="B34" i="17" s="1"/>
  <c r="AC33" i="17"/>
  <c r="V33" i="17"/>
  <c r="U33" i="17"/>
  <c r="D33" i="17" s="1"/>
  <c r="F33" i="17"/>
  <c r="E33" i="17"/>
  <c r="B33" i="17" s="1"/>
  <c r="AC32" i="17"/>
  <c r="V32" i="17"/>
  <c r="U32" i="17"/>
  <c r="D32" i="17" s="1"/>
  <c r="F32" i="17"/>
  <c r="E32" i="17"/>
  <c r="B32" i="17" s="1"/>
  <c r="AC31" i="17"/>
  <c r="V31" i="17"/>
  <c r="U31" i="17"/>
  <c r="D31" i="17" s="1"/>
  <c r="F31" i="17"/>
  <c r="E31" i="17"/>
  <c r="B31" i="17" s="1"/>
  <c r="AC30" i="17"/>
  <c r="V30" i="17"/>
  <c r="U30" i="17"/>
  <c r="D30" i="17" s="1"/>
  <c r="F30" i="17"/>
  <c r="E30" i="17"/>
  <c r="B30" i="17" s="1"/>
  <c r="AC29" i="17"/>
  <c r="V29" i="17"/>
  <c r="U29" i="17"/>
  <c r="D29" i="17" s="1"/>
  <c r="F29" i="17"/>
  <c r="E29" i="17"/>
  <c r="B29" i="17" s="1"/>
  <c r="AC28" i="17"/>
  <c r="V28" i="17"/>
  <c r="U28" i="17"/>
  <c r="D28" i="17" s="1"/>
  <c r="F28" i="17"/>
  <c r="E28" i="17"/>
  <c r="B28" i="17" s="1"/>
  <c r="AC27" i="17"/>
  <c r="V27" i="17"/>
  <c r="U27" i="17"/>
  <c r="D27" i="17" s="1"/>
  <c r="F27" i="17"/>
  <c r="E27" i="17"/>
  <c r="B27" i="17" s="1"/>
  <c r="V26" i="17"/>
  <c r="U26" i="17"/>
  <c r="D26" i="17" s="1"/>
  <c r="F26" i="17"/>
  <c r="E26" i="17"/>
  <c r="B26" i="17"/>
  <c r="V25" i="17"/>
  <c r="U25" i="17"/>
  <c r="D25" i="17" s="1"/>
  <c r="F25" i="17"/>
  <c r="E25" i="17"/>
  <c r="B25" i="17"/>
  <c r="V24" i="17"/>
  <c r="U24" i="17"/>
  <c r="D24" i="17" s="1"/>
  <c r="F24" i="17"/>
  <c r="E24" i="17"/>
  <c r="B24" i="17"/>
  <c r="V23" i="17"/>
  <c r="U23" i="17"/>
  <c r="D23" i="17" s="1"/>
  <c r="F23" i="17"/>
  <c r="E23" i="17"/>
  <c r="B23" i="17"/>
  <c r="V22" i="17"/>
  <c r="U22" i="17"/>
  <c r="D22" i="17" s="1"/>
  <c r="F22" i="17"/>
  <c r="E22" i="17"/>
  <c r="B22" i="17"/>
  <c r="V21" i="17"/>
  <c r="U21" i="17"/>
  <c r="D21" i="17" s="1"/>
  <c r="F21" i="17"/>
  <c r="E21" i="17"/>
  <c r="B21" i="17"/>
  <c r="V20" i="17"/>
  <c r="U20" i="17"/>
  <c r="D20" i="17" s="1"/>
  <c r="F20" i="17"/>
  <c r="E20" i="17"/>
  <c r="B20" i="17"/>
  <c r="V19" i="17"/>
  <c r="U19" i="17"/>
  <c r="D19" i="17" s="1"/>
  <c r="F19" i="17"/>
  <c r="E19" i="17"/>
  <c r="B19" i="17"/>
  <c r="V18" i="17"/>
  <c r="U18" i="17"/>
  <c r="D18" i="17" s="1"/>
  <c r="F18" i="17"/>
  <c r="E18" i="17"/>
  <c r="B18" i="17"/>
  <c r="V17" i="17"/>
  <c r="U17" i="17"/>
  <c r="D17" i="17" s="1"/>
  <c r="F17" i="17"/>
  <c r="E17" i="17"/>
  <c r="B17" i="17"/>
  <c r="V16" i="17"/>
  <c r="U16" i="17"/>
  <c r="D16" i="17" s="1"/>
  <c r="F16" i="17"/>
  <c r="E16" i="17"/>
  <c r="B16" i="17"/>
  <c r="V15" i="17"/>
  <c r="U15" i="17"/>
  <c r="D15" i="17" s="1"/>
  <c r="F15" i="17"/>
  <c r="E15" i="17"/>
  <c r="B15" i="17"/>
  <c r="V14" i="17"/>
  <c r="U14" i="17"/>
  <c r="D14" i="17" s="1"/>
  <c r="F14" i="17"/>
  <c r="E14" i="17"/>
  <c r="B14" i="17"/>
  <c r="V13" i="17"/>
  <c r="U13" i="17"/>
  <c r="D13" i="17" s="1"/>
  <c r="F13" i="17"/>
  <c r="E13" i="17"/>
  <c r="B13" i="17"/>
  <c r="V12" i="17"/>
  <c r="U12" i="17"/>
  <c r="D12" i="17" s="1"/>
  <c r="F12" i="17"/>
  <c r="E12" i="17"/>
  <c r="B12" i="17"/>
  <c r="V11" i="17"/>
  <c r="U11" i="17"/>
  <c r="D11" i="17" s="1"/>
  <c r="F11" i="17"/>
  <c r="E11" i="17"/>
  <c r="B11" i="17"/>
  <c r="V10" i="17"/>
  <c r="U10" i="17"/>
  <c r="D10" i="17" s="1"/>
  <c r="F10" i="17"/>
  <c r="E10" i="17"/>
  <c r="B10" i="17"/>
  <c r="V9" i="17"/>
  <c r="U9" i="17"/>
  <c r="D9" i="17" s="1"/>
  <c r="F9" i="17"/>
  <c r="E9" i="17"/>
  <c r="B9" i="17"/>
  <c r="V8" i="17"/>
  <c r="U8" i="17"/>
  <c r="D8" i="17" s="1"/>
  <c r="F8" i="17"/>
  <c r="E8" i="17"/>
  <c r="B8" i="17"/>
  <c r="V7" i="17"/>
  <c r="U7" i="17"/>
  <c r="D7" i="17" s="1"/>
  <c r="F7" i="17"/>
  <c r="E7" i="17"/>
  <c r="B7" i="17"/>
  <c r="V6" i="17"/>
  <c r="U6" i="17"/>
  <c r="D6" i="17" s="1"/>
  <c r="F6" i="17"/>
  <c r="E6" i="17"/>
  <c r="B6" i="17"/>
  <c r="V5" i="17"/>
  <c r="U5" i="17"/>
  <c r="D5" i="17" s="1"/>
  <c r="F5" i="17"/>
  <c r="E5" i="17"/>
  <c r="B5" i="17"/>
  <c r="V4" i="17"/>
  <c r="U4" i="17"/>
  <c r="D4" i="17" s="1"/>
  <c r="F4" i="17"/>
  <c r="E4" i="17"/>
  <c r="B4" i="17"/>
  <c r="V3" i="17"/>
  <c r="U3" i="17"/>
  <c r="D3" i="17" s="1"/>
  <c r="F3" i="17"/>
  <c r="E3" i="17"/>
  <c r="B3" i="17"/>
  <c r="V2" i="17"/>
  <c r="U2" i="17"/>
  <c r="D2" i="17" s="1"/>
  <c r="F2" i="17"/>
  <c r="E2" i="17"/>
  <c r="B2" i="17"/>
  <c r="R47" i="16"/>
  <c r="B47" i="16"/>
  <c r="F235" i="17" s="1"/>
  <c r="X46" i="16"/>
  <c r="AA46" i="16"/>
  <c r="R46" i="16"/>
  <c r="Q46" i="16"/>
  <c r="X45" i="16"/>
  <c r="AA45" i="16"/>
  <c r="R45" i="16"/>
  <c r="Q45" i="16"/>
  <c r="X44" i="16"/>
  <c r="AA44" i="16"/>
  <c r="R44" i="16"/>
  <c r="Q44" i="16"/>
  <c r="X43" i="16"/>
  <c r="AA43" i="16"/>
  <c r="R43" i="16"/>
  <c r="Q43" i="16"/>
  <c r="X42" i="16"/>
  <c r="AA42" i="16"/>
  <c r="R42" i="16"/>
  <c r="Q42" i="16"/>
  <c r="X41" i="16"/>
  <c r="AA41" i="16"/>
  <c r="R41" i="16"/>
  <c r="Q41" i="16"/>
  <c r="X40" i="16"/>
  <c r="AA40" i="16"/>
  <c r="R40" i="16"/>
  <c r="Q40" i="16"/>
  <c r="X39" i="16"/>
  <c r="AA39" i="16"/>
  <c r="R39" i="16"/>
  <c r="Q39" i="16"/>
  <c r="X38" i="16"/>
  <c r="AA38" i="16"/>
  <c r="R38" i="16"/>
  <c r="Q38" i="16"/>
  <c r="X37" i="16"/>
  <c r="AA37" i="16"/>
  <c r="R37" i="16"/>
  <c r="Q37" i="16"/>
  <c r="X36" i="16"/>
  <c r="AA36" i="16"/>
  <c r="R36" i="16"/>
  <c r="Q36" i="16"/>
  <c r="X35" i="16"/>
  <c r="AA35" i="16"/>
  <c r="R35" i="16"/>
  <c r="Q35" i="16"/>
  <c r="X34" i="16"/>
  <c r="AA34" i="16"/>
  <c r="R34" i="16"/>
  <c r="Q34" i="16"/>
  <c r="X33" i="16"/>
  <c r="AA33" i="16"/>
  <c r="R33" i="16"/>
  <c r="Q33" i="16"/>
  <c r="AA32" i="16"/>
  <c r="X31" i="16"/>
  <c r="AA31" i="16"/>
  <c r="R31" i="16"/>
  <c r="Q31" i="16"/>
  <c r="X30" i="16"/>
  <c r="AA30" i="16"/>
  <c r="R30" i="16"/>
  <c r="Q30" i="16"/>
  <c r="X29" i="16"/>
  <c r="AA29" i="16"/>
  <c r="R29" i="16"/>
  <c r="Q29" i="16"/>
  <c r="X28" i="16"/>
  <c r="AA28" i="16"/>
  <c r="R28" i="16"/>
  <c r="Q28" i="16"/>
  <c r="X27" i="16"/>
  <c r="AA27" i="16"/>
  <c r="R27" i="16"/>
  <c r="Q27" i="16"/>
  <c r="X26" i="16"/>
  <c r="AA26" i="16"/>
  <c r="R26" i="16"/>
  <c r="Q26" i="16"/>
  <c r="X25" i="16"/>
  <c r="AA25" i="16"/>
  <c r="R25" i="16"/>
  <c r="Q25" i="16"/>
  <c r="X23" i="16"/>
  <c r="R23" i="16"/>
  <c r="Q23" i="16"/>
  <c r="X22" i="16"/>
  <c r="Q22" i="16"/>
  <c r="L22" i="16"/>
  <c r="X21" i="16"/>
  <c r="Q21" i="16"/>
  <c r="L21" i="16"/>
  <c r="AR20" i="16"/>
  <c r="L20" i="16"/>
  <c r="AR19" i="16"/>
  <c r="Q19" i="16"/>
  <c r="L19" i="16"/>
  <c r="AR18" i="16"/>
  <c r="AA18" i="16"/>
  <c r="Q18" i="16"/>
  <c r="L18" i="16"/>
  <c r="AR17" i="16"/>
  <c r="AA17" i="16"/>
  <c r="Q17" i="16"/>
  <c r="L17" i="16"/>
  <c r="AR16" i="16"/>
  <c r="AQ16" i="16"/>
  <c r="O16" i="16" s="1"/>
  <c r="AA16" i="16"/>
  <c r="Q16" i="16"/>
  <c r="L16" i="16"/>
  <c r="AR15" i="16"/>
  <c r="AQ15" i="16"/>
  <c r="O15" i="16" s="1"/>
  <c r="AA15" i="16"/>
  <c r="Q15" i="16"/>
  <c r="L15" i="16"/>
  <c r="AR14" i="16"/>
  <c r="AQ14" i="16"/>
  <c r="O14" i="16" s="1"/>
  <c r="AA14" i="16"/>
  <c r="Q14" i="16"/>
  <c r="L14" i="16"/>
  <c r="AR13" i="16"/>
  <c r="AA13" i="16"/>
  <c r="Q13" i="16"/>
  <c r="L13" i="16"/>
  <c r="M45" i="17" s="1"/>
  <c r="AR12" i="16"/>
  <c r="AA12" i="16"/>
  <c r="Q12" i="16"/>
  <c r="L12" i="16"/>
  <c r="AR11" i="16"/>
  <c r="Q11" i="16"/>
  <c r="L11" i="16"/>
  <c r="AR10" i="16"/>
  <c r="AQ10" i="16"/>
  <c r="O10" i="16" s="1"/>
  <c r="Q10" i="16"/>
  <c r="L10" i="16"/>
  <c r="AR9" i="16"/>
  <c r="Q9" i="16"/>
  <c r="AR8" i="16"/>
  <c r="Q8" i="16"/>
  <c r="L8" i="16"/>
  <c r="AR7" i="16"/>
  <c r="AQ7" i="16"/>
  <c r="O7" i="16" s="1"/>
  <c r="Q7" i="16"/>
  <c r="L7" i="16"/>
  <c r="AR6" i="16"/>
  <c r="Q6" i="16"/>
  <c r="L6" i="16"/>
  <c r="AR5" i="16"/>
  <c r="AQ5" i="16"/>
  <c r="O5" i="16" s="1"/>
  <c r="Q5" i="16"/>
  <c r="L5" i="16"/>
  <c r="J105" i="17" l="1"/>
  <c r="J109" i="17"/>
  <c r="J108" i="17"/>
  <c r="J107" i="17"/>
  <c r="J106" i="17"/>
  <c r="J137" i="17"/>
  <c r="J136" i="17"/>
  <c r="J135" i="17"/>
  <c r="J134" i="17"/>
  <c r="J133" i="17"/>
  <c r="J132" i="17"/>
  <c r="J131" i="17"/>
  <c r="M66" i="17"/>
  <c r="I67" i="17"/>
  <c r="AF67" i="17" s="1"/>
  <c r="I65" i="17"/>
  <c r="AF65" i="17" s="1"/>
  <c r="I64" i="17"/>
  <c r="AF64" i="17" s="1"/>
  <c r="I68" i="17"/>
  <c r="AF68" i="17" s="1"/>
  <c r="I66" i="17"/>
  <c r="AF66" i="17" s="1"/>
  <c r="I75" i="17"/>
  <c r="AF75" i="17" s="1"/>
  <c r="I79" i="17"/>
  <c r="AF79" i="17" s="1"/>
  <c r="I78" i="17"/>
  <c r="AF78" i="17" s="1"/>
  <c r="I77" i="17"/>
  <c r="AF77" i="17" s="1"/>
  <c r="I76" i="17"/>
  <c r="AF76" i="17" s="1"/>
  <c r="I91" i="17"/>
  <c r="AF91" i="17" s="1"/>
  <c r="I90" i="17"/>
  <c r="AF90" i="17" s="1"/>
  <c r="I94" i="17"/>
  <c r="AF94" i="17" s="1"/>
  <c r="I93" i="17"/>
  <c r="AF93" i="17" s="1"/>
  <c r="I92" i="17"/>
  <c r="AF92" i="17" s="1"/>
  <c r="J166" i="17"/>
  <c r="J165" i="17"/>
  <c r="J164" i="17"/>
  <c r="J163" i="17"/>
  <c r="J162" i="17"/>
  <c r="J161" i="17"/>
  <c r="J175" i="17"/>
  <c r="J174" i="17"/>
  <c r="J173" i="17"/>
  <c r="J172" i="17"/>
  <c r="J177" i="17"/>
  <c r="J176" i="17"/>
  <c r="J183" i="17"/>
  <c r="J187" i="17"/>
  <c r="J186" i="17"/>
  <c r="J185" i="17"/>
  <c r="J184" i="17"/>
  <c r="J197" i="17"/>
  <c r="J196" i="17"/>
  <c r="J195" i="17"/>
  <c r="J194" i="17"/>
  <c r="J193" i="17"/>
  <c r="J207" i="17"/>
  <c r="J206" i="17"/>
  <c r="J205" i="17"/>
  <c r="J204" i="17"/>
  <c r="J203" i="17"/>
  <c r="J208" i="17"/>
  <c r="J215" i="17"/>
  <c r="J214" i="17"/>
  <c r="J219" i="17"/>
  <c r="J218" i="17"/>
  <c r="J217" i="17"/>
  <c r="J216" i="17"/>
  <c r="J231" i="17"/>
  <c r="J230" i="17"/>
  <c r="J229" i="17"/>
  <c r="J228" i="17"/>
  <c r="J227" i="17"/>
  <c r="J226" i="17"/>
  <c r="I15" i="17"/>
  <c r="I16" i="17"/>
  <c r="I14" i="17"/>
  <c r="I13" i="17"/>
  <c r="I12" i="17"/>
  <c r="M41" i="17"/>
  <c r="I41" i="17"/>
  <c r="AF41" i="17" s="1"/>
  <c r="I40" i="17"/>
  <c r="AF40" i="17" s="1"/>
  <c r="I39" i="17"/>
  <c r="AF39" i="17" s="1"/>
  <c r="I38" i="17"/>
  <c r="AF38" i="17" s="1"/>
  <c r="I37" i="17"/>
  <c r="AF37" i="17" s="1"/>
  <c r="M37" i="17"/>
  <c r="M50" i="17"/>
  <c r="I51" i="17"/>
  <c r="AF51" i="17" s="1"/>
  <c r="I49" i="17"/>
  <c r="AF49" i="17" s="1"/>
  <c r="I48" i="17"/>
  <c r="AF48" i="17" s="1"/>
  <c r="I47" i="17"/>
  <c r="AF47" i="17" s="1"/>
  <c r="I50" i="17"/>
  <c r="AF50" i="17" s="1"/>
  <c r="I3" i="17"/>
  <c r="I6" i="17"/>
  <c r="I5" i="17"/>
  <c r="I4" i="17"/>
  <c r="I2" i="17"/>
  <c r="I31" i="17"/>
  <c r="AF31" i="17" s="1"/>
  <c r="I30" i="17"/>
  <c r="AF30" i="17" s="1"/>
  <c r="I29" i="17"/>
  <c r="AF29" i="17" s="1"/>
  <c r="I28" i="17"/>
  <c r="AF28" i="17" s="1"/>
  <c r="I27" i="17"/>
  <c r="AF27" i="17" s="1"/>
  <c r="M58" i="17"/>
  <c r="I63" i="17"/>
  <c r="AF63" i="17" s="1"/>
  <c r="I62" i="17"/>
  <c r="AF62" i="17" s="1"/>
  <c r="I61" i="17"/>
  <c r="AF61" i="17" s="1"/>
  <c r="I58" i="17"/>
  <c r="AF58" i="17" s="1"/>
  <c r="I60" i="17"/>
  <c r="AF60" i="17" s="1"/>
  <c r="I59" i="17"/>
  <c r="AF59" i="17" s="1"/>
  <c r="I83" i="17"/>
  <c r="I81" i="17"/>
  <c r="I80" i="17"/>
  <c r="I82" i="17"/>
  <c r="I84" i="17"/>
  <c r="J113" i="17"/>
  <c r="J111" i="17"/>
  <c r="J110" i="17"/>
  <c r="J114" i="17"/>
  <c r="J112" i="17"/>
  <c r="J129" i="17"/>
  <c r="J121" i="17"/>
  <c r="J128" i="17"/>
  <c r="J127" i="17"/>
  <c r="J126" i="17"/>
  <c r="J125" i="17"/>
  <c r="J124" i="17"/>
  <c r="J123" i="17"/>
  <c r="J130" i="17"/>
  <c r="J122" i="17"/>
  <c r="J143" i="17"/>
  <c r="J142" i="17"/>
  <c r="J141" i="17"/>
  <c r="J140" i="17"/>
  <c r="J139" i="17"/>
  <c r="J138" i="17"/>
  <c r="M61" i="17"/>
  <c r="J145" i="17"/>
  <c r="J144" i="17"/>
  <c r="J149" i="17"/>
  <c r="J148" i="17"/>
  <c r="J147" i="17"/>
  <c r="J146" i="17"/>
  <c r="M73" i="17"/>
  <c r="I73" i="17"/>
  <c r="AF73" i="17" s="1"/>
  <c r="I72" i="17"/>
  <c r="AF72" i="17" s="1"/>
  <c r="I71" i="17"/>
  <c r="AF71" i="17" s="1"/>
  <c r="I74" i="17"/>
  <c r="AF74" i="17" s="1"/>
  <c r="I70" i="17"/>
  <c r="AF70" i="17" s="1"/>
  <c r="I69" i="17"/>
  <c r="AF69" i="17" s="1"/>
  <c r="J99" i="17"/>
  <c r="J98" i="17"/>
  <c r="J97" i="17"/>
  <c r="J96" i="17"/>
  <c r="J95" i="17"/>
  <c r="J159" i="17"/>
  <c r="J158" i="17"/>
  <c r="J157" i="17"/>
  <c r="J156" i="17"/>
  <c r="J160" i="17"/>
  <c r="J167" i="17"/>
  <c r="J171" i="17"/>
  <c r="J170" i="17"/>
  <c r="J169" i="17"/>
  <c r="J168" i="17"/>
  <c r="J182" i="17"/>
  <c r="J181" i="17"/>
  <c r="J180" i="17"/>
  <c r="J179" i="17"/>
  <c r="J178" i="17"/>
  <c r="J191" i="17"/>
  <c r="J190" i="17"/>
  <c r="J189" i="17"/>
  <c r="J188" i="17"/>
  <c r="J192" i="17"/>
  <c r="J199" i="17"/>
  <c r="J198" i="17"/>
  <c r="J202" i="17"/>
  <c r="J201" i="17"/>
  <c r="J200" i="17"/>
  <c r="J213" i="17"/>
  <c r="J212" i="17"/>
  <c r="J211" i="17"/>
  <c r="J210" i="17"/>
  <c r="J209" i="17"/>
  <c r="J223" i="17"/>
  <c r="J222" i="17"/>
  <c r="J221" i="17"/>
  <c r="J220" i="17"/>
  <c r="J225" i="17"/>
  <c r="J224" i="17"/>
  <c r="Z47" i="16"/>
  <c r="J237" i="17"/>
  <c r="J236" i="17"/>
  <c r="J235" i="17"/>
  <c r="J234" i="17"/>
  <c r="J233" i="17"/>
  <c r="L233" i="17" s="1"/>
  <c r="J232" i="17"/>
  <c r="L232" i="17" s="1"/>
  <c r="M69" i="17"/>
  <c r="J119" i="17"/>
  <c r="J118" i="17"/>
  <c r="J117" i="17"/>
  <c r="J116" i="17"/>
  <c r="J120" i="17"/>
  <c r="J115" i="17"/>
  <c r="I19" i="17"/>
  <c r="I18" i="17"/>
  <c r="I17" i="17"/>
  <c r="I21" i="17"/>
  <c r="I20" i="17"/>
  <c r="M42" i="17"/>
  <c r="I42" i="17"/>
  <c r="AF42" i="17" s="1"/>
  <c r="I46" i="17"/>
  <c r="AF46" i="17" s="1"/>
  <c r="I45" i="17"/>
  <c r="AF45" i="17" s="1"/>
  <c r="I44" i="17"/>
  <c r="AF44" i="17" s="1"/>
  <c r="I43" i="17"/>
  <c r="AF43" i="17" s="1"/>
  <c r="I89" i="17"/>
  <c r="AF89" i="17" s="1"/>
  <c r="I88" i="17"/>
  <c r="AF88" i="17" s="1"/>
  <c r="I87" i="17"/>
  <c r="AF87" i="17" s="1"/>
  <c r="I86" i="17"/>
  <c r="AF86" i="17" s="1"/>
  <c r="I85" i="17"/>
  <c r="AF85" i="17" s="1"/>
  <c r="I9" i="17"/>
  <c r="I8" i="17"/>
  <c r="I7" i="17"/>
  <c r="I10" i="17"/>
  <c r="I11" i="17"/>
  <c r="I35" i="17"/>
  <c r="AF35" i="17" s="1"/>
  <c r="I33" i="17"/>
  <c r="AF33" i="17" s="1"/>
  <c r="I34" i="17"/>
  <c r="AF34" i="17" s="1"/>
  <c r="I32" i="17"/>
  <c r="AF32" i="17" s="1"/>
  <c r="I36" i="17"/>
  <c r="AF36" i="17" s="1"/>
  <c r="M57" i="17"/>
  <c r="I57" i="17"/>
  <c r="AF57" i="17" s="1"/>
  <c r="I55" i="17"/>
  <c r="AF55" i="17" s="1"/>
  <c r="I56" i="17"/>
  <c r="AF56" i="17" s="1"/>
  <c r="I54" i="17"/>
  <c r="AF54" i="17" s="1"/>
  <c r="I53" i="17"/>
  <c r="AF53" i="17" s="1"/>
  <c r="I52" i="17"/>
  <c r="AF52" i="17" s="1"/>
  <c r="F237" i="17"/>
  <c r="F233" i="17"/>
  <c r="M43" i="17"/>
  <c r="M51" i="17"/>
  <c r="M59" i="17"/>
  <c r="M67" i="17"/>
  <c r="M74" i="17"/>
  <c r="F234" i="17"/>
  <c r="M44" i="17"/>
  <c r="M52" i="17"/>
  <c r="M60" i="17"/>
  <c r="M68" i="17"/>
  <c r="P233" i="17"/>
  <c r="P237" i="17"/>
  <c r="M38" i="17"/>
  <c r="M46" i="17"/>
  <c r="M54" i="17"/>
  <c r="M62" i="17"/>
  <c r="P232" i="17"/>
  <c r="P236" i="17"/>
  <c r="M39" i="17"/>
  <c r="M47" i="17"/>
  <c r="M55" i="17"/>
  <c r="M63" i="17"/>
  <c r="M70" i="17"/>
  <c r="F232" i="17"/>
  <c r="F236" i="17"/>
  <c r="M53" i="17"/>
  <c r="M40" i="17"/>
  <c r="M48" i="17"/>
  <c r="M56" i="17"/>
  <c r="M64" i="17"/>
  <c r="M71" i="17"/>
  <c r="P235" i="17"/>
  <c r="M49" i="17"/>
  <c r="M65" i="17"/>
  <c r="M72" i="17"/>
  <c r="P234" i="17"/>
  <c r="X10" i="16"/>
  <c r="AS27" i="16"/>
  <c r="AS43" i="16"/>
  <c r="AS31" i="16"/>
  <c r="AS45" i="16"/>
  <c r="AS37" i="16"/>
  <c r="AS29" i="16"/>
  <c r="AS35" i="16"/>
  <c r="AS41" i="16"/>
  <c r="AS26" i="16"/>
  <c r="AS28" i="16"/>
  <c r="AS30" i="16"/>
  <c r="AS34" i="16"/>
  <c r="AS36" i="16"/>
  <c r="AS38" i="16"/>
  <c r="AS40" i="16"/>
  <c r="AS42" i="16"/>
  <c r="AS44" i="16"/>
  <c r="AS46" i="16"/>
  <c r="AS25" i="16"/>
  <c r="AS33" i="16"/>
  <c r="AS39" i="16"/>
  <c r="AS23" i="16"/>
  <c r="AR42" i="16"/>
  <c r="AF42" i="16" s="1"/>
  <c r="AR22" i="16"/>
  <c r="AR32" i="16"/>
  <c r="AR29" i="16"/>
  <c r="AF29" i="16" s="1"/>
  <c r="AR45" i="16"/>
  <c r="AF45" i="16" s="1"/>
  <c r="AR26" i="16"/>
  <c r="AF26" i="16" s="1"/>
  <c r="AR31" i="16"/>
  <c r="AF31" i="16" s="1"/>
  <c r="AR39" i="16"/>
  <c r="AF39" i="16" s="1"/>
  <c r="AR40" i="16"/>
  <c r="AF40" i="16" s="1"/>
  <c r="AR21" i="16"/>
  <c r="AR23" i="16"/>
  <c r="AF23" i="16" s="1"/>
  <c r="AR28" i="16"/>
  <c r="AF28" i="16" s="1"/>
  <c r="AB28" i="16" s="1"/>
  <c r="AR36" i="16"/>
  <c r="AF36" i="16" s="1"/>
  <c r="AR44" i="16"/>
  <c r="AF44" i="16" s="1"/>
  <c r="AR34" i="16"/>
  <c r="AF34" i="16" s="1"/>
  <c r="AR25" i="16"/>
  <c r="AF25" i="16" s="1"/>
  <c r="AR33" i="16"/>
  <c r="AF33" i="16" s="1"/>
  <c r="AR41" i="16"/>
  <c r="AF41" i="16" s="1"/>
  <c r="AB41" i="16" s="1"/>
  <c r="AR37" i="16"/>
  <c r="AF37" i="16" s="1"/>
  <c r="AR30" i="16"/>
  <c r="AF30" i="16" s="1"/>
  <c r="AR38" i="16"/>
  <c r="AF38" i="16" s="1"/>
  <c r="AF46" i="16"/>
  <c r="AR24" i="16"/>
  <c r="AR27" i="16"/>
  <c r="AF27" i="16" s="1"/>
  <c r="AR35" i="16"/>
  <c r="AF35" i="16" s="1"/>
  <c r="AB35" i="16" s="1"/>
  <c r="AR43" i="16"/>
  <c r="AF43" i="16" s="1"/>
  <c r="AQ27" i="16"/>
  <c r="AQ35" i="16"/>
  <c r="AQ25" i="16"/>
  <c r="AQ37" i="16"/>
  <c r="AQ36" i="16"/>
  <c r="O36" i="16" s="1"/>
  <c r="AQ31" i="16"/>
  <c r="AQ29" i="16"/>
  <c r="AQ6" i="16"/>
  <c r="O6" i="16" s="1"/>
  <c r="AQ8" i="16"/>
  <c r="O8" i="16" s="1"/>
  <c r="AQ12" i="16"/>
  <c r="AQ26" i="16"/>
  <c r="AQ34" i="16"/>
  <c r="AQ33" i="16"/>
  <c r="AQ19" i="16"/>
  <c r="O19" i="16" s="1"/>
  <c r="AQ21" i="16"/>
  <c r="O21" i="16" s="1"/>
  <c r="AQ28" i="16"/>
  <c r="O28" i="16" s="1"/>
  <c r="AQ18" i="16"/>
  <c r="O18" i="16" s="1"/>
  <c r="AQ20" i="16"/>
  <c r="AQ22" i="16"/>
  <c r="O22" i="16" s="1"/>
  <c r="AQ24" i="16"/>
  <c r="AQ23" i="16"/>
  <c r="O23" i="16" s="1"/>
  <c r="AQ30" i="16"/>
  <c r="C45" i="16"/>
  <c r="AQ45" i="16"/>
  <c r="O45" i="16" s="1"/>
  <c r="C42" i="16"/>
  <c r="AQ42" i="16"/>
  <c r="O42" i="16" s="1"/>
  <c r="AQ17" i="16"/>
  <c r="O17" i="16" s="1"/>
  <c r="C39" i="16"/>
  <c r="AQ39" i="16"/>
  <c r="O39" i="16" s="1"/>
  <c r="C44" i="16"/>
  <c r="AQ44" i="16"/>
  <c r="O44" i="16" s="1"/>
  <c r="AQ9" i="16"/>
  <c r="O9" i="16" s="1"/>
  <c r="AQ11" i="16"/>
  <c r="C41" i="16"/>
  <c r="AQ41" i="16"/>
  <c r="O41" i="16" s="1"/>
  <c r="C38" i="16"/>
  <c r="AQ38" i="16"/>
  <c r="O38" i="16" s="1"/>
  <c r="C46" i="16"/>
  <c r="O46" i="16"/>
  <c r="AQ13" i="16"/>
  <c r="C43" i="16"/>
  <c r="AQ43" i="16"/>
  <c r="O43" i="16" s="1"/>
  <c r="AQ32" i="16"/>
  <c r="C40" i="16"/>
  <c r="AQ40" i="16"/>
  <c r="O40" i="16" s="1"/>
  <c r="C10" i="16"/>
  <c r="C15" i="16"/>
  <c r="C29" i="16"/>
  <c r="C37" i="16"/>
  <c r="C6" i="16"/>
  <c r="C8" i="16"/>
  <c r="C12" i="16"/>
  <c r="C26" i="16"/>
  <c r="C34" i="16"/>
  <c r="C14" i="16"/>
  <c r="C19" i="16"/>
  <c r="C21" i="16"/>
  <c r="C23" i="16"/>
  <c r="C28" i="16"/>
  <c r="C36" i="16"/>
  <c r="C9" i="16"/>
  <c r="C11" i="16"/>
  <c r="C25" i="16"/>
  <c r="C33" i="16"/>
  <c r="C5" i="16"/>
  <c r="C7" i="16"/>
  <c r="C16" i="16"/>
  <c r="C30" i="16"/>
  <c r="C13" i="16"/>
  <c r="C27" i="16"/>
  <c r="C35" i="16"/>
  <c r="C17" i="16"/>
  <c r="C31" i="16"/>
  <c r="C18" i="16"/>
  <c r="C22" i="16"/>
  <c r="I14" i="16"/>
  <c r="I11" i="16"/>
  <c r="I16" i="16"/>
  <c r="I13" i="16"/>
  <c r="I8" i="16"/>
  <c r="I7" i="16"/>
  <c r="I6" i="16"/>
  <c r="I15" i="16"/>
  <c r="I17" i="16"/>
  <c r="I5" i="16"/>
  <c r="I10" i="16"/>
  <c r="I12" i="16"/>
  <c r="N19" i="16"/>
  <c r="I19" i="16"/>
  <c r="N21" i="16"/>
  <c r="I21" i="16"/>
  <c r="N5" i="16"/>
  <c r="N7" i="16"/>
  <c r="N9" i="16"/>
  <c r="N11" i="16"/>
  <c r="N16" i="16"/>
  <c r="I18" i="16"/>
  <c r="N18" i="16"/>
  <c r="N15" i="16"/>
  <c r="N20" i="16"/>
  <c r="I20" i="16"/>
  <c r="N22" i="16"/>
  <c r="I22" i="16"/>
  <c r="N13" i="16"/>
  <c r="N6" i="16"/>
  <c r="N8" i="16"/>
  <c r="N10" i="16"/>
  <c r="N12" i="16"/>
  <c r="N14" i="16"/>
  <c r="N17" i="16"/>
  <c r="R21" i="16"/>
  <c r="R5" i="16"/>
  <c r="R13" i="16"/>
  <c r="R19" i="16"/>
  <c r="R11" i="16"/>
  <c r="R15" i="16"/>
  <c r="R6" i="16"/>
  <c r="R8" i="16"/>
  <c r="R10" i="16"/>
  <c r="R12" i="16"/>
  <c r="R17" i="16"/>
  <c r="N233" i="17"/>
  <c r="N232" i="17"/>
  <c r="L237" i="17"/>
  <c r="L236" i="17"/>
  <c r="L235" i="17"/>
  <c r="X233" i="17"/>
  <c r="N235" i="17"/>
  <c r="N236" i="17"/>
  <c r="N237" i="17"/>
  <c r="X232" i="17"/>
  <c r="D62" i="17"/>
  <c r="O234" i="17"/>
  <c r="X236" i="17"/>
  <c r="X235" i="17"/>
  <c r="L234" i="17"/>
  <c r="X237" i="17"/>
  <c r="N234" i="17"/>
  <c r="R18" i="16"/>
  <c r="R14" i="16"/>
  <c r="R7" i="16"/>
  <c r="R9" i="16"/>
  <c r="R22" i="16"/>
  <c r="R16" i="16"/>
  <c r="J92" i="17" l="1"/>
  <c r="J91" i="17"/>
  <c r="J90" i="17"/>
  <c r="J94" i="17"/>
  <c r="J93" i="17"/>
  <c r="J68" i="17"/>
  <c r="J67" i="17"/>
  <c r="J66" i="17"/>
  <c r="J65" i="17"/>
  <c r="J64" i="17"/>
  <c r="J45" i="17"/>
  <c r="J44" i="17"/>
  <c r="J43" i="17"/>
  <c r="J42" i="17"/>
  <c r="J46" i="17"/>
  <c r="J23" i="17"/>
  <c r="J22" i="17"/>
  <c r="J26" i="17"/>
  <c r="J25" i="17"/>
  <c r="J24" i="17"/>
  <c r="J15" i="17"/>
  <c r="J13" i="17"/>
  <c r="J14" i="17"/>
  <c r="J12" i="17"/>
  <c r="J16" i="17"/>
  <c r="J31" i="17"/>
  <c r="J30" i="17"/>
  <c r="J29" i="17"/>
  <c r="J28" i="17"/>
  <c r="J27" i="17"/>
  <c r="J89" i="17"/>
  <c r="J88" i="17"/>
  <c r="J87" i="17"/>
  <c r="J86" i="17"/>
  <c r="J85" i="17"/>
  <c r="J47" i="17"/>
  <c r="J51" i="17"/>
  <c r="J50" i="17"/>
  <c r="J49" i="17"/>
  <c r="J48" i="17"/>
  <c r="J21" i="17"/>
  <c r="J20" i="17"/>
  <c r="J19" i="17"/>
  <c r="J18" i="17"/>
  <c r="J17" i="17"/>
  <c r="J5" i="17"/>
  <c r="J4" i="17"/>
  <c r="J6" i="17"/>
  <c r="J3" i="17"/>
  <c r="J2" i="17"/>
  <c r="J7" i="17"/>
  <c r="J11" i="17"/>
  <c r="J10" i="17"/>
  <c r="J9" i="17"/>
  <c r="J8" i="17"/>
  <c r="J63" i="17"/>
  <c r="J61" i="17"/>
  <c r="J60" i="17"/>
  <c r="J59" i="17"/>
  <c r="J58" i="17"/>
  <c r="J62" i="17"/>
  <c r="J39" i="17"/>
  <c r="J37" i="17"/>
  <c r="J41" i="17"/>
  <c r="J38" i="17"/>
  <c r="J40" i="17"/>
  <c r="J55" i="17"/>
  <c r="J54" i="17"/>
  <c r="J53" i="17"/>
  <c r="J52" i="17"/>
  <c r="J57" i="17"/>
  <c r="J56" i="17"/>
  <c r="J79" i="17"/>
  <c r="J77" i="17"/>
  <c r="J76" i="17"/>
  <c r="J75" i="17"/>
  <c r="J78" i="17"/>
  <c r="J71" i="17"/>
  <c r="J70" i="17"/>
  <c r="J69" i="17"/>
  <c r="J74" i="17"/>
  <c r="J73" i="17"/>
  <c r="J72" i="17"/>
  <c r="J36" i="17"/>
  <c r="J35" i="17"/>
  <c r="J34" i="17"/>
  <c r="J33" i="17"/>
  <c r="J32" i="17"/>
  <c r="AF10" i="16"/>
  <c r="AA34" i="55"/>
  <c r="AB34" i="55" s="1"/>
  <c r="AA34" i="57"/>
  <c r="AB34" i="57" s="1"/>
  <c r="AA24" i="55"/>
  <c r="AB24" i="55" s="1"/>
  <c r="AA24" i="57"/>
  <c r="AB24" i="57" s="1"/>
  <c r="AA14" i="55"/>
  <c r="AB14" i="55" s="1"/>
  <c r="AA14" i="57"/>
  <c r="AB14" i="57" s="1"/>
  <c r="AA30" i="55"/>
  <c r="AB30" i="55" s="1"/>
  <c r="AA30" i="57"/>
  <c r="AB30" i="57" s="1"/>
  <c r="AA36" i="55"/>
  <c r="AB36" i="55" s="1"/>
  <c r="AA36" i="57"/>
  <c r="AB36" i="57" s="1"/>
  <c r="AA35" i="55"/>
  <c r="AB35" i="55" s="1"/>
  <c r="AA35" i="57"/>
  <c r="AB35" i="57" s="1"/>
  <c r="AA28" i="55"/>
  <c r="AB28" i="55" s="1"/>
  <c r="AA28" i="57"/>
  <c r="AB28" i="57" s="1"/>
  <c r="AA18" i="55"/>
  <c r="AB18" i="55" s="1"/>
  <c r="AA18" i="57"/>
  <c r="AB18" i="57" s="1"/>
  <c r="AA7" i="55"/>
  <c r="AB7" i="55" s="1"/>
  <c r="AA7" i="57"/>
  <c r="AB7" i="57" s="1"/>
  <c r="AA8" i="55"/>
  <c r="AB8" i="55" s="1"/>
  <c r="AA8" i="57"/>
  <c r="AB8" i="57" s="1"/>
  <c r="AA38" i="55"/>
  <c r="AB38" i="55" s="1"/>
  <c r="AA38" i="57"/>
  <c r="AB38" i="57" s="1"/>
  <c r="AA11" i="55"/>
  <c r="AB11" i="55" s="1"/>
  <c r="AA11" i="57"/>
  <c r="AB11" i="57" s="1"/>
  <c r="AA22" i="55"/>
  <c r="AB22" i="55" s="1"/>
  <c r="AA22" i="57"/>
  <c r="AB22" i="57" s="1"/>
  <c r="AA39" i="55"/>
  <c r="AB39" i="55" s="1"/>
  <c r="AA39" i="57"/>
  <c r="AB39" i="57" s="1"/>
  <c r="AA16" i="55"/>
  <c r="AB16" i="55" s="1"/>
  <c r="AA16" i="57"/>
  <c r="AB16" i="57" s="1"/>
  <c r="AA26" i="55"/>
  <c r="AB26" i="55" s="1"/>
  <c r="AA26" i="57"/>
  <c r="AB26" i="57" s="1"/>
  <c r="AA27" i="55"/>
  <c r="AB27" i="55" s="1"/>
  <c r="AA27" i="57"/>
  <c r="AB27" i="57" s="1"/>
  <c r="AA6" i="55"/>
  <c r="AB6" i="55" s="1"/>
  <c r="AA6" i="57"/>
  <c r="AB6" i="57" s="1"/>
  <c r="AA2" i="55"/>
  <c r="AB2" i="55" s="1"/>
  <c r="AA2" i="57"/>
  <c r="AB2" i="57" s="1"/>
  <c r="AA19" i="55"/>
  <c r="AB19" i="55" s="1"/>
  <c r="AA19" i="57"/>
  <c r="AB19" i="57" s="1"/>
  <c r="AA10" i="55"/>
  <c r="AB10" i="55" s="1"/>
  <c r="AA10" i="57"/>
  <c r="AB10" i="57" s="1"/>
  <c r="AA4" i="55"/>
  <c r="AB4" i="55" s="1"/>
  <c r="AA4" i="57"/>
  <c r="AB4" i="57" s="1"/>
  <c r="AA23" i="55"/>
  <c r="AB23" i="55" s="1"/>
  <c r="AA23" i="57"/>
  <c r="AB23" i="57" s="1"/>
  <c r="AA29" i="55"/>
  <c r="AB29" i="55" s="1"/>
  <c r="AA29" i="57"/>
  <c r="AB29" i="57" s="1"/>
  <c r="AA5" i="55"/>
  <c r="AB5" i="55" s="1"/>
  <c r="AA5" i="57"/>
  <c r="AB5" i="57" s="1"/>
  <c r="AA33" i="55"/>
  <c r="AB33" i="55" s="1"/>
  <c r="AA33" i="57"/>
  <c r="AB33" i="57" s="1"/>
  <c r="AA31" i="55"/>
  <c r="AB31" i="55" s="1"/>
  <c r="AA31" i="57"/>
  <c r="AB31" i="57" s="1"/>
  <c r="AA32" i="55"/>
  <c r="AB32" i="55" s="1"/>
  <c r="AA32" i="57"/>
  <c r="AB32" i="57" s="1"/>
  <c r="AA12" i="55"/>
  <c r="AB12" i="55" s="1"/>
  <c r="AA12" i="57"/>
  <c r="AB12" i="57" s="1"/>
  <c r="AA20" i="55"/>
  <c r="AB20" i="55" s="1"/>
  <c r="AA20" i="57"/>
  <c r="AB20" i="57" s="1"/>
  <c r="AA3" i="55"/>
  <c r="AB3" i="55" s="1"/>
  <c r="AA3" i="57"/>
  <c r="AB3" i="57" s="1"/>
  <c r="AA37" i="55"/>
  <c r="AB37" i="55" s="1"/>
  <c r="AA37" i="57"/>
  <c r="AB37" i="57" s="1"/>
  <c r="AA15" i="55"/>
  <c r="AB15" i="55" s="1"/>
  <c r="AA15" i="57"/>
  <c r="AB15" i="57" s="1"/>
  <c r="AA9" i="55"/>
  <c r="AB9" i="55" s="1"/>
  <c r="AA9" i="57"/>
  <c r="AB9" i="57" s="1"/>
  <c r="AA21" i="55"/>
  <c r="AB21" i="55" s="1"/>
  <c r="AA21" i="57"/>
  <c r="AB21" i="57" s="1"/>
  <c r="G147" i="17"/>
  <c r="G146" i="17"/>
  <c r="G145" i="17"/>
  <c r="G144" i="17"/>
  <c r="G149" i="17"/>
  <c r="G148" i="17"/>
  <c r="G182" i="17"/>
  <c r="G180" i="17"/>
  <c r="G181" i="17"/>
  <c r="G179" i="17"/>
  <c r="G178" i="17"/>
  <c r="G204" i="17"/>
  <c r="G203" i="17"/>
  <c r="G208" i="17"/>
  <c r="G207" i="17"/>
  <c r="G206" i="17"/>
  <c r="G205" i="17"/>
  <c r="B5" i="44"/>
  <c r="G5" i="17"/>
  <c r="O5" i="17" s="1"/>
  <c r="G4" i="17"/>
  <c r="O4" i="17" s="1"/>
  <c r="G3" i="17"/>
  <c r="O3" i="17" s="1"/>
  <c r="G2" i="17"/>
  <c r="O2" i="17" s="1"/>
  <c r="G6" i="17"/>
  <c r="O6" i="17" s="1"/>
  <c r="G77" i="17"/>
  <c r="G76" i="17"/>
  <c r="G75" i="17"/>
  <c r="G79" i="17"/>
  <c r="G78" i="17"/>
  <c r="G135" i="17"/>
  <c r="G131" i="17"/>
  <c r="G134" i="17"/>
  <c r="G133" i="17"/>
  <c r="G132" i="17"/>
  <c r="G137" i="17"/>
  <c r="G136" i="17"/>
  <c r="G210" i="17"/>
  <c r="G209" i="17"/>
  <c r="G212" i="17"/>
  <c r="G211" i="17"/>
  <c r="G213" i="17"/>
  <c r="G68" i="17"/>
  <c r="G67" i="17"/>
  <c r="G66" i="17"/>
  <c r="G64" i="17"/>
  <c r="G65" i="17"/>
  <c r="G85" i="17"/>
  <c r="G88" i="17"/>
  <c r="G89" i="17"/>
  <c r="L89" i="17" s="1"/>
  <c r="AD89" i="17" s="1"/>
  <c r="G87" i="17"/>
  <c r="G86" i="17"/>
  <c r="G159" i="17"/>
  <c r="G156" i="17"/>
  <c r="G158" i="17"/>
  <c r="G157" i="17"/>
  <c r="G160" i="17"/>
  <c r="G92" i="17"/>
  <c r="G91" i="17"/>
  <c r="G90" i="17"/>
  <c r="G94" i="17"/>
  <c r="G93" i="17"/>
  <c r="G62" i="17"/>
  <c r="G61" i="17"/>
  <c r="G60" i="17"/>
  <c r="G59" i="17"/>
  <c r="G58" i="17"/>
  <c r="G63" i="17"/>
  <c r="N63" i="17" s="1"/>
  <c r="AC63" i="17" s="1"/>
  <c r="G126" i="17"/>
  <c r="G129" i="17"/>
  <c r="G125" i="17"/>
  <c r="G128" i="17"/>
  <c r="G124" i="17"/>
  <c r="G123" i="17"/>
  <c r="G127" i="17"/>
  <c r="G121" i="17"/>
  <c r="G130" i="17"/>
  <c r="G122" i="17"/>
  <c r="B8" i="44"/>
  <c r="G21" i="17"/>
  <c r="O21" i="17" s="1"/>
  <c r="G20" i="17"/>
  <c r="O20" i="17" s="1"/>
  <c r="G19" i="17"/>
  <c r="O19" i="17" s="1"/>
  <c r="G18" i="17"/>
  <c r="O18" i="17" s="1"/>
  <c r="G17" i="17"/>
  <c r="O17" i="17" s="1"/>
  <c r="G72" i="17"/>
  <c r="G69" i="17"/>
  <c r="G74" i="17"/>
  <c r="G73" i="17"/>
  <c r="G71" i="17"/>
  <c r="G70" i="17"/>
  <c r="B7" i="44"/>
  <c r="G13" i="17"/>
  <c r="O13" i="17" s="1"/>
  <c r="G12" i="17"/>
  <c r="O12" i="17" s="1"/>
  <c r="G15" i="17"/>
  <c r="O15" i="17" s="1"/>
  <c r="G14" i="17"/>
  <c r="O14" i="17" s="1"/>
  <c r="G16" i="17"/>
  <c r="O16" i="17" s="1"/>
  <c r="G99" i="17"/>
  <c r="G98" i="17"/>
  <c r="G97" i="17"/>
  <c r="G96" i="17"/>
  <c r="G95" i="17"/>
  <c r="B6" i="44"/>
  <c r="G11" i="17"/>
  <c r="O11" i="17" s="1"/>
  <c r="G8" i="17"/>
  <c r="O8" i="17" s="1"/>
  <c r="G10" i="17"/>
  <c r="O10" i="17" s="1"/>
  <c r="G9" i="17"/>
  <c r="O9" i="17" s="1"/>
  <c r="G7" i="17"/>
  <c r="O7" i="17" s="1"/>
  <c r="G202" i="17"/>
  <c r="G201" i="17"/>
  <c r="G200" i="17"/>
  <c r="G198" i="17"/>
  <c r="G199" i="17"/>
  <c r="G171" i="17"/>
  <c r="G170" i="17"/>
  <c r="G169" i="17"/>
  <c r="G168" i="17"/>
  <c r="G167" i="17"/>
  <c r="G108" i="17"/>
  <c r="G107" i="17"/>
  <c r="G106" i="17"/>
  <c r="G105" i="17"/>
  <c r="G109" i="17"/>
  <c r="G51" i="17"/>
  <c r="G49" i="17"/>
  <c r="G50" i="17"/>
  <c r="G48" i="17"/>
  <c r="G47" i="17"/>
  <c r="G54" i="17"/>
  <c r="G53" i="17"/>
  <c r="G52" i="17"/>
  <c r="G57" i="17"/>
  <c r="G56" i="17"/>
  <c r="G55" i="17"/>
  <c r="N55" i="17" s="1"/>
  <c r="AC55" i="17" s="1"/>
  <c r="G222" i="17"/>
  <c r="G225" i="17"/>
  <c r="G221" i="17"/>
  <c r="G224" i="17"/>
  <c r="G220" i="17"/>
  <c r="G223" i="17"/>
  <c r="P16" i="16"/>
  <c r="V16" i="16" s="1"/>
  <c r="G120" i="17"/>
  <c r="G116" i="17"/>
  <c r="G118" i="17"/>
  <c r="G115" i="17"/>
  <c r="G119" i="17"/>
  <c r="G117" i="17"/>
  <c r="G36" i="17"/>
  <c r="G35" i="17"/>
  <c r="G34" i="17"/>
  <c r="G33" i="17"/>
  <c r="G32" i="17"/>
  <c r="G164" i="17"/>
  <c r="G163" i="17"/>
  <c r="G162" i="17"/>
  <c r="G166" i="17"/>
  <c r="G165" i="17"/>
  <c r="G161" i="17"/>
  <c r="G30" i="17"/>
  <c r="G29" i="17"/>
  <c r="G28" i="17"/>
  <c r="G27" i="17"/>
  <c r="G31" i="17"/>
  <c r="G229" i="17"/>
  <c r="G228" i="17"/>
  <c r="G231" i="17"/>
  <c r="G227" i="17"/>
  <c r="G230" i="17"/>
  <c r="G226" i="17"/>
  <c r="G217" i="17"/>
  <c r="G216" i="17"/>
  <c r="G215" i="17"/>
  <c r="G214" i="17"/>
  <c r="G219" i="17"/>
  <c r="G218" i="17"/>
  <c r="AB27" i="16"/>
  <c r="G46" i="17"/>
  <c r="G45" i="17"/>
  <c r="G44" i="17"/>
  <c r="G43" i="17"/>
  <c r="G42" i="17"/>
  <c r="B9" i="44"/>
  <c r="G26" i="17"/>
  <c r="G25" i="17"/>
  <c r="G23" i="17"/>
  <c r="G22" i="17"/>
  <c r="G24" i="17"/>
  <c r="G111" i="17"/>
  <c r="G114" i="17"/>
  <c r="G113" i="17"/>
  <c r="G112" i="17"/>
  <c r="G110" i="17"/>
  <c r="P17" i="16"/>
  <c r="AS17" i="16" s="1"/>
  <c r="P14" i="16"/>
  <c r="AS14" i="16" s="1"/>
  <c r="G141" i="17"/>
  <c r="G140" i="17"/>
  <c r="G139" i="17"/>
  <c r="G138" i="17"/>
  <c r="G143" i="17"/>
  <c r="G142" i="17"/>
  <c r="G177" i="17"/>
  <c r="G174" i="17"/>
  <c r="G176" i="17"/>
  <c r="G175" i="17"/>
  <c r="G173" i="17"/>
  <c r="G172" i="17"/>
  <c r="G38" i="17"/>
  <c r="G41" i="17"/>
  <c r="G37" i="17"/>
  <c r="G40" i="17"/>
  <c r="G39" i="17"/>
  <c r="G196" i="17"/>
  <c r="G195" i="17"/>
  <c r="G193" i="17"/>
  <c r="G194" i="17"/>
  <c r="G197" i="17"/>
  <c r="G184" i="17"/>
  <c r="G183" i="17"/>
  <c r="G186" i="17"/>
  <c r="G187" i="17"/>
  <c r="G185" i="17"/>
  <c r="G191" i="17"/>
  <c r="G190" i="17"/>
  <c r="G189" i="17"/>
  <c r="G188" i="17"/>
  <c r="G192" i="17"/>
  <c r="AB44" i="16"/>
  <c r="AB26" i="16"/>
  <c r="AB46" i="16"/>
  <c r="B35" i="44"/>
  <c r="B25" i="44"/>
  <c r="B14" i="44"/>
  <c r="B15" i="44"/>
  <c r="B45" i="44"/>
  <c r="B27" i="44"/>
  <c r="B11" i="44"/>
  <c r="B34" i="44"/>
  <c r="B10" i="44"/>
  <c r="B46" i="44"/>
  <c r="B44" i="44"/>
  <c r="B13" i="44"/>
  <c r="B26" i="44"/>
  <c r="B30" i="44"/>
  <c r="B36" i="44"/>
  <c r="B12" i="44"/>
  <c r="B40" i="44"/>
  <c r="B38" i="44"/>
  <c r="B39" i="44"/>
  <c r="B22" i="44"/>
  <c r="B16" i="44"/>
  <c r="B28" i="44"/>
  <c r="B18" i="44"/>
  <c r="B23" i="44"/>
  <c r="B41" i="44"/>
  <c r="B31" i="44"/>
  <c r="B21" i="44"/>
  <c r="B37" i="44"/>
  <c r="B43" i="44"/>
  <c r="B42" i="44"/>
  <c r="B17" i="44"/>
  <c r="B33" i="44"/>
  <c r="B19" i="44"/>
  <c r="B29" i="44"/>
  <c r="AB25" i="16"/>
  <c r="AB42" i="16"/>
  <c r="AB33" i="16"/>
  <c r="AB45" i="16"/>
  <c r="AB36" i="16"/>
  <c r="AB43" i="16"/>
  <c r="AB38" i="16"/>
  <c r="AB39" i="16"/>
  <c r="AB40" i="16"/>
  <c r="AB34" i="16"/>
  <c r="AB31" i="16"/>
  <c r="AB30" i="16"/>
  <c r="AB29" i="16"/>
  <c r="AB37" i="16"/>
  <c r="AB23" i="16"/>
  <c r="AZ31" i="16"/>
  <c r="O31" i="16"/>
  <c r="AZ33" i="16"/>
  <c r="O33" i="16"/>
  <c r="AZ34" i="16"/>
  <c r="O34" i="16"/>
  <c r="AY37" i="16"/>
  <c r="O37" i="16"/>
  <c r="AZ26" i="16"/>
  <c r="O26" i="16"/>
  <c r="AY25" i="16"/>
  <c r="O25" i="16"/>
  <c r="AY30" i="16"/>
  <c r="O30" i="16"/>
  <c r="X12" i="16"/>
  <c r="O12" i="16"/>
  <c r="AZ35" i="16"/>
  <c r="O35" i="16"/>
  <c r="X11" i="16"/>
  <c r="O11" i="16"/>
  <c r="AZ27" i="16"/>
  <c r="O27" i="16"/>
  <c r="X13" i="16"/>
  <c r="O13" i="16"/>
  <c r="AY29" i="16"/>
  <c r="O29" i="16"/>
  <c r="V17" i="16"/>
  <c r="AF17" i="16" s="1"/>
  <c r="V14" i="16"/>
  <c r="AF14" i="16" s="1"/>
  <c r="AF16" i="16"/>
  <c r="AS16" i="16"/>
  <c r="Y40" i="16"/>
  <c r="AD40" i="16" s="1"/>
  <c r="Y38" i="16"/>
  <c r="AD38" i="16" s="1"/>
  <c r="Z39" i="16"/>
  <c r="Z41" i="16"/>
  <c r="Z44" i="16"/>
  <c r="Z37" i="16"/>
  <c r="Z43" i="16"/>
  <c r="Y42" i="16"/>
  <c r="AD42" i="16" s="1"/>
  <c r="Y46" i="16"/>
  <c r="AD46" i="16" s="1"/>
  <c r="Z45" i="16"/>
  <c r="AY27" i="16"/>
  <c r="AY35" i="16"/>
  <c r="AZ37" i="16"/>
  <c r="Z42" i="16"/>
  <c r="AZ25" i="16"/>
  <c r="AY31" i="16"/>
  <c r="Y45" i="16"/>
  <c r="AD45" i="16" s="1"/>
  <c r="AZ29" i="16"/>
  <c r="AY34" i="16"/>
  <c r="AY26" i="16"/>
  <c r="AZ30" i="16"/>
  <c r="AY33" i="16"/>
  <c r="Y39" i="16"/>
  <c r="AD39" i="16" s="1"/>
  <c r="Y43" i="16"/>
  <c r="AD43" i="16" s="1"/>
  <c r="Y41" i="16"/>
  <c r="AD41" i="16" s="1"/>
  <c r="Z46" i="16"/>
  <c r="Y44" i="16"/>
  <c r="AD44" i="16" s="1"/>
  <c r="Z38" i="16"/>
  <c r="Z40" i="16"/>
  <c r="AT23" i="16"/>
  <c r="Z23" i="16"/>
  <c r="CM23" i="16" s="1"/>
  <c r="AT35" i="16"/>
  <c r="AT27" i="16"/>
  <c r="AT42" i="16"/>
  <c r="AT34" i="16"/>
  <c r="AT45" i="16"/>
  <c r="AT39" i="16"/>
  <c r="AT31" i="16"/>
  <c r="AT26" i="16"/>
  <c r="AT37" i="16"/>
  <c r="AT28" i="16"/>
  <c r="AT41" i="16"/>
  <c r="AT40" i="16"/>
  <c r="AT29" i="16"/>
  <c r="AT46" i="16"/>
  <c r="AT44" i="16"/>
  <c r="Z31" i="16"/>
  <c r="CM31" i="16" s="1"/>
  <c r="Z34" i="16"/>
  <c r="AT33" i="16"/>
  <c r="AT38" i="16"/>
  <c r="Z26" i="16"/>
  <c r="CM26" i="16" s="1"/>
  <c r="AT43" i="16"/>
  <c r="AT25" i="16"/>
  <c r="AT30" i="16"/>
  <c r="AT36" i="16"/>
  <c r="Y27" i="16"/>
  <c r="AD27" i="16" s="1"/>
  <c r="Y28" i="16"/>
  <c r="AD28" i="16" s="1"/>
  <c r="Z27" i="16"/>
  <c r="CM27" i="16" s="1"/>
  <c r="Z28" i="16"/>
  <c r="CM28" i="16" s="1"/>
  <c r="Y29" i="16"/>
  <c r="AD29" i="16" s="1"/>
  <c r="Y25" i="16"/>
  <c r="AD25" i="16" s="1"/>
  <c r="Y23" i="16"/>
  <c r="AD23" i="16" s="1"/>
  <c r="Y26" i="16"/>
  <c r="AD26" i="16" s="1"/>
  <c r="Z25" i="16"/>
  <c r="CM25" i="16" s="1"/>
  <c r="Y30" i="16"/>
  <c r="AD30" i="16" s="1"/>
  <c r="Y31" i="16"/>
  <c r="AD31" i="16" s="1"/>
  <c r="Y35" i="16"/>
  <c r="AD35" i="16" s="1"/>
  <c r="Y36" i="16"/>
  <c r="AD36" i="16" s="1"/>
  <c r="Z35" i="16"/>
  <c r="Z36" i="16"/>
  <c r="Y37" i="16"/>
  <c r="AD37" i="16" s="1"/>
  <c r="Z29" i="16"/>
  <c r="CM29" i="16" s="1"/>
  <c r="Y33" i="16"/>
  <c r="AD33" i="16" s="1"/>
  <c r="Z30" i="16"/>
  <c r="CM30" i="16" s="1"/>
  <c r="Y34" i="16"/>
  <c r="AD34" i="16" s="1"/>
  <c r="Z33" i="16"/>
  <c r="Z14" i="16"/>
  <c r="CM14" i="16" s="1"/>
  <c r="Z10" i="16"/>
  <c r="CM10" i="16" s="1"/>
  <c r="Z21" i="16"/>
  <c r="CM21" i="16" s="1"/>
  <c r="Z12" i="16"/>
  <c r="CM12" i="16" s="1"/>
  <c r="Z18" i="16"/>
  <c r="CM18" i="16" s="1"/>
  <c r="Z8" i="16"/>
  <c r="CM8" i="16" s="1"/>
  <c r="Z6" i="16"/>
  <c r="CM6" i="16" s="1"/>
  <c r="Z15" i="16"/>
  <c r="CM15" i="16" s="1"/>
  <c r="Z16" i="16"/>
  <c r="CM16" i="16" s="1"/>
  <c r="Z11" i="16"/>
  <c r="CM11" i="16" s="1"/>
  <c r="Z5" i="16"/>
  <c r="CM5" i="16" s="1"/>
  <c r="Z22" i="16"/>
  <c r="CM22" i="16" s="1"/>
  <c r="Z19" i="16"/>
  <c r="CM19" i="16" s="1"/>
  <c r="Z7" i="16"/>
  <c r="CM7" i="16" s="1"/>
  <c r="Z9" i="16"/>
  <c r="CM9" i="16" s="1"/>
  <c r="Z17" i="16"/>
  <c r="CM17" i="16" s="1"/>
  <c r="Z13" i="16"/>
  <c r="CM13" i="16" s="1"/>
  <c r="P22" i="16"/>
  <c r="V22" i="16" s="1"/>
  <c r="U22" i="16" s="1"/>
  <c r="P19" i="16"/>
  <c r="P15" i="16"/>
  <c r="P21" i="16"/>
  <c r="P18" i="16"/>
  <c r="AU30" i="16"/>
  <c r="AU46" i="16"/>
  <c r="AZ36" i="16"/>
  <c r="AY36" i="16"/>
  <c r="AY23" i="16"/>
  <c r="AZ23" i="16"/>
  <c r="AY28" i="16"/>
  <c r="AZ28" i="16"/>
  <c r="AU25" i="16"/>
  <c r="AU23" i="16"/>
  <c r="AU28" i="16"/>
  <c r="AU38" i="16"/>
  <c r="AU36" i="16"/>
  <c r="AU44" i="16"/>
  <c r="AU34" i="16"/>
  <c r="AU45" i="16"/>
  <c r="AU42" i="16"/>
  <c r="AU27" i="16"/>
  <c r="AU37" i="16"/>
  <c r="AU29" i="16"/>
  <c r="AU41" i="16"/>
  <c r="AU26" i="16"/>
  <c r="AU40" i="16"/>
  <c r="AU43" i="16"/>
  <c r="AU39" i="16"/>
  <c r="AU35" i="16"/>
  <c r="AU33" i="16"/>
  <c r="AU31" i="16"/>
  <c r="P8" i="16"/>
  <c r="P6" i="16"/>
  <c r="P11" i="16"/>
  <c r="P12" i="16"/>
  <c r="P7" i="16"/>
  <c r="P10" i="16"/>
  <c r="P9" i="16"/>
  <c r="P5" i="16"/>
  <c r="P13" i="16"/>
  <c r="J15" i="57" l="1"/>
  <c r="J15" i="55"/>
  <c r="AE29" i="57"/>
  <c r="AF29" i="57" s="1"/>
  <c r="K175" i="17"/>
  <c r="K174" i="17"/>
  <c r="K172" i="17"/>
  <c r="K173" i="17"/>
  <c r="K177" i="17"/>
  <c r="K176" i="17"/>
  <c r="AE22" i="57"/>
  <c r="AF22" i="57" s="1"/>
  <c r="K135" i="17"/>
  <c r="Z135" i="17" s="1"/>
  <c r="K134" i="17"/>
  <c r="Z134" i="17" s="1"/>
  <c r="K132" i="17"/>
  <c r="Z132" i="17" s="1"/>
  <c r="K131" i="17"/>
  <c r="Z131" i="17" s="1"/>
  <c r="K133" i="17"/>
  <c r="Z133" i="17" s="1"/>
  <c r="K137" i="17"/>
  <c r="Z137" i="17" s="1"/>
  <c r="K136" i="17"/>
  <c r="Z136" i="17" s="1"/>
  <c r="AE16" i="57"/>
  <c r="AF16" i="57" s="1"/>
  <c r="K95" i="17"/>
  <c r="Z95" i="17" s="1"/>
  <c r="K98" i="17"/>
  <c r="Z98" i="17" s="1"/>
  <c r="K99" i="17"/>
  <c r="Z99" i="17" s="1"/>
  <c r="K97" i="17"/>
  <c r="Z97" i="17" s="1"/>
  <c r="K96" i="17"/>
  <c r="Z96" i="17" s="1"/>
  <c r="AE18" i="57"/>
  <c r="AF18" i="57" s="1"/>
  <c r="K108" i="17"/>
  <c r="Z108" i="17" s="1"/>
  <c r="K107" i="17"/>
  <c r="Z107" i="17" s="1"/>
  <c r="K106" i="17"/>
  <c r="Z106" i="17" s="1"/>
  <c r="K109" i="17"/>
  <c r="Z109" i="17" s="1"/>
  <c r="K105" i="17"/>
  <c r="Z105" i="17" s="1"/>
  <c r="AE28" i="57"/>
  <c r="AF28" i="57" s="1"/>
  <c r="K167" i="17"/>
  <c r="K171" i="17"/>
  <c r="K170" i="17"/>
  <c r="K169" i="17"/>
  <c r="K168" i="17"/>
  <c r="AE37" i="57"/>
  <c r="AF37" i="57" s="1"/>
  <c r="K215" i="17"/>
  <c r="K214" i="17"/>
  <c r="K219" i="17"/>
  <c r="K218" i="17"/>
  <c r="K216" i="17"/>
  <c r="K217" i="17"/>
  <c r="AE31" i="57"/>
  <c r="AF31" i="57" s="1"/>
  <c r="K183" i="17"/>
  <c r="K187" i="17"/>
  <c r="K186" i="17"/>
  <c r="K184" i="17"/>
  <c r="K185" i="17"/>
  <c r="AE26" i="57"/>
  <c r="AF26" i="57" s="1"/>
  <c r="K159" i="17"/>
  <c r="K158" i="17"/>
  <c r="K156" i="17"/>
  <c r="K157" i="17"/>
  <c r="K160" i="17"/>
  <c r="AE23" i="57"/>
  <c r="AF23" i="57" s="1"/>
  <c r="K143" i="17"/>
  <c r="Z143" i="17" s="1"/>
  <c r="K142" i="17"/>
  <c r="Z142" i="17" s="1"/>
  <c r="K140" i="17"/>
  <c r="Z140" i="17" s="1"/>
  <c r="K139" i="17"/>
  <c r="Z139" i="17" s="1"/>
  <c r="K138" i="17"/>
  <c r="Z138" i="17" s="1"/>
  <c r="K141" i="17"/>
  <c r="Z141" i="17" s="1"/>
  <c r="AE21" i="57"/>
  <c r="AF21" i="57" s="1"/>
  <c r="K127" i="17"/>
  <c r="Z127" i="17" s="1"/>
  <c r="K126" i="17"/>
  <c r="Z126" i="17" s="1"/>
  <c r="K124" i="17"/>
  <c r="Z124" i="17" s="1"/>
  <c r="K123" i="17"/>
  <c r="Z123" i="17" s="1"/>
  <c r="K130" i="17"/>
  <c r="Z130" i="17" s="1"/>
  <c r="K122" i="17"/>
  <c r="Z122" i="17" s="1"/>
  <c r="K129" i="17"/>
  <c r="Z129" i="17" s="1"/>
  <c r="K128" i="17"/>
  <c r="Z128" i="17" s="1"/>
  <c r="K125" i="17"/>
  <c r="Z125" i="17" s="1"/>
  <c r="K121" i="17"/>
  <c r="Z121" i="17" s="1"/>
  <c r="K199" i="17"/>
  <c r="K198" i="17"/>
  <c r="K202" i="17"/>
  <c r="K200" i="17"/>
  <c r="K201" i="17"/>
  <c r="AE38" i="57"/>
  <c r="AF38" i="57" s="1"/>
  <c r="K223" i="17"/>
  <c r="Z223" i="17" s="1"/>
  <c r="K222" i="17"/>
  <c r="Z222" i="17" s="1"/>
  <c r="K220" i="17"/>
  <c r="Z220" i="17" s="1"/>
  <c r="K224" i="17"/>
  <c r="Z224" i="17" s="1"/>
  <c r="K225" i="17"/>
  <c r="Z225" i="17" s="1"/>
  <c r="K221" i="17"/>
  <c r="Z221" i="17" s="1"/>
  <c r="AE39" i="57"/>
  <c r="AF39" i="57" s="1"/>
  <c r="K231" i="17"/>
  <c r="Z231" i="17" s="1"/>
  <c r="K230" i="17"/>
  <c r="Z230" i="17" s="1"/>
  <c r="K228" i="17"/>
  <c r="Z228" i="17" s="1"/>
  <c r="K227" i="17"/>
  <c r="Z227" i="17" s="1"/>
  <c r="K226" i="17"/>
  <c r="Z226" i="17" s="1"/>
  <c r="K229" i="17"/>
  <c r="Z229" i="17" s="1"/>
  <c r="AE33" i="57"/>
  <c r="AF33" i="57" s="1"/>
  <c r="K196" i="17"/>
  <c r="K195" i="17"/>
  <c r="K194" i="17"/>
  <c r="K193" i="17"/>
  <c r="K197" i="17"/>
  <c r="AE20" i="57"/>
  <c r="AF20" i="57" s="1"/>
  <c r="K119" i="17"/>
  <c r="Z119" i="17" s="1"/>
  <c r="K118" i="17"/>
  <c r="Z118" i="17" s="1"/>
  <c r="K116" i="17"/>
  <c r="Z116" i="17" s="1"/>
  <c r="K115" i="17"/>
  <c r="K117" i="17"/>
  <c r="Z117" i="17" s="1"/>
  <c r="K120" i="17"/>
  <c r="Z120" i="17" s="1"/>
  <c r="K212" i="17"/>
  <c r="K211" i="17"/>
  <c r="K210" i="17"/>
  <c r="K209" i="17"/>
  <c r="K213" i="17"/>
  <c r="K207" i="17"/>
  <c r="K206" i="17"/>
  <c r="K204" i="17"/>
  <c r="K203" i="17"/>
  <c r="K208" i="17"/>
  <c r="K205" i="17"/>
  <c r="AE27" i="57"/>
  <c r="AF27" i="57" s="1"/>
  <c r="K166" i="17"/>
  <c r="K164" i="17"/>
  <c r="K163" i="17"/>
  <c r="K162" i="17"/>
  <c r="K165" i="17"/>
  <c r="K161" i="17"/>
  <c r="AE24" i="57"/>
  <c r="AF24" i="57" s="1"/>
  <c r="K148" i="17"/>
  <c r="K147" i="17"/>
  <c r="K146" i="17"/>
  <c r="K145" i="17"/>
  <c r="K149" i="17"/>
  <c r="K144" i="17"/>
  <c r="AE30" i="57"/>
  <c r="AF30" i="57" s="1"/>
  <c r="K182" i="17"/>
  <c r="K180" i="17"/>
  <c r="K179" i="17"/>
  <c r="K178" i="17"/>
  <c r="K181" i="17"/>
  <c r="AE19" i="57"/>
  <c r="AF19" i="57" s="1"/>
  <c r="K111" i="17"/>
  <c r="K110" i="17"/>
  <c r="K114" i="17"/>
  <c r="K113" i="17"/>
  <c r="K112" i="17"/>
  <c r="AE32" i="57"/>
  <c r="AF32" i="57" s="1"/>
  <c r="K191" i="17"/>
  <c r="K190" i="17"/>
  <c r="K188" i="17"/>
  <c r="K192" i="17"/>
  <c r="K189" i="17"/>
  <c r="AF11" i="16"/>
  <c r="L64" i="17"/>
  <c r="AE64" i="17" s="1"/>
  <c r="AE35" i="55"/>
  <c r="AF35" i="55" s="1"/>
  <c r="AE35" i="57"/>
  <c r="AF35" i="57" s="1"/>
  <c r="AE36" i="55"/>
  <c r="AF36" i="55" s="1"/>
  <c r="AE36" i="57"/>
  <c r="AF36" i="57" s="1"/>
  <c r="AE34" i="55"/>
  <c r="AF34" i="55" s="1"/>
  <c r="AE34" i="57"/>
  <c r="AF34" i="57" s="1"/>
  <c r="BW25" i="16"/>
  <c r="AE18" i="55"/>
  <c r="AF18" i="55" s="1"/>
  <c r="BW36" i="16"/>
  <c r="AE29" i="55"/>
  <c r="AF29" i="55" s="1"/>
  <c r="BW29" i="16"/>
  <c r="AE22" i="55"/>
  <c r="AF22" i="55" s="1"/>
  <c r="BW34" i="16"/>
  <c r="AE27" i="55"/>
  <c r="AF27" i="55" s="1"/>
  <c r="BW35" i="16"/>
  <c r="AE28" i="55"/>
  <c r="AF28" i="55" s="1"/>
  <c r="BW44" i="16"/>
  <c r="AE37" i="55"/>
  <c r="AF37" i="55" s="1"/>
  <c r="BW37" i="16"/>
  <c r="AE30" i="55"/>
  <c r="AF30" i="55" s="1"/>
  <c r="BW31" i="16"/>
  <c r="AE24" i="55"/>
  <c r="AF24" i="55" s="1"/>
  <c r="BW38" i="16"/>
  <c r="AE31" i="55"/>
  <c r="AF31" i="55" s="1"/>
  <c r="BW26" i="16"/>
  <c r="AE19" i="55"/>
  <c r="AF19" i="55" s="1"/>
  <c r="BW33" i="16"/>
  <c r="AE26" i="55"/>
  <c r="AF26" i="55" s="1"/>
  <c r="BW30" i="16"/>
  <c r="AE23" i="55"/>
  <c r="AF23" i="55" s="1"/>
  <c r="BW28" i="16"/>
  <c r="AE21" i="55"/>
  <c r="AF21" i="55" s="1"/>
  <c r="BW40" i="16"/>
  <c r="AE33" i="55"/>
  <c r="AF33" i="55" s="1"/>
  <c r="BW27" i="16"/>
  <c r="AE20" i="55"/>
  <c r="AF20" i="55" s="1"/>
  <c r="BW39" i="16"/>
  <c r="AE32" i="55"/>
  <c r="AF32" i="55" s="1"/>
  <c r="BW23" i="16"/>
  <c r="AE16" i="55"/>
  <c r="AF16" i="55" s="1"/>
  <c r="L65" i="17"/>
  <c r="AB65" i="17" s="1"/>
  <c r="BW45" i="16"/>
  <c r="AE38" i="55"/>
  <c r="AF38" i="55" s="1"/>
  <c r="L47" i="17"/>
  <c r="AE47" i="17" s="1"/>
  <c r="L91" i="17"/>
  <c r="AE91" i="17" s="1"/>
  <c r="L2" i="17"/>
  <c r="L90" i="17"/>
  <c r="AE90" i="17" s="1"/>
  <c r="L63" i="17"/>
  <c r="AB63" i="17" s="1"/>
  <c r="AE89" i="17"/>
  <c r="L94" i="17"/>
  <c r="AE94" i="17" s="1"/>
  <c r="L93" i="17"/>
  <c r="AD93" i="17" s="1"/>
  <c r="L88" i="17"/>
  <c r="L58" i="17"/>
  <c r="AD58" i="17" s="1"/>
  <c r="L35" i="17"/>
  <c r="AD35" i="17" s="1"/>
  <c r="L6" i="17"/>
  <c r="BW46" i="16"/>
  <c r="AE39" i="55"/>
  <c r="AF39" i="55" s="1"/>
  <c r="L50" i="17"/>
  <c r="L4" i="17"/>
  <c r="L79" i="17"/>
  <c r="AE79" i="17" s="1"/>
  <c r="L5" i="17"/>
  <c r="L68" i="17"/>
  <c r="L60" i="17"/>
  <c r="L76" i="17"/>
  <c r="AB76" i="17" s="1"/>
  <c r="L48" i="17"/>
  <c r="AE48" i="17" s="1"/>
  <c r="L3" i="17"/>
  <c r="L59" i="17"/>
  <c r="L92" i="17"/>
  <c r="L36" i="17"/>
  <c r="L85" i="17"/>
  <c r="L49" i="17"/>
  <c r="AE49" i="17" s="1"/>
  <c r="L67" i="17"/>
  <c r="AD67" i="17" s="1"/>
  <c r="L38" i="17"/>
  <c r="AE38" i="17" s="1"/>
  <c r="L8" i="17"/>
  <c r="L55" i="17"/>
  <c r="AE55" i="17" s="1"/>
  <c r="L32" i="17"/>
  <c r="L75" i="17"/>
  <c r="L20" i="17"/>
  <c r="L72" i="17"/>
  <c r="AE72" i="17" s="1"/>
  <c r="L61" i="17"/>
  <c r="L87" i="17"/>
  <c r="L78" i="17"/>
  <c r="O41" i="17"/>
  <c r="X41" i="17"/>
  <c r="N41" i="17"/>
  <c r="AC41" i="17" s="1"/>
  <c r="X57" i="17"/>
  <c r="O57" i="17"/>
  <c r="N57" i="17"/>
  <c r="AC57" i="17" s="1"/>
  <c r="O70" i="17"/>
  <c r="X70" i="17"/>
  <c r="N70" i="17"/>
  <c r="AC70" i="17" s="1"/>
  <c r="AB89" i="17"/>
  <c r="O192" i="17"/>
  <c r="N192" i="17"/>
  <c r="AC192" i="17" s="1"/>
  <c r="X192" i="17"/>
  <c r="L192" i="17"/>
  <c r="O183" i="17"/>
  <c r="L183" i="17"/>
  <c r="N183" i="17"/>
  <c r="AC183" i="17" s="1"/>
  <c r="X183" i="17"/>
  <c r="O40" i="17"/>
  <c r="X40" i="17"/>
  <c r="N40" i="17"/>
  <c r="AC40" i="17" s="1"/>
  <c r="O174" i="17"/>
  <c r="N174" i="17"/>
  <c r="AC174" i="17" s="1"/>
  <c r="L174" i="17"/>
  <c r="X174" i="17"/>
  <c r="O111" i="17"/>
  <c r="L111" i="17"/>
  <c r="X111" i="17"/>
  <c r="N111" i="17"/>
  <c r="AC111" i="17" s="1"/>
  <c r="O43" i="17"/>
  <c r="N43" i="17"/>
  <c r="AC43" i="17" s="1"/>
  <c r="X43" i="17"/>
  <c r="O216" i="17"/>
  <c r="N216" i="17"/>
  <c r="AC216" i="17" s="1"/>
  <c r="X216" i="17"/>
  <c r="L216" i="17"/>
  <c r="O31" i="17"/>
  <c r="X31" i="17"/>
  <c r="O162" i="17"/>
  <c r="L162" i="17"/>
  <c r="N162" i="17"/>
  <c r="AC162" i="17" s="1"/>
  <c r="X162" i="17"/>
  <c r="X117" i="17"/>
  <c r="L117" i="17"/>
  <c r="N117" i="17"/>
  <c r="AC117" i="17" s="1"/>
  <c r="O117" i="17"/>
  <c r="L30" i="17"/>
  <c r="O55" i="17"/>
  <c r="X55" i="17"/>
  <c r="O50" i="17"/>
  <c r="X50" i="17"/>
  <c r="N50" i="17"/>
  <c r="AC50" i="17" s="1"/>
  <c r="O167" i="17"/>
  <c r="L167" i="17"/>
  <c r="N167" i="17"/>
  <c r="AC167" i="17" s="1"/>
  <c r="X167" i="17"/>
  <c r="L42" i="17"/>
  <c r="O202" i="17"/>
  <c r="L202" i="17"/>
  <c r="N202" i="17"/>
  <c r="AC202" i="17" s="1"/>
  <c r="X202" i="17"/>
  <c r="X96" i="17"/>
  <c r="O96" i="17"/>
  <c r="L96" i="17"/>
  <c r="L11" i="17"/>
  <c r="X124" i="17"/>
  <c r="N124" i="17"/>
  <c r="AC124" i="17" s="1"/>
  <c r="O124" i="17"/>
  <c r="L124" i="17"/>
  <c r="O60" i="17"/>
  <c r="X60" i="17"/>
  <c r="L52" i="17"/>
  <c r="O156" i="17"/>
  <c r="X156" i="17"/>
  <c r="N156" i="17"/>
  <c r="AC156" i="17" s="1"/>
  <c r="L156" i="17"/>
  <c r="O65" i="17"/>
  <c r="N65" i="17"/>
  <c r="AC65" i="17" s="1"/>
  <c r="X65" i="17"/>
  <c r="L15" i="17"/>
  <c r="O210" i="17"/>
  <c r="N210" i="17"/>
  <c r="AC210" i="17" s="1"/>
  <c r="X210" i="17"/>
  <c r="L210" i="17"/>
  <c r="O137" i="17"/>
  <c r="N137" i="17"/>
  <c r="AC137" i="17" s="1"/>
  <c r="L137" i="17"/>
  <c r="X137" i="17"/>
  <c r="X75" i="17"/>
  <c r="O75" i="17"/>
  <c r="X207" i="17"/>
  <c r="L207" i="17"/>
  <c r="N207" i="17"/>
  <c r="AC207" i="17" s="1"/>
  <c r="O207" i="17"/>
  <c r="O182" i="17"/>
  <c r="N182" i="17"/>
  <c r="AC182" i="17" s="1"/>
  <c r="L182" i="17"/>
  <c r="X182" i="17"/>
  <c r="L70" i="17"/>
  <c r="O22" i="17"/>
  <c r="L22" i="17"/>
  <c r="O28" i="17"/>
  <c r="X28" i="17"/>
  <c r="O51" i="17"/>
  <c r="N51" i="17"/>
  <c r="AC51" i="17" s="1"/>
  <c r="X51" i="17"/>
  <c r="X133" i="17"/>
  <c r="AH133" i="17" s="1"/>
  <c r="L133" i="17"/>
  <c r="N133" i="17"/>
  <c r="AC133" i="17" s="1"/>
  <c r="O133" i="17"/>
  <c r="N188" i="17"/>
  <c r="AC188" i="17" s="1"/>
  <c r="L188" i="17"/>
  <c r="O188" i="17"/>
  <c r="X188" i="17"/>
  <c r="X184" i="17"/>
  <c r="L184" i="17"/>
  <c r="O184" i="17"/>
  <c r="N184" i="17"/>
  <c r="AC184" i="17" s="1"/>
  <c r="X37" i="17"/>
  <c r="O37" i="17"/>
  <c r="N37" i="17"/>
  <c r="AC37" i="17" s="1"/>
  <c r="O177" i="17"/>
  <c r="N177" i="17"/>
  <c r="AC177" i="17" s="1"/>
  <c r="L177" i="17"/>
  <c r="X177" i="17"/>
  <c r="L66" i="17"/>
  <c r="O24" i="17"/>
  <c r="L24" i="17"/>
  <c r="O44" i="17"/>
  <c r="X44" i="17"/>
  <c r="N44" i="17"/>
  <c r="AC44" i="17" s="1"/>
  <c r="X217" i="17"/>
  <c r="L217" i="17"/>
  <c r="O217" i="17"/>
  <c r="N217" i="17"/>
  <c r="AC217" i="17" s="1"/>
  <c r="O27" i="17"/>
  <c r="X27" i="17"/>
  <c r="L163" i="17"/>
  <c r="N163" i="17"/>
  <c r="AC163" i="17" s="1"/>
  <c r="O163" i="17"/>
  <c r="X163" i="17"/>
  <c r="L119" i="17"/>
  <c r="X119" i="17"/>
  <c r="N119" i="17"/>
  <c r="AC119" i="17" s="1"/>
  <c r="O119" i="17"/>
  <c r="L62" i="17"/>
  <c r="L27" i="17"/>
  <c r="O56" i="17"/>
  <c r="N56" i="17"/>
  <c r="AC56" i="17" s="1"/>
  <c r="X56" i="17"/>
  <c r="X49" i="17"/>
  <c r="O49" i="17"/>
  <c r="L168" i="17"/>
  <c r="N168" i="17"/>
  <c r="AC168" i="17" s="1"/>
  <c r="O168" i="17"/>
  <c r="X168" i="17"/>
  <c r="L43" i="17"/>
  <c r="L97" i="17"/>
  <c r="X97" i="17"/>
  <c r="O97" i="17"/>
  <c r="L7" i="17"/>
  <c r="X128" i="17"/>
  <c r="L128" i="17"/>
  <c r="N128" i="17"/>
  <c r="AC128" i="17" s="1"/>
  <c r="O128" i="17"/>
  <c r="O61" i="17"/>
  <c r="X61" i="17"/>
  <c r="N61" i="17"/>
  <c r="AC61" i="17" s="1"/>
  <c r="L53" i="17"/>
  <c r="O159" i="17"/>
  <c r="X159" i="17"/>
  <c r="L159" i="17"/>
  <c r="N159" i="17"/>
  <c r="AC159" i="17" s="1"/>
  <c r="O64" i="17"/>
  <c r="X64" i="17"/>
  <c r="L16" i="17"/>
  <c r="X132" i="17"/>
  <c r="O132" i="17"/>
  <c r="N132" i="17"/>
  <c r="AC132" i="17" s="1"/>
  <c r="L132" i="17"/>
  <c r="X76" i="17"/>
  <c r="O76" i="17"/>
  <c r="L19" i="17"/>
  <c r="O208" i="17"/>
  <c r="N208" i="17"/>
  <c r="AC208" i="17" s="1"/>
  <c r="X208" i="17"/>
  <c r="L208" i="17"/>
  <c r="O148" i="17"/>
  <c r="N148" i="17"/>
  <c r="AC148" i="17" s="1"/>
  <c r="L148" i="17"/>
  <c r="X148" i="17"/>
  <c r="L71" i="17"/>
  <c r="O142" i="17"/>
  <c r="L142" i="17"/>
  <c r="N142" i="17"/>
  <c r="AC142" i="17" s="1"/>
  <c r="X142" i="17"/>
  <c r="O226" i="17"/>
  <c r="N226" i="17"/>
  <c r="AC226" i="17" s="1"/>
  <c r="L226" i="17"/>
  <c r="AD226" i="17" s="1"/>
  <c r="X226" i="17"/>
  <c r="O125" i="17"/>
  <c r="N125" i="17"/>
  <c r="AC125" i="17" s="1"/>
  <c r="L125" i="17"/>
  <c r="X125" i="17"/>
  <c r="O190" i="17"/>
  <c r="X190" i="17"/>
  <c r="L190" i="17"/>
  <c r="N190" i="17"/>
  <c r="AC190" i="17" s="1"/>
  <c r="O194" i="17"/>
  <c r="X194" i="17"/>
  <c r="L194" i="17"/>
  <c r="N194" i="17"/>
  <c r="AC194" i="17" s="1"/>
  <c r="X38" i="17"/>
  <c r="O38" i="17"/>
  <c r="N143" i="17"/>
  <c r="AC143" i="17" s="1"/>
  <c r="X143" i="17"/>
  <c r="O143" i="17"/>
  <c r="L143" i="17"/>
  <c r="O23" i="17"/>
  <c r="L23" i="17"/>
  <c r="O46" i="17"/>
  <c r="X46" i="17"/>
  <c r="O230" i="17"/>
  <c r="L230" i="17"/>
  <c r="N230" i="17"/>
  <c r="AC230" i="17" s="1"/>
  <c r="X230" i="17"/>
  <c r="O29" i="17"/>
  <c r="X29" i="17"/>
  <c r="O32" i="17"/>
  <c r="X32" i="17"/>
  <c r="L118" i="17"/>
  <c r="X118" i="17"/>
  <c r="N118" i="17"/>
  <c r="AC118" i="17" s="1"/>
  <c r="O118" i="17"/>
  <c r="O220" i="17"/>
  <c r="N220" i="17"/>
  <c r="AC220" i="17" s="1"/>
  <c r="X220" i="17"/>
  <c r="L220" i="17"/>
  <c r="AD220" i="17" s="1"/>
  <c r="O52" i="17"/>
  <c r="N52" i="17"/>
  <c r="AC52" i="17" s="1"/>
  <c r="X52" i="17"/>
  <c r="O109" i="17"/>
  <c r="X109" i="17"/>
  <c r="L109" i="17"/>
  <c r="N109" i="17"/>
  <c r="AC109" i="17" s="1"/>
  <c r="O170" i="17"/>
  <c r="N170" i="17"/>
  <c r="AC170" i="17" s="1"/>
  <c r="L170" i="17"/>
  <c r="X170" i="17"/>
  <c r="L37" i="17"/>
  <c r="L99" i="17"/>
  <c r="O99" i="17"/>
  <c r="X99" i="17"/>
  <c r="AH99" i="17" s="1"/>
  <c r="O71" i="17"/>
  <c r="N71" i="17"/>
  <c r="AC71" i="17" s="1"/>
  <c r="X71" i="17"/>
  <c r="L9" i="17"/>
  <c r="O122" i="17"/>
  <c r="X122" i="17"/>
  <c r="L122" i="17"/>
  <c r="N122" i="17"/>
  <c r="AC122" i="17" s="1"/>
  <c r="N129" i="17"/>
  <c r="AC129" i="17" s="1"/>
  <c r="L129" i="17"/>
  <c r="O129" i="17"/>
  <c r="X129" i="17"/>
  <c r="O93" i="17"/>
  <c r="X93" i="17"/>
  <c r="L56" i="17"/>
  <c r="N60" i="17"/>
  <c r="AC60" i="17" s="1"/>
  <c r="X86" i="17"/>
  <c r="O86" i="17"/>
  <c r="O67" i="17"/>
  <c r="X67" i="17"/>
  <c r="N67" i="17"/>
  <c r="AC67" i="17" s="1"/>
  <c r="N46" i="17"/>
  <c r="AC46" i="17" s="1"/>
  <c r="O134" i="17"/>
  <c r="L134" i="17"/>
  <c r="N134" i="17"/>
  <c r="AC134" i="17" s="1"/>
  <c r="X134" i="17"/>
  <c r="L21" i="17"/>
  <c r="O204" i="17"/>
  <c r="L204" i="17"/>
  <c r="X204" i="17"/>
  <c r="N204" i="17"/>
  <c r="AC204" i="17" s="1"/>
  <c r="O144" i="17"/>
  <c r="L144" i="17"/>
  <c r="X144" i="17"/>
  <c r="N144" i="17"/>
  <c r="AC144" i="17" s="1"/>
  <c r="L73" i="17"/>
  <c r="O189" i="17"/>
  <c r="L189" i="17"/>
  <c r="N189" i="17"/>
  <c r="AC189" i="17" s="1"/>
  <c r="X189" i="17"/>
  <c r="O223" i="17"/>
  <c r="N223" i="17"/>
  <c r="AC223" i="17" s="1"/>
  <c r="L223" i="17"/>
  <c r="X223" i="17"/>
  <c r="X98" i="17"/>
  <c r="AH98" i="17" s="1"/>
  <c r="L98" i="17"/>
  <c r="O98" i="17"/>
  <c r="O62" i="17"/>
  <c r="N62" i="17"/>
  <c r="AC62" i="17" s="1"/>
  <c r="X62" i="17"/>
  <c r="O66" i="17"/>
  <c r="X66" i="17"/>
  <c r="N66" i="17"/>
  <c r="AC66" i="17" s="1"/>
  <c r="X77" i="17"/>
  <c r="O77" i="17"/>
  <c r="O191" i="17"/>
  <c r="N191" i="17"/>
  <c r="AC191" i="17" s="1"/>
  <c r="L191" i="17"/>
  <c r="X191" i="17"/>
  <c r="X193" i="17"/>
  <c r="N193" i="17"/>
  <c r="AC193" i="17" s="1"/>
  <c r="L193" i="17"/>
  <c r="O193" i="17"/>
  <c r="O172" i="17"/>
  <c r="N172" i="17"/>
  <c r="AC172" i="17" s="1"/>
  <c r="L172" i="17"/>
  <c r="X172" i="17"/>
  <c r="O138" i="17"/>
  <c r="X138" i="17"/>
  <c r="N138" i="17"/>
  <c r="AC138" i="17" s="1"/>
  <c r="L138" i="17"/>
  <c r="L51" i="17"/>
  <c r="O110" i="17"/>
  <c r="L110" i="17"/>
  <c r="N110" i="17"/>
  <c r="AC110" i="17" s="1"/>
  <c r="X110" i="17"/>
  <c r="O25" i="17"/>
  <c r="L25" i="17"/>
  <c r="O218" i="17"/>
  <c r="N218" i="17"/>
  <c r="AC218" i="17" s="1"/>
  <c r="X218" i="17"/>
  <c r="L218" i="17"/>
  <c r="X227" i="17"/>
  <c r="O227" i="17"/>
  <c r="N227" i="17"/>
  <c r="AC227" i="17" s="1"/>
  <c r="L227" i="17"/>
  <c r="AD227" i="17" s="1"/>
  <c r="O30" i="17"/>
  <c r="X30" i="17"/>
  <c r="O33" i="17"/>
  <c r="X33" i="17"/>
  <c r="O116" i="17"/>
  <c r="L116" i="17"/>
  <c r="N116" i="17"/>
  <c r="AC116" i="17" s="1"/>
  <c r="X116" i="17"/>
  <c r="O224" i="17"/>
  <c r="X224" i="17"/>
  <c r="N224" i="17"/>
  <c r="AC224" i="17" s="1"/>
  <c r="L224" i="17"/>
  <c r="O53" i="17"/>
  <c r="X53" i="17"/>
  <c r="N53" i="17"/>
  <c r="AC53" i="17" s="1"/>
  <c r="O105" i="17"/>
  <c r="L105" i="17"/>
  <c r="X105" i="17"/>
  <c r="N105" i="17"/>
  <c r="AC105" i="17" s="1"/>
  <c r="O171" i="17"/>
  <c r="L171" i="17"/>
  <c r="N171" i="17"/>
  <c r="AC171" i="17" s="1"/>
  <c r="X171" i="17"/>
  <c r="L39" i="17"/>
  <c r="X199" i="17"/>
  <c r="O199" i="17"/>
  <c r="L199" i="17"/>
  <c r="N199" i="17"/>
  <c r="AC199" i="17" s="1"/>
  <c r="O73" i="17"/>
  <c r="X73" i="17"/>
  <c r="N73" i="17"/>
  <c r="AC73" i="17" s="1"/>
  <c r="L10" i="17"/>
  <c r="O130" i="17"/>
  <c r="N130" i="17"/>
  <c r="AC130" i="17" s="1"/>
  <c r="L130" i="17"/>
  <c r="X130" i="17"/>
  <c r="N126" i="17"/>
  <c r="AC126" i="17" s="1"/>
  <c r="X126" i="17"/>
  <c r="L126" i="17"/>
  <c r="O126" i="17"/>
  <c r="X94" i="17"/>
  <c r="AH94" i="17" s="1"/>
  <c r="O94" i="17"/>
  <c r="L57" i="17"/>
  <c r="N49" i="17"/>
  <c r="AC49" i="17" s="1"/>
  <c r="X87" i="17"/>
  <c r="O87" i="17"/>
  <c r="O68" i="17"/>
  <c r="X68" i="17"/>
  <c r="N68" i="17"/>
  <c r="AC68" i="17" s="1"/>
  <c r="X213" i="17"/>
  <c r="L213" i="17"/>
  <c r="N213" i="17"/>
  <c r="AC213" i="17" s="1"/>
  <c r="O213" i="17"/>
  <c r="N131" i="17"/>
  <c r="AC131" i="17" s="1"/>
  <c r="O131" i="17"/>
  <c r="X131" i="17"/>
  <c r="L131" i="17"/>
  <c r="L17" i="17"/>
  <c r="N178" i="17"/>
  <c r="AC178" i="17" s="1"/>
  <c r="O178" i="17"/>
  <c r="X178" i="17"/>
  <c r="L178" i="17"/>
  <c r="O145" i="17"/>
  <c r="N145" i="17"/>
  <c r="AC145" i="17" s="1"/>
  <c r="L145" i="17"/>
  <c r="X145" i="17"/>
  <c r="L74" i="17"/>
  <c r="O164" i="17"/>
  <c r="N164" i="17"/>
  <c r="AC164" i="17" s="1"/>
  <c r="X164" i="17"/>
  <c r="L164" i="17"/>
  <c r="O169" i="17"/>
  <c r="X169" i="17"/>
  <c r="N169" i="17"/>
  <c r="AC169" i="17" s="1"/>
  <c r="L169" i="17"/>
  <c r="O185" i="17"/>
  <c r="N185" i="17"/>
  <c r="AC185" i="17" s="1"/>
  <c r="X185" i="17"/>
  <c r="L185" i="17"/>
  <c r="X195" i="17"/>
  <c r="O195" i="17"/>
  <c r="L195" i="17"/>
  <c r="N195" i="17"/>
  <c r="AC195" i="17" s="1"/>
  <c r="O173" i="17"/>
  <c r="X173" i="17"/>
  <c r="N173" i="17"/>
  <c r="AC173" i="17" s="1"/>
  <c r="L173" i="17"/>
  <c r="X139" i="17"/>
  <c r="N139" i="17"/>
  <c r="AC139" i="17" s="1"/>
  <c r="L139" i="17"/>
  <c r="O139" i="17"/>
  <c r="O112" i="17"/>
  <c r="L112" i="17"/>
  <c r="N112" i="17"/>
  <c r="AC112" i="17" s="1"/>
  <c r="X112" i="17"/>
  <c r="O26" i="17"/>
  <c r="L26" i="17"/>
  <c r="X219" i="17"/>
  <c r="O219" i="17"/>
  <c r="N219" i="17"/>
  <c r="AC219" i="17" s="1"/>
  <c r="L219" i="17"/>
  <c r="X231" i="17"/>
  <c r="AH231" i="17" s="1"/>
  <c r="N231" i="17"/>
  <c r="AC231" i="17" s="1"/>
  <c r="L231" i="17"/>
  <c r="O231" i="17"/>
  <c r="O161" i="17"/>
  <c r="X161" i="17"/>
  <c r="L161" i="17"/>
  <c r="N161" i="17"/>
  <c r="AC161" i="17" s="1"/>
  <c r="O34" i="17"/>
  <c r="X34" i="17"/>
  <c r="O120" i="17"/>
  <c r="X120" i="17"/>
  <c r="N120" i="17"/>
  <c r="AC120" i="17" s="1"/>
  <c r="L120" i="17"/>
  <c r="L28" i="17"/>
  <c r="X221" i="17"/>
  <c r="O221" i="17"/>
  <c r="L221" i="17"/>
  <c r="AD221" i="17" s="1"/>
  <c r="N221" i="17"/>
  <c r="AC221" i="17" s="1"/>
  <c r="O54" i="17"/>
  <c r="N54" i="17"/>
  <c r="AC54" i="17" s="1"/>
  <c r="X54" i="17"/>
  <c r="O106" i="17"/>
  <c r="X106" i="17"/>
  <c r="L106" i="17"/>
  <c r="N106" i="17"/>
  <c r="AC106" i="17" s="1"/>
  <c r="L44" i="17"/>
  <c r="L40" i="17"/>
  <c r="O198" i="17"/>
  <c r="X198" i="17"/>
  <c r="L198" i="17"/>
  <c r="N198" i="17"/>
  <c r="AC198" i="17" s="1"/>
  <c r="O74" i="17"/>
  <c r="X74" i="17"/>
  <c r="O121" i="17"/>
  <c r="N121" i="17"/>
  <c r="AC121" i="17" s="1"/>
  <c r="X121" i="17"/>
  <c r="L121" i="17"/>
  <c r="O63" i="17"/>
  <c r="X63" i="17"/>
  <c r="O90" i="17"/>
  <c r="X90" i="17"/>
  <c r="AH90" i="17" s="1"/>
  <c r="L54" i="17"/>
  <c r="O160" i="17"/>
  <c r="X160" i="17"/>
  <c r="N160" i="17"/>
  <c r="AC160" i="17" s="1"/>
  <c r="L160" i="17"/>
  <c r="X89" i="17"/>
  <c r="O89" i="17"/>
  <c r="L12" i="17"/>
  <c r="X211" i="17"/>
  <c r="L211" i="17"/>
  <c r="O211" i="17"/>
  <c r="N211" i="17"/>
  <c r="AC211" i="17" s="1"/>
  <c r="L77" i="17"/>
  <c r="X135" i="17"/>
  <c r="N135" i="17"/>
  <c r="AC135" i="17" s="1"/>
  <c r="L135" i="17"/>
  <c r="O135" i="17"/>
  <c r="L18" i="17"/>
  <c r="O179" i="17"/>
  <c r="L179" i="17"/>
  <c r="N179" i="17"/>
  <c r="AC179" i="17" s="1"/>
  <c r="X179" i="17"/>
  <c r="O146" i="17"/>
  <c r="X146" i="17"/>
  <c r="N146" i="17"/>
  <c r="AC146" i="17" s="1"/>
  <c r="L146" i="17"/>
  <c r="N38" i="17"/>
  <c r="AC38" i="17" s="1"/>
  <c r="O149" i="17"/>
  <c r="X149" i="17"/>
  <c r="N149" i="17"/>
  <c r="AC149" i="17" s="1"/>
  <c r="L149" i="17"/>
  <c r="O187" i="17"/>
  <c r="N187" i="17"/>
  <c r="AC187" i="17" s="1"/>
  <c r="X187" i="17"/>
  <c r="L187" i="17"/>
  <c r="O196" i="17"/>
  <c r="X196" i="17"/>
  <c r="AH196" i="17" s="1"/>
  <c r="N196" i="17"/>
  <c r="AC196" i="17" s="1"/>
  <c r="L196" i="17"/>
  <c r="O175" i="17"/>
  <c r="N175" i="17"/>
  <c r="AC175" i="17" s="1"/>
  <c r="L175" i="17"/>
  <c r="X175" i="17"/>
  <c r="L140" i="17"/>
  <c r="O140" i="17"/>
  <c r="X140" i="17"/>
  <c r="N140" i="17"/>
  <c r="AC140" i="17" s="1"/>
  <c r="O113" i="17"/>
  <c r="X113" i="17"/>
  <c r="L113" i="17"/>
  <c r="N113" i="17"/>
  <c r="AC113" i="17" s="1"/>
  <c r="L33" i="17"/>
  <c r="O214" i="17"/>
  <c r="L214" i="17"/>
  <c r="N214" i="17"/>
  <c r="AC214" i="17" s="1"/>
  <c r="X214" i="17"/>
  <c r="O228" i="17"/>
  <c r="X228" i="17"/>
  <c r="L228" i="17"/>
  <c r="AD228" i="17" s="1"/>
  <c r="N228" i="17"/>
  <c r="AC228" i="17" s="1"/>
  <c r="O165" i="17"/>
  <c r="N165" i="17"/>
  <c r="AC165" i="17" s="1"/>
  <c r="L165" i="17"/>
  <c r="X165" i="17"/>
  <c r="O35" i="17"/>
  <c r="X35" i="17"/>
  <c r="L29" i="17"/>
  <c r="X225" i="17"/>
  <c r="AH225" i="17" s="1"/>
  <c r="O225" i="17"/>
  <c r="L225" i="17"/>
  <c r="N225" i="17"/>
  <c r="AC225" i="17" s="1"/>
  <c r="X47" i="17"/>
  <c r="O47" i="17"/>
  <c r="X107" i="17"/>
  <c r="N107" i="17"/>
  <c r="AC107" i="17" s="1"/>
  <c r="O107" i="17"/>
  <c r="L107" i="17"/>
  <c r="L46" i="17"/>
  <c r="L41" i="17"/>
  <c r="O200" i="17"/>
  <c r="N200" i="17"/>
  <c r="AC200" i="17" s="1"/>
  <c r="L200" i="17"/>
  <c r="X200" i="17"/>
  <c r="O69" i="17"/>
  <c r="X69" i="17"/>
  <c r="AH69" i="17" s="1"/>
  <c r="N69" i="17"/>
  <c r="AC69" i="17" s="1"/>
  <c r="O127" i="17"/>
  <c r="N127" i="17"/>
  <c r="AC127" i="17" s="1"/>
  <c r="X127" i="17"/>
  <c r="L127" i="17"/>
  <c r="O58" i="17"/>
  <c r="N58" i="17"/>
  <c r="AC58" i="17" s="1"/>
  <c r="X58" i="17"/>
  <c r="X91" i="17"/>
  <c r="O91" i="17"/>
  <c r="O157" i="17"/>
  <c r="L157" i="17"/>
  <c r="N157" i="17"/>
  <c r="AC157" i="17" s="1"/>
  <c r="X157" i="17"/>
  <c r="X88" i="17"/>
  <c r="AH88" i="17" s="1"/>
  <c r="O88" i="17"/>
  <c r="L13" i="17"/>
  <c r="O212" i="17"/>
  <c r="N212" i="17"/>
  <c r="AC212" i="17" s="1"/>
  <c r="X212" i="17"/>
  <c r="L212" i="17"/>
  <c r="N47" i="17"/>
  <c r="AC47" i="17" s="1"/>
  <c r="X78" i="17"/>
  <c r="O78" i="17"/>
  <c r="X205" i="17"/>
  <c r="L205" i="17"/>
  <c r="N205" i="17"/>
  <c r="AC205" i="17" s="1"/>
  <c r="O205" i="17"/>
  <c r="O181" i="17"/>
  <c r="X181" i="17"/>
  <c r="N181" i="17"/>
  <c r="AC181" i="17" s="1"/>
  <c r="L181" i="17"/>
  <c r="O147" i="17"/>
  <c r="L147" i="17"/>
  <c r="X147" i="17"/>
  <c r="N147" i="17"/>
  <c r="AC147" i="17" s="1"/>
  <c r="N64" i="17"/>
  <c r="AC64" i="17" s="1"/>
  <c r="X197" i="17"/>
  <c r="L197" i="17"/>
  <c r="N197" i="17"/>
  <c r="AC197" i="17" s="1"/>
  <c r="O197" i="17"/>
  <c r="X45" i="17"/>
  <c r="O45" i="17"/>
  <c r="N45" i="17"/>
  <c r="AC45" i="17" s="1"/>
  <c r="X115" i="17"/>
  <c r="O115" i="17"/>
  <c r="L115" i="17"/>
  <c r="N115" i="17"/>
  <c r="AC115" i="17" s="1"/>
  <c r="N203" i="17"/>
  <c r="AC203" i="17" s="1"/>
  <c r="X203" i="17"/>
  <c r="O203" i="17"/>
  <c r="L203" i="17"/>
  <c r="N186" i="17"/>
  <c r="AC186" i="17" s="1"/>
  <c r="X186" i="17"/>
  <c r="AH186" i="17" s="1"/>
  <c r="L186" i="17"/>
  <c r="O186" i="17"/>
  <c r="O39" i="17"/>
  <c r="N39" i="17"/>
  <c r="AC39" i="17" s="1"/>
  <c r="X39" i="17"/>
  <c r="O176" i="17"/>
  <c r="N176" i="17"/>
  <c r="AC176" i="17" s="1"/>
  <c r="X176" i="17"/>
  <c r="L176" i="17"/>
  <c r="O141" i="17"/>
  <c r="L141" i="17"/>
  <c r="X141" i="17"/>
  <c r="N141" i="17"/>
  <c r="AC141" i="17" s="1"/>
  <c r="O114" i="17"/>
  <c r="L114" i="17"/>
  <c r="N114" i="17"/>
  <c r="AC114" i="17" s="1"/>
  <c r="X114" i="17"/>
  <c r="O42" i="17"/>
  <c r="N42" i="17"/>
  <c r="AC42" i="17" s="1"/>
  <c r="X42" i="17"/>
  <c r="L34" i="17"/>
  <c r="X215" i="17"/>
  <c r="N215" i="17"/>
  <c r="AC215" i="17" s="1"/>
  <c r="O215" i="17"/>
  <c r="L215" i="17"/>
  <c r="X229" i="17"/>
  <c r="L229" i="17"/>
  <c r="N229" i="17"/>
  <c r="AC229" i="17" s="1"/>
  <c r="O229" i="17"/>
  <c r="O166" i="17"/>
  <c r="N166" i="17"/>
  <c r="AC166" i="17" s="1"/>
  <c r="X166" i="17"/>
  <c r="L166" i="17"/>
  <c r="O36" i="17"/>
  <c r="X36" i="17"/>
  <c r="L31" i="17"/>
  <c r="O222" i="17"/>
  <c r="X222" i="17"/>
  <c r="N222" i="17"/>
  <c r="AC222" i="17" s="1"/>
  <c r="L222" i="17"/>
  <c r="AD222" i="17" s="1"/>
  <c r="O48" i="17"/>
  <c r="N48" i="17"/>
  <c r="AC48" i="17" s="1"/>
  <c r="X48" i="17"/>
  <c r="O108" i="17"/>
  <c r="X108" i="17"/>
  <c r="N108" i="17"/>
  <c r="AC108" i="17" s="1"/>
  <c r="L108" i="17"/>
  <c r="L45" i="17"/>
  <c r="X201" i="17"/>
  <c r="AH201" i="17" s="1"/>
  <c r="N201" i="17"/>
  <c r="AC201" i="17" s="1"/>
  <c r="L201" i="17"/>
  <c r="O201" i="17"/>
  <c r="X95" i="17"/>
  <c r="L95" i="17"/>
  <c r="O95" i="17"/>
  <c r="O72" i="17"/>
  <c r="X72" i="17"/>
  <c r="N72" i="17"/>
  <c r="AC72" i="17" s="1"/>
  <c r="O123" i="17"/>
  <c r="X123" i="17"/>
  <c r="N123" i="17"/>
  <c r="AC123" i="17" s="1"/>
  <c r="L123" i="17"/>
  <c r="O59" i="17"/>
  <c r="X59" i="17"/>
  <c r="N59" i="17"/>
  <c r="AC59" i="17" s="1"/>
  <c r="O92" i="17"/>
  <c r="X92" i="17"/>
  <c r="L86" i="17"/>
  <c r="O158" i="17"/>
  <c r="N158" i="17"/>
  <c r="AC158" i="17" s="1"/>
  <c r="L158" i="17"/>
  <c r="X158" i="17"/>
  <c r="X85" i="17"/>
  <c r="O85" i="17"/>
  <c r="L14" i="17"/>
  <c r="X209" i="17"/>
  <c r="O209" i="17"/>
  <c r="N209" i="17"/>
  <c r="AC209" i="17" s="1"/>
  <c r="L209" i="17"/>
  <c r="X136" i="17"/>
  <c r="L136" i="17"/>
  <c r="N136" i="17"/>
  <c r="AC136" i="17" s="1"/>
  <c r="O136" i="17"/>
  <c r="X79" i="17"/>
  <c r="O79" i="17"/>
  <c r="O206" i="17"/>
  <c r="L206" i="17"/>
  <c r="N206" i="17"/>
  <c r="AC206" i="17" s="1"/>
  <c r="X206" i="17"/>
  <c r="O180" i="17"/>
  <c r="X180" i="17"/>
  <c r="N180" i="17"/>
  <c r="AC180" i="17" s="1"/>
  <c r="L180" i="17"/>
  <c r="L69" i="17"/>
  <c r="N74" i="17"/>
  <c r="AC74" i="17" s="1"/>
  <c r="BH36" i="16"/>
  <c r="BH29" i="16"/>
  <c r="BH23" i="16"/>
  <c r="BH35" i="16"/>
  <c r="BH25" i="16"/>
  <c r="BH34" i="16"/>
  <c r="D27" i="44"/>
  <c r="D26" i="44"/>
  <c r="D23" i="44"/>
  <c r="D33" i="44"/>
  <c r="D25" i="44"/>
  <c r="D36" i="44"/>
  <c r="D29" i="44"/>
  <c r="D28" i="44"/>
  <c r="D35" i="44"/>
  <c r="D30" i="44"/>
  <c r="D31" i="44"/>
  <c r="BH33" i="16"/>
  <c r="BH28" i="16"/>
  <c r="BH30" i="16"/>
  <c r="BH31" i="16"/>
  <c r="BH26" i="16"/>
  <c r="BH37" i="16"/>
  <c r="BH27" i="16"/>
  <c r="D37" i="44"/>
  <c r="D34" i="44"/>
  <c r="AB17" i="16"/>
  <c r="AB14" i="16"/>
  <c r="AB16" i="16"/>
  <c r="AS7" i="16"/>
  <c r="V7" i="16"/>
  <c r="U7" i="16" s="1"/>
  <c r="U14" i="16"/>
  <c r="AS6" i="16"/>
  <c r="V6" i="16"/>
  <c r="U6" i="16" s="1"/>
  <c r="AS8" i="16"/>
  <c r="V8" i="16"/>
  <c r="U8" i="16" s="1"/>
  <c r="U17" i="16"/>
  <c r="AS5" i="16"/>
  <c r="V5" i="16"/>
  <c r="U5" i="16" s="1"/>
  <c r="AS9" i="16"/>
  <c r="V9" i="16"/>
  <c r="U9" i="16" s="1"/>
  <c r="W14" i="16"/>
  <c r="O50" i="16"/>
  <c r="G24" i="16" s="1"/>
  <c r="O51" i="16"/>
  <c r="U16" i="16"/>
  <c r="AF22" i="16"/>
  <c r="V12" i="16"/>
  <c r="AF12" i="16" s="1"/>
  <c r="V11" i="16"/>
  <c r="U11" i="16" s="1"/>
  <c r="V10" i="16"/>
  <c r="U10" i="16" s="1"/>
  <c r="V19" i="16"/>
  <c r="AF19" i="16" s="1"/>
  <c r="V13" i="16"/>
  <c r="AF13" i="16" s="1"/>
  <c r="V18" i="16"/>
  <c r="AF18" i="16" s="1"/>
  <c r="V21" i="16"/>
  <c r="AF21" i="16" s="1"/>
  <c r="V15" i="16"/>
  <c r="AF15" i="16" s="1"/>
  <c r="AE31" i="16"/>
  <c r="AC31" i="16" s="1"/>
  <c r="AE36" i="16"/>
  <c r="AC36" i="16" s="1"/>
  <c r="AE28" i="16"/>
  <c r="AC28" i="16" s="1"/>
  <c r="AE27" i="16"/>
  <c r="AC27" i="16" s="1"/>
  <c r="AE25" i="16"/>
  <c r="AC25" i="16" s="1"/>
  <c r="AE29" i="16"/>
  <c r="AC29" i="16" s="1"/>
  <c r="AE30" i="16"/>
  <c r="AC30" i="16" s="1"/>
  <c r="AE26" i="16"/>
  <c r="AC26" i="16" s="1"/>
  <c r="AE35" i="16"/>
  <c r="AC35" i="16" s="1"/>
  <c r="AE33" i="16"/>
  <c r="AC33" i="16" s="1"/>
  <c r="AE23" i="16"/>
  <c r="AC23" i="16" s="1"/>
  <c r="AS12" i="16"/>
  <c r="AS11" i="16"/>
  <c r="AS13" i="16"/>
  <c r="AS18" i="16"/>
  <c r="AS21" i="16"/>
  <c r="AS22" i="16"/>
  <c r="AS10" i="16"/>
  <c r="AS15" i="16"/>
  <c r="AS19" i="16"/>
  <c r="AH17" i="16"/>
  <c r="W17" i="16"/>
  <c r="AH14" i="16"/>
  <c r="AE34" i="16"/>
  <c r="AC34" i="16" s="1"/>
  <c r="AE37" i="16"/>
  <c r="AC37" i="16" s="1"/>
  <c r="BI30" i="16"/>
  <c r="AW30" i="16"/>
  <c r="BI37" i="16"/>
  <c r="AW38" i="16"/>
  <c r="AW27" i="16"/>
  <c r="BI23" i="16"/>
  <c r="BI42" i="16"/>
  <c r="AW45" i="16"/>
  <c r="AW46" i="16"/>
  <c r="AW41" i="16"/>
  <c r="BI34" i="16"/>
  <c r="AW44" i="16"/>
  <c r="G44" i="44" s="1"/>
  <c r="AW36" i="16"/>
  <c r="BX36" i="16"/>
  <c r="F36" i="44" s="1"/>
  <c r="BX37" i="16"/>
  <c r="F37" i="44" s="1"/>
  <c r="BI46" i="16"/>
  <c r="BI25" i="16"/>
  <c r="AW25" i="16"/>
  <c r="AW23" i="16"/>
  <c r="AW34" i="16"/>
  <c r="AW28" i="16"/>
  <c r="G28" i="44" s="1"/>
  <c r="AW42" i="16"/>
  <c r="G42" i="44" s="1"/>
  <c r="AW29" i="16"/>
  <c r="G29" i="44" s="1"/>
  <c r="AW37" i="16"/>
  <c r="BI41" i="16"/>
  <c r="AW26" i="16"/>
  <c r="AW39" i="16"/>
  <c r="G39" i="44" s="1"/>
  <c r="AW43" i="16"/>
  <c r="G43" i="44" s="1"/>
  <c r="J43" i="44" s="1"/>
  <c r="BI43" i="16"/>
  <c r="AW40" i="16"/>
  <c r="G40" i="44" s="1"/>
  <c r="AW33" i="16"/>
  <c r="G33" i="44" s="1"/>
  <c r="AW31" i="16"/>
  <c r="AW35" i="16"/>
  <c r="BI45" i="16"/>
  <c r="BI40" i="16"/>
  <c r="BI26" i="16"/>
  <c r="BI33" i="16"/>
  <c r="BI35" i="16"/>
  <c r="BI28" i="16"/>
  <c r="BI38" i="16"/>
  <c r="BI44" i="16"/>
  <c r="BI39" i="16"/>
  <c r="BI36" i="16"/>
  <c r="BI27" i="16"/>
  <c r="BI31" i="16"/>
  <c r="AV23" i="16"/>
  <c r="AV44" i="16"/>
  <c r="AV33" i="16"/>
  <c r="AV45" i="16"/>
  <c r="AV37" i="16"/>
  <c r="AV34" i="16"/>
  <c r="AV31" i="16"/>
  <c r="AV40" i="16"/>
  <c r="AV26" i="16"/>
  <c r="AV46" i="16"/>
  <c r="AV30" i="16"/>
  <c r="AV25" i="16"/>
  <c r="AV43" i="16"/>
  <c r="AV35" i="16"/>
  <c r="AV42" i="16"/>
  <c r="AV38" i="16"/>
  <c r="AV36" i="16"/>
  <c r="AV39" i="16"/>
  <c r="AV28" i="16"/>
  <c r="AV29" i="16"/>
  <c r="AV41" i="16"/>
  <c r="AV27" i="16"/>
  <c r="BI29" i="16"/>
  <c r="CC16" i="16" l="1"/>
  <c r="J9" i="57"/>
  <c r="J9" i="55"/>
  <c r="J3" i="57"/>
  <c r="J3" i="55"/>
  <c r="J2" i="57"/>
  <c r="J2" i="55"/>
  <c r="J4" i="57"/>
  <c r="J4" i="55"/>
  <c r="AU14" i="16"/>
  <c r="J7" i="57"/>
  <c r="J7" i="55"/>
  <c r="AY17" i="16"/>
  <c r="J10" i="57"/>
  <c r="J10" i="55"/>
  <c r="AB88" i="17"/>
  <c r="AD88" i="17"/>
  <c r="AB49" i="17"/>
  <c r="AD47" i="17"/>
  <c r="AE58" i="17"/>
  <c r="AB64" i="17"/>
  <c r="AD64" i="17"/>
  <c r="AB58" i="17"/>
  <c r="AB47" i="17"/>
  <c r="AK16" i="55"/>
  <c r="AL16" i="55" s="1"/>
  <c r="AK16" i="57"/>
  <c r="AL16" i="57" s="1"/>
  <c r="AK21" i="55"/>
  <c r="AL21" i="55" s="1"/>
  <c r="AK21" i="57"/>
  <c r="AL21" i="57" s="1"/>
  <c r="AK31" i="55"/>
  <c r="AL31" i="55" s="1"/>
  <c r="AK31" i="57"/>
  <c r="AL31" i="57" s="1"/>
  <c r="AK28" i="55"/>
  <c r="AL28" i="55" s="1"/>
  <c r="AK28" i="57"/>
  <c r="AL28" i="57" s="1"/>
  <c r="AK18" i="55"/>
  <c r="AL18" i="55" s="1"/>
  <c r="AK18" i="57"/>
  <c r="AL18" i="57" s="1"/>
  <c r="AK32" i="55"/>
  <c r="AL32" i="55" s="1"/>
  <c r="AK32" i="57"/>
  <c r="AL32" i="57" s="1"/>
  <c r="AK23" i="55"/>
  <c r="AL23" i="55" s="1"/>
  <c r="AK23" i="57"/>
  <c r="AL23" i="57" s="1"/>
  <c r="AK24" i="55"/>
  <c r="AL24" i="55" s="1"/>
  <c r="AK24" i="57"/>
  <c r="AL24" i="57" s="1"/>
  <c r="AK27" i="55"/>
  <c r="AL27" i="55" s="1"/>
  <c r="AK27" i="57"/>
  <c r="AL27" i="57" s="1"/>
  <c r="AK20" i="55"/>
  <c r="AL20" i="55" s="1"/>
  <c r="AK20" i="57"/>
  <c r="AL20" i="57" s="1"/>
  <c r="AK26" i="55"/>
  <c r="AL26" i="55" s="1"/>
  <c r="AK26" i="57"/>
  <c r="AL26" i="57" s="1"/>
  <c r="AK30" i="55"/>
  <c r="AL30" i="55" s="1"/>
  <c r="AK30" i="57"/>
  <c r="AL30" i="57" s="1"/>
  <c r="AK22" i="55"/>
  <c r="AL22" i="55" s="1"/>
  <c r="AK22" i="57"/>
  <c r="AL22" i="57" s="1"/>
  <c r="AK38" i="55"/>
  <c r="AL38" i="55" s="1"/>
  <c r="AK38" i="57"/>
  <c r="AL38" i="57" s="1"/>
  <c r="AK33" i="55"/>
  <c r="AL33" i="55" s="1"/>
  <c r="AK33" i="57"/>
  <c r="AL33" i="57" s="1"/>
  <c r="AK19" i="55"/>
  <c r="AL19" i="55" s="1"/>
  <c r="AK19" i="57"/>
  <c r="AL19" i="57" s="1"/>
  <c r="AK37" i="55"/>
  <c r="AL37" i="55" s="1"/>
  <c r="AK37" i="57"/>
  <c r="AL37" i="57" s="1"/>
  <c r="AK39" i="55"/>
  <c r="AL39" i="55" s="1"/>
  <c r="AK39" i="57"/>
  <c r="AL39" i="57" s="1"/>
  <c r="AB91" i="17"/>
  <c r="AB90" i="17"/>
  <c r="AD91" i="17"/>
  <c r="AD90" i="17"/>
  <c r="AE93" i="17"/>
  <c r="AD49" i="17"/>
  <c r="AD65" i="17"/>
  <c r="AE65" i="17"/>
  <c r="AD63" i="17"/>
  <c r="AE63" i="17"/>
  <c r="AB93" i="17"/>
  <c r="AE88" i="17"/>
  <c r="AD94" i="17"/>
  <c r="AB94" i="17"/>
  <c r="AE35" i="17"/>
  <c r="AB35" i="17"/>
  <c r="AD79" i="17"/>
  <c r="AB79" i="17"/>
  <c r="AB55" i="17"/>
  <c r="AE76" i="17"/>
  <c r="AD76" i="17"/>
  <c r="AB50" i="17"/>
  <c r="AD50" i="17"/>
  <c r="AE50" i="17"/>
  <c r="AD60" i="17"/>
  <c r="AE60" i="17"/>
  <c r="AB60" i="17"/>
  <c r="AB68" i="17"/>
  <c r="AE68" i="17"/>
  <c r="AD68" i="17"/>
  <c r="AD72" i="17"/>
  <c r="AB72" i="17"/>
  <c r="AB48" i="17"/>
  <c r="AE36" i="17"/>
  <c r="AD36" i="17"/>
  <c r="AB36" i="17"/>
  <c r="AD92" i="17"/>
  <c r="AE92" i="17"/>
  <c r="AB92" i="17"/>
  <c r="AD48" i="17"/>
  <c r="AD85" i="17"/>
  <c r="AE85" i="17"/>
  <c r="AB85" i="17"/>
  <c r="AB59" i="17"/>
  <c r="AD59" i="17"/>
  <c r="AE59" i="17"/>
  <c r="AB61" i="17"/>
  <c r="AE61" i="17"/>
  <c r="AD61" i="17"/>
  <c r="AE32" i="17"/>
  <c r="AD32" i="17"/>
  <c r="AB32" i="17"/>
  <c r="AD55" i="17"/>
  <c r="AB38" i="17"/>
  <c r="AD38" i="17"/>
  <c r="AE78" i="17"/>
  <c r="AD78" i="17"/>
  <c r="AB78" i="17"/>
  <c r="AD75" i="17"/>
  <c r="AE75" i="17"/>
  <c r="AB75" i="17"/>
  <c r="AB67" i="17"/>
  <c r="AE67" i="17"/>
  <c r="AE87" i="17"/>
  <c r="AB87" i="17"/>
  <c r="AD87" i="17"/>
  <c r="AE166" i="17"/>
  <c r="AB166" i="17"/>
  <c r="AD196" i="17"/>
  <c r="AE196" i="17"/>
  <c r="AB196" i="17"/>
  <c r="AE45" i="17"/>
  <c r="AD45" i="17"/>
  <c r="AB45" i="17"/>
  <c r="AE222" i="17"/>
  <c r="AB222" i="17"/>
  <c r="AD176" i="17"/>
  <c r="AB176" i="17"/>
  <c r="AE176" i="17"/>
  <c r="AE186" i="17"/>
  <c r="AB186" i="17"/>
  <c r="AD186" i="17"/>
  <c r="AE181" i="17"/>
  <c r="AB181" i="17"/>
  <c r="AD181" i="17"/>
  <c r="AE107" i="17"/>
  <c r="AB107" i="17"/>
  <c r="AD107" i="17"/>
  <c r="AB135" i="17"/>
  <c r="AD135" i="17"/>
  <c r="AE135" i="17"/>
  <c r="AE221" i="17"/>
  <c r="AB221" i="17"/>
  <c r="AD173" i="17"/>
  <c r="AB173" i="17"/>
  <c r="AE173" i="17"/>
  <c r="AB185" i="17"/>
  <c r="AE185" i="17"/>
  <c r="AD185" i="17"/>
  <c r="AD51" i="17"/>
  <c r="AE51" i="17"/>
  <c r="AB51" i="17"/>
  <c r="AB144" i="17"/>
  <c r="AE144" i="17"/>
  <c r="AD144" i="17"/>
  <c r="AE220" i="17"/>
  <c r="AB220" i="17"/>
  <c r="AE226" i="17"/>
  <c r="AB226" i="17"/>
  <c r="AE188" i="17"/>
  <c r="AD188" i="17"/>
  <c r="AB188" i="17"/>
  <c r="AE133" i="17"/>
  <c r="AD133" i="17"/>
  <c r="AB133" i="17"/>
  <c r="AE207" i="17"/>
  <c r="AD207" i="17"/>
  <c r="AB207" i="17"/>
  <c r="AD210" i="17"/>
  <c r="AE210" i="17"/>
  <c r="AB210" i="17"/>
  <c r="AE156" i="17"/>
  <c r="AB156" i="17"/>
  <c r="AD156" i="17"/>
  <c r="AB117" i="17"/>
  <c r="AE117" i="17"/>
  <c r="AD117" i="17"/>
  <c r="AB216" i="17"/>
  <c r="AD216" i="17"/>
  <c r="AE216" i="17"/>
  <c r="AE123" i="17"/>
  <c r="AD123" i="17"/>
  <c r="AB123" i="17"/>
  <c r="AE225" i="17"/>
  <c r="AB225" i="17"/>
  <c r="AB44" i="17"/>
  <c r="AE44" i="17"/>
  <c r="AD44" i="17"/>
  <c r="AE206" i="17"/>
  <c r="AD206" i="17"/>
  <c r="AB206" i="17"/>
  <c r="AB209" i="17"/>
  <c r="AD209" i="17"/>
  <c r="AE209" i="17"/>
  <c r="AE158" i="17"/>
  <c r="AD158" i="17"/>
  <c r="AB158" i="17"/>
  <c r="AD108" i="17"/>
  <c r="AB108" i="17"/>
  <c r="AE108" i="17"/>
  <c r="AD115" i="17"/>
  <c r="AB115" i="17"/>
  <c r="AE115" i="17"/>
  <c r="AB197" i="17"/>
  <c r="AD197" i="17"/>
  <c r="AE197" i="17"/>
  <c r="AB149" i="17"/>
  <c r="AE149" i="17"/>
  <c r="AE106" i="17"/>
  <c r="AD106" i="17"/>
  <c r="AB106" i="17"/>
  <c r="AE145" i="17"/>
  <c r="AD145" i="17"/>
  <c r="AB145" i="17"/>
  <c r="AD131" i="17"/>
  <c r="AB131" i="17"/>
  <c r="AE131" i="17"/>
  <c r="AE105" i="17"/>
  <c r="AB105" i="17"/>
  <c r="AD105" i="17"/>
  <c r="AB138" i="17"/>
  <c r="AD138" i="17"/>
  <c r="AE138" i="17"/>
  <c r="AB134" i="17"/>
  <c r="AE134" i="17"/>
  <c r="AE148" i="17"/>
  <c r="AB148" i="17"/>
  <c r="AD148" i="17"/>
  <c r="AD97" i="17"/>
  <c r="AE97" i="17"/>
  <c r="AB97" i="17"/>
  <c r="AE119" i="17"/>
  <c r="AB119" i="17"/>
  <c r="AE70" i="17"/>
  <c r="AB70" i="17"/>
  <c r="AD70" i="17"/>
  <c r="AD202" i="17"/>
  <c r="AE202" i="17"/>
  <c r="AB202" i="17"/>
  <c r="AE219" i="17"/>
  <c r="AB219" i="17"/>
  <c r="AE227" i="17"/>
  <c r="AB227" i="17"/>
  <c r="AE193" i="17"/>
  <c r="AD193" i="17"/>
  <c r="AB193" i="17"/>
  <c r="AB56" i="17"/>
  <c r="AE56" i="17"/>
  <c r="AD56" i="17"/>
  <c r="AB122" i="17"/>
  <c r="AE122" i="17"/>
  <c r="AD122" i="17"/>
  <c r="AE217" i="17"/>
  <c r="AD217" i="17"/>
  <c r="AB217" i="17"/>
  <c r="AD66" i="17"/>
  <c r="AB66" i="17"/>
  <c r="AE66" i="17"/>
  <c r="AE111" i="17"/>
  <c r="AB111" i="17"/>
  <c r="AD111" i="17"/>
  <c r="AE180" i="17"/>
  <c r="AB180" i="17"/>
  <c r="AD180" i="17"/>
  <c r="AE212" i="17"/>
  <c r="AB212" i="17"/>
  <c r="AD212" i="17"/>
  <c r="AE127" i="17"/>
  <c r="AB127" i="17"/>
  <c r="AE200" i="17"/>
  <c r="AB200" i="17"/>
  <c r="AD200" i="17"/>
  <c r="AE187" i="17"/>
  <c r="AD187" i="17"/>
  <c r="AB187" i="17"/>
  <c r="AB77" i="17"/>
  <c r="AD77" i="17"/>
  <c r="AE77" i="17"/>
  <c r="AE160" i="17"/>
  <c r="AB160" i="17"/>
  <c r="AD160" i="17"/>
  <c r="AE198" i="17"/>
  <c r="AB198" i="17"/>
  <c r="AD198" i="17"/>
  <c r="AE28" i="17"/>
  <c r="AB28" i="17"/>
  <c r="AD28" i="17"/>
  <c r="AE161" i="17"/>
  <c r="AD161" i="17"/>
  <c r="AB161" i="17"/>
  <c r="AB164" i="17"/>
  <c r="AE164" i="17"/>
  <c r="AB126" i="17"/>
  <c r="AE126" i="17"/>
  <c r="AB98" i="17"/>
  <c r="AD98" i="17"/>
  <c r="AE98" i="17"/>
  <c r="AE189" i="17"/>
  <c r="AB189" i="17"/>
  <c r="AD189" i="17"/>
  <c r="AE99" i="17"/>
  <c r="AD99" i="17"/>
  <c r="AB99" i="17"/>
  <c r="AD194" i="17"/>
  <c r="AE194" i="17"/>
  <c r="AB194" i="17"/>
  <c r="AD132" i="17"/>
  <c r="AE132" i="17"/>
  <c r="AB132" i="17"/>
  <c r="AB159" i="17"/>
  <c r="AE159" i="17"/>
  <c r="AB182" i="17"/>
  <c r="AD182" i="17"/>
  <c r="AE182" i="17"/>
  <c r="AE42" i="17"/>
  <c r="AB42" i="17"/>
  <c r="AD42" i="17"/>
  <c r="AB33" i="17"/>
  <c r="AD33" i="17"/>
  <c r="AE33" i="17"/>
  <c r="AD112" i="17"/>
  <c r="AE112" i="17"/>
  <c r="AB112" i="17"/>
  <c r="AE39" i="17"/>
  <c r="AD39" i="17"/>
  <c r="AB39" i="17"/>
  <c r="AE109" i="17"/>
  <c r="AD109" i="17"/>
  <c r="AB109" i="17"/>
  <c r="AE43" i="17"/>
  <c r="AB43" i="17"/>
  <c r="AD43" i="17"/>
  <c r="AB86" i="17"/>
  <c r="AD86" i="17"/>
  <c r="AE86" i="17"/>
  <c r="AE31" i="17"/>
  <c r="AB31" i="17"/>
  <c r="AD31" i="17"/>
  <c r="AD34" i="17"/>
  <c r="AE34" i="17"/>
  <c r="AB34" i="17"/>
  <c r="AD203" i="17"/>
  <c r="AB203" i="17"/>
  <c r="AE203" i="17"/>
  <c r="AE157" i="17"/>
  <c r="AD157" i="17"/>
  <c r="AB157" i="17"/>
  <c r="AE113" i="17"/>
  <c r="AB113" i="17"/>
  <c r="AD113" i="17"/>
  <c r="AE175" i="17"/>
  <c r="AB175" i="17"/>
  <c r="AD175" i="17"/>
  <c r="AE179" i="17"/>
  <c r="AD179" i="17"/>
  <c r="AB179" i="17"/>
  <c r="AB121" i="17"/>
  <c r="AE121" i="17"/>
  <c r="AD121" i="17"/>
  <c r="AB120" i="17"/>
  <c r="AE120" i="17"/>
  <c r="AE178" i="17"/>
  <c r="AB178" i="17"/>
  <c r="AD178" i="17"/>
  <c r="AD116" i="17"/>
  <c r="AE116" i="17"/>
  <c r="AB116" i="17"/>
  <c r="AE204" i="17"/>
  <c r="AD204" i="17"/>
  <c r="AB204" i="17"/>
  <c r="AE37" i="17"/>
  <c r="AB37" i="17"/>
  <c r="AD37" i="17"/>
  <c r="AB143" i="17"/>
  <c r="AE143" i="17"/>
  <c r="AE125" i="17"/>
  <c r="AB125" i="17"/>
  <c r="AE208" i="17"/>
  <c r="AB208" i="17"/>
  <c r="AE128" i="17"/>
  <c r="AB128" i="17"/>
  <c r="AD27" i="17"/>
  <c r="AE27" i="17"/>
  <c r="AB27" i="17"/>
  <c r="AE177" i="17"/>
  <c r="AB177" i="17"/>
  <c r="AD184" i="17"/>
  <c r="AB184" i="17"/>
  <c r="AE184" i="17"/>
  <c r="AB52" i="17"/>
  <c r="AE52" i="17"/>
  <c r="AD52" i="17"/>
  <c r="AB96" i="17"/>
  <c r="AE96" i="17"/>
  <c r="AD96" i="17"/>
  <c r="AE162" i="17"/>
  <c r="AB162" i="17"/>
  <c r="AD162" i="17"/>
  <c r="AB228" i="17"/>
  <c r="AE228" i="17"/>
  <c r="AB140" i="17"/>
  <c r="AD140" i="17"/>
  <c r="AE140" i="17"/>
  <c r="AD201" i="17"/>
  <c r="AB201" i="17"/>
  <c r="AE201" i="17"/>
  <c r="AE139" i="17"/>
  <c r="AB139" i="17"/>
  <c r="AD139" i="17"/>
  <c r="AD195" i="17"/>
  <c r="AB195" i="17"/>
  <c r="AE195" i="17"/>
  <c r="AE171" i="17"/>
  <c r="AD171" i="17"/>
  <c r="AB171" i="17"/>
  <c r="AB73" i="17"/>
  <c r="AD73" i="17"/>
  <c r="AE73" i="17"/>
  <c r="AE142" i="17"/>
  <c r="AB142" i="17"/>
  <c r="AD142" i="17"/>
  <c r="AE62" i="17"/>
  <c r="AB62" i="17"/>
  <c r="AD62" i="17"/>
  <c r="AE163" i="17"/>
  <c r="AB163" i="17"/>
  <c r="AD163" i="17"/>
  <c r="AE137" i="17"/>
  <c r="AB137" i="17"/>
  <c r="AD30" i="17"/>
  <c r="AB30" i="17"/>
  <c r="AE30" i="17"/>
  <c r="AE174" i="17"/>
  <c r="AD174" i="17"/>
  <c r="AB174" i="17"/>
  <c r="AE183" i="17"/>
  <c r="AB183" i="17"/>
  <c r="AD183" i="17"/>
  <c r="AB69" i="17"/>
  <c r="AE69" i="17"/>
  <c r="AE229" i="17"/>
  <c r="AB229" i="17"/>
  <c r="AF104" i="17"/>
  <c r="AF103" i="17"/>
  <c r="AF102" i="17"/>
  <c r="AF101" i="17"/>
  <c r="AF100" i="17"/>
  <c r="AD141" i="17"/>
  <c r="AB141" i="17"/>
  <c r="AE141" i="17"/>
  <c r="AB147" i="17"/>
  <c r="AE147" i="17"/>
  <c r="AE205" i="17"/>
  <c r="AD205" i="17"/>
  <c r="AB205" i="17"/>
  <c r="AE41" i="17"/>
  <c r="AB41" i="17"/>
  <c r="AD41" i="17"/>
  <c r="AE165" i="17"/>
  <c r="AB165" i="17"/>
  <c r="AD165" i="17"/>
  <c r="AE146" i="17"/>
  <c r="AD146" i="17"/>
  <c r="AB146" i="17"/>
  <c r="AE211" i="17"/>
  <c r="AB211" i="17"/>
  <c r="AD211" i="17"/>
  <c r="AB40" i="17"/>
  <c r="AE40" i="17"/>
  <c r="AD40" i="17"/>
  <c r="AB224" i="17"/>
  <c r="AE224" i="17"/>
  <c r="AD218" i="17"/>
  <c r="AE218" i="17"/>
  <c r="AB218" i="17"/>
  <c r="AE110" i="17"/>
  <c r="AD110" i="17"/>
  <c r="AB110" i="17"/>
  <c r="AE172" i="17"/>
  <c r="AD172" i="17"/>
  <c r="AB172" i="17"/>
  <c r="AE191" i="17"/>
  <c r="AB191" i="17"/>
  <c r="AE223" i="17"/>
  <c r="AB223" i="17"/>
  <c r="AE170" i="17"/>
  <c r="AD170" i="17"/>
  <c r="AB170" i="17"/>
  <c r="AB230" i="17"/>
  <c r="AE230" i="17"/>
  <c r="AE53" i="17"/>
  <c r="AB53" i="17"/>
  <c r="AD53" i="17"/>
  <c r="AE168" i="17"/>
  <c r="AB168" i="17"/>
  <c r="AD168" i="17"/>
  <c r="AE167" i="17"/>
  <c r="AB167" i="17"/>
  <c r="AD167" i="17"/>
  <c r="AE95" i="17"/>
  <c r="AB95" i="17"/>
  <c r="AD95" i="17"/>
  <c r="AE114" i="17"/>
  <c r="AD114" i="17"/>
  <c r="AB114" i="17"/>
  <c r="AE29" i="17"/>
  <c r="AD29" i="17"/>
  <c r="AB29" i="17"/>
  <c r="AB136" i="17"/>
  <c r="AE136" i="17"/>
  <c r="AE215" i="17"/>
  <c r="AB215" i="17"/>
  <c r="AD215" i="17"/>
  <c r="AB46" i="17"/>
  <c r="AD46" i="17"/>
  <c r="AE46" i="17"/>
  <c r="AD214" i="17"/>
  <c r="AB214" i="17"/>
  <c r="AE214" i="17"/>
  <c r="AB54" i="17"/>
  <c r="AE54" i="17"/>
  <c r="AD54" i="17"/>
  <c r="AB231" i="17"/>
  <c r="AE231" i="17"/>
  <c r="AD169" i="17"/>
  <c r="AB169" i="17"/>
  <c r="AE169" i="17"/>
  <c r="AE74" i="17"/>
  <c r="AB74" i="17"/>
  <c r="AD74" i="17"/>
  <c r="AB213" i="17"/>
  <c r="AE213" i="17"/>
  <c r="AD213" i="17"/>
  <c r="AB57" i="17"/>
  <c r="AD57" i="17"/>
  <c r="AE57" i="17"/>
  <c r="AE130" i="17"/>
  <c r="AB130" i="17"/>
  <c r="AD199" i="17"/>
  <c r="AE199" i="17"/>
  <c r="AB199" i="17"/>
  <c r="AB129" i="17"/>
  <c r="AE129" i="17"/>
  <c r="AB118" i="17"/>
  <c r="AE118" i="17"/>
  <c r="AE190" i="17"/>
  <c r="AB190" i="17"/>
  <c r="AD190" i="17"/>
  <c r="AB71" i="17"/>
  <c r="AD71" i="17"/>
  <c r="AE71" i="17"/>
  <c r="AB124" i="17"/>
  <c r="AE124" i="17"/>
  <c r="AD124" i="17"/>
  <c r="AE192" i="17"/>
  <c r="AB192" i="17"/>
  <c r="AD192" i="17"/>
  <c r="E37" i="44"/>
  <c r="E34" i="44"/>
  <c r="H28" i="44"/>
  <c r="CJ34" i="16"/>
  <c r="CK34" i="16" s="1"/>
  <c r="CJ37" i="16"/>
  <c r="CK37" i="16" s="1"/>
  <c r="I33" i="44"/>
  <c r="J33" i="44"/>
  <c r="J29" i="44"/>
  <c r="I29" i="44"/>
  <c r="J40" i="44"/>
  <c r="J42" i="44"/>
  <c r="CJ25" i="16"/>
  <c r="CK25" i="16" s="1"/>
  <c r="E25" i="44"/>
  <c r="CJ31" i="16"/>
  <c r="CK31" i="16" s="1"/>
  <c r="E31" i="44"/>
  <c r="J28" i="44"/>
  <c r="I28" i="44"/>
  <c r="BB27" i="16"/>
  <c r="BD27" i="16" s="1"/>
  <c r="G27" i="44"/>
  <c r="AX38" i="16"/>
  <c r="G38" i="44"/>
  <c r="CJ27" i="16"/>
  <c r="CK27" i="16" s="1"/>
  <c r="E27" i="44"/>
  <c r="J39" i="44"/>
  <c r="BF23" i="16"/>
  <c r="BK23" i="16" s="1"/>
  <c r="BL23" i="16" s="1"/>
  <c r="G23" i="44"/>
  <c r="BB36" i="16"/>
  <c r="BD36" i="16" s="1"/>
  <c r="G36" i="44"/>
  <c r="H33" i="44"/>
  <c r="AX34" i="16"/>
  <c r="G34" i="44"/>
  <c r="H34" i="44" s="1"/>
  <c r="CJ26" i="16"/>
  <c r="CK26" i="16" s="1"/>
  <c r="E26" i="44"/>
  <c r="AX25" i="16"/>
  <c r="G25" i="44"/>
  <c r="CJ23" i="16"/>
  <c r="CK23" i="16" s="1"/>
  <c r="E23" i="44"/>
  <c r="CJ30" i="16"/>
  <c r="CK30" i="16" s="1"/>
  <c r="E30" i="44"/>
  <c r="CJ28" i="16"/>
  <c r="CK28" i="16" s="1"/>
  <c r="E28" i="44"/>
  <c r="H29" i="44"/>
  <c r="J44" i="44"/>
  <c r="AX26" i="16"/>
  <c r="G26" i="44"/>
  <c r="AX41" i="16"/>
  <c r="G41" i="44"/>
  <c r="BF30" i="16"/>
  <c r="BK30" i="16" s="1"/>
  <c r="BL30" i="16" s="1"/>
  <c r="G30" i="44"/>
  <c r="AX35" i="16"/>
  <c r="G35" i="44"/>
  <c r="AX46" i="16"/>
  <c r="G46" i="44"/>
  <c r="AX31" i="16"/>
  <c r="G31" i="44"/>
  <c r="BF37" i="16"/>
  <c r="BG37" i="16" s="1"/>
  <c r="G37" i="44"/>
  <c r="H37" i="44" s="1"/>
  <c r="AX45" i="16"/>
  <c r="G45" i="44"/>
  <c r="CJ29" i="16"/>
  <c r="CK29" i="16" s="1"/>
  <c r="E29" i="44"/>
  <c r="AB19" i="16"/>
  <c r="CJ35" i="16"/>
  <c r="CK35" i="16" s="1"/>
  <c r="E35" i="44"/>
  <c r="CJ33" i="16"/>
  <c r="CK33" i="16" s="1"/>
  <c r="E33" i="44"/>
  <c r="CJ36" i="16"/>
  <c r="CK36" i="16" s="1"/>
  <c r="E36" i="44"/>
  <c r="AB18" i="16"/>
  <c r="AB15" i="16"/>
  <c r="AB22" i="16"/>
  <c r="AB21" i="16"/>
  <c r="Y16" i="16"/>
  <c r="AD16" i="16" s="1"/>
  <c r="AT17" i="16"/>
  <c r="AV17" i="16" s="1"/>
  <c r="AT16" i="16"/>
  <c r="AV16" i="16" s="1"/>
  <c r="AZ16" i="16"/>
  <c r="CC17" i="16"/>
  <c r="CF17" i="16" s="1"/>
  <c r="CH17" i="16" s="1"/>
  <c r="CI17" i="16" s="1"/>
  <c r="AU17" i="16"/>
  <c r="AZ17" i="16"/>
  <c r="Y17" i="16"/>
  <c r="AD17" i="16" s="1"/>
  <c r="Y14" i="16"/>
  <c r="AZ14" i="16"/>
  <c r="AY14" i="16"/>
  <c r="CC14" i="16"/>
  <c r="CF14" i="16" s="1"/>
  <c r="CH14" i="16" s="1"/>
  <c r="CI14" i="16" s="1"/>
  <c r="AT14" i="16"/>
  <c r="AV14" i="16" s="1"/>
  <c r="U21" i="16"/>
  <c r="AY16" i="16"/>
  <c r="AU16" i="16"/>
  <c r="U18" i="16"/>
  <c r="U19" i="16"/>
  <c r="CN28" i="16"/>
  <c r="G20" i="16"/>
  <c r="G32" i="16"/>
  <c r="E20" i="16"/>
  <c r="E32" i="16"/>
  <c r="E24" i="16"/>
  <c r="U12" i="16"/>
  <c r="U15" i="16"/>
  <c r="CN25" i="16"/>
  <c r="U13" i="16"/>
  <c r="CN31" i="16"/>
  <c r="P24" i="16"/>
  <c r="R24" i="16"/>
  <c r="Q24" i="16"/>
  <c r="CN23" i="16"/>
  <c r="CN30" i="16"/>
  <c r="CN26" i="16"/>
  <c r="CN27" i="16"/>
  <c r="CF16" i="16"/>
  <c r="CH16" i="16" s="1"/>
  <c r="CI16" i="16" s="1"/>
  <c r="AH16" i="16"/>
  <c r="W16" i="16"/>
  <c r="Y7" i="16"/>
  <c r="AD7" i="16" s="1"/>
  <c r="AF7" i="16"/>
  <c r="Y5" i="16"/>
  <c r="AD5" i="16" s="1"/>
  <c r="AF5" i="16"/>
  <c r="W11" i="16"/>
  <c r="Y8" i="16"/>
  <c r="AD8" i="16" s="1"/>
  <c r="AF8" i="16"/>
  <c r="Y9" i="16"/>
  <c r="AD9" i="16" s="1"/>
  <c r="AF9" i="16"/>
  <c r="W13" i="16"/>
  <c r="Y6" i="16"/>
  <c r="AD6" i="16" s="1"/>
  <c r="AF6" i="16"/>
  <c r="W10" i="16"/>
  <c r="W12" i="16"/>
  <c r="Y22" i="16"/>
  <c r="CC22" i="16"/>
  <c r="Y10" i="16"/>
  <c r="CC10" i="16"/>
  <c r="Y11" i="16"/>
  <c r="CC11" i="16"/>
  <c r="BI14" i="16"/>
  <c r="AW14" i="16"/>
  <c r="G14" i="44" s="1"/>
  <c r="AZ22" i="16"/>
  <c r="AZ7" i="16"/>
  <c r="AU7" i="16"/>
  <c r="AZ5" i="16"/>
  <c r="AY22" i="16"/>
  <c r="AY10" i="16"/>
  <c r="AT8" i="16"/>
  <c r="AV8" i="16" s="1"/>
  <c r="AY9" i="16"/>
  <c r="AZ9" i="16"/>
  <c r="AU8" i="16"/>
  <c r="AT6" i="16"/>
  <c r="AV6" i="16" s="1"/>
  <c r="AY6" i="16"/>
  <c r="AT11" i="16"/>
  <c r="AV11" i="16" s="1"/>
  <c r="AY11" i="16"/>
  <c r="AU6" i="16"/>
  <c r="AU9" i="16"/>
  <c r="AZ11" i="16"/>
  <c r="AY8" i="16"/>
  <c r="AZ8" i="16"/>
  <c r="AU11" i="16"/>
  <c r="AT9" i="16"/>
  <c r="AV9" i="16" s="1"/>
  <c r="AZ6" i="16"/>
  <c r="AZ10" i="16"/>
  <c r="AU10" i="16"/>
  <c r="AT7" i="16"/>
  <c r="AV7" i="16" s="1"/>
  <c r="AT5" i="16"/>
  <c r="AV5" i="16" s="1"/>
  <c r="AT10" i="16"/>
  <c r="AV10" i="16" s="1"/>
  <c r="AU5" i="16"/>
  <c r="AT22" i="16"/>
  <c r="AV22" i="16" s="1"/>
  <c r="AU22" i="16"/>
  <c r="AY7" i="16"/>
  <c r="AY5" i="16"/>
  <c r="AX36" i="16"/>
  <c r="BB25" i="16"/>
  <c r="BD25" i="16" s="1"/>
  <c r="CN29" i="16"/>
  <c r="AX30" i="16"/>
  <c r="BF25" i="16"/>
  <c r="BG25" i="16" s="1"/>
  <c r="CM36" i="16"/>
  <c r="CM37" i="16"/>
  <c r="BA26" i="16"/>
  <c r="BC26" i="16" s="1"/>
  <c r="AX43" i="16"/>
  <c r="BA37" i="16"/>
  <c r="BC37" i="16" s="1"/>
  <c r="AX37" i="16"/>
  <c r="BA31" i="16"/>
  <c r="BC31" i="16" s="1"/>
  <c r="BA35" i="16"/>
  <c r="BC35" i="16" s="1"/>
  <c r="BA33" i="16"/>
  <c r="BC33" i="16" s="1"/>
  <c r="AX39" i="16"/>
  <c r="AX40" i="16"/>
  <c r="BB37" i="16"/>
  <c r="BF29" i="16"/>
  <c r="AX29" i="16"/>
  <c r="BB30" i="16"/>
  <c r="BB29" i="16"/>
  <c r="BF31" i="16"/>
  <c r="BG31" i="16" s="1"/>
  <c r="BB31" i="16"/>
  <c r="BF26" i="16"/>
  <c r="BK26" i="16" s="1"/>
  <c r="BL26" i="16" s="1"/>
  <c r="BB34" i="16"/>
  <c r="BB26" i="16"/>
  <c r="AX27" i="16"/>
  <c r="BA28" i="16"/>
  <c r="BC28" i="16" s="1"/>
  <c r="B25" i="27" s="1"/>
  <c r="BF27" i="16"/>
  <c r="BG27" i="16" s="1"/>
  <c r="AX44" i="16"/>
  <c r="BA27" i="16"/>
  <c r="BC27" i="16" s="1"/>
  <c r="BA29" i="16"/>
  <c r="BC29" i="16" s="1"/>
  <c r="BA36" i="16"/>
  <c r="BC36" i="16" s="1"/>
  <c r="BF34" i="16"/>
  <c r="BG34" i="16" s="1"/>
  <c r="BB35" i="16"/>
  <c r="BF35" i="16"/>
  <c r="BK35" i="16" s="1"/>
  <c r="BL35" i="16" s="1"/>
  <c r="BA23" i="16"/>
  <c r="BC23" i="16" s="1"/>
  <c r="BF36" i="16"/>
  <c r="BK36" i="16" s="1"/>
  <c r="BL36" i="16" s="1"/>
  <c r="BA25" i="16"/>
  <c r="BC25" i="16" s="1"/>
  <c r="BA34" i="16"/>
  <c r="BC34" i="16" s="1"/>
  <c r="AX42" i="16"/>
  <c r="BA30" i="16"/>
  <c r="BC30" i="16" s="1"/>
  <c r="BB23" i="16"/>
  <c r="AX23" i="16"/>
  <c r="BF28" i="16"/>
  <c r="AX28" i="16"/>
  <c r="BB28" i="16"/>
  <c r="AX33" i="16"/>
  <c r="BB33" i="16"/>
  <c r="BF33" i="16"/>
  <c r="BA17" i="16" l="1"/>
  <c r="BC17" i="16" s="1"/>
  <c r="CC21" i="16"/>
  <c r="J14" i="57"/>
  <c r="J14" i="55"/>
  <c r="AZ13" i="16"/>
  <c r="J6" i="57"/>
  <c r="J6" i="55"/>
  <c r="AZ18" i="16"/>
  <c r="J11" i="57"/>
  <c r="J11" i="55"/>
  <c r="Y12" i="16"/>
  <c r="J5" i="57"/>
  <c r="J5" i="55"/>
  <c r="AY15" i="16"/>
  <c r="J8" i="57"/>
  <c r="J8" i="55"/>
  <c r="AZ19" i="16"/>
  <c r="J12" i="57"/>
  <c r="J12" i="55"/>
  <c r="BG23" i="16"/>
  <c r="K15" i="17"/>
  <c r="K14" i="17"/>
  <c r="K12" i="17"/>
  <c r="K16" i="17"/>
  <c r="K13" i="17"/>
  <c r="H104" i="17"/>
  <c r="H103" i="17"/>
  <c r="H102" i="17"/>
  <c r="H101" i="17"/>
  <c r="H100" i="17"/>
  <c r="AE10" i="57"/>
  <c r="AF10" i="57" s="1"/>
  <c r="K68" i="17"/>
  <c r="Z68" i="17" s="1"/>
  <c r="K67" i="17"/>
  <c r="Z67" i="17" s="1"/>
  <c r="K66" i="17"/>
  <c r="Z66" i="17" s="1"/>
  <c r="K65" i="17"/>
  <c r="Z65" i="17" s="1"/>
  <c r="K64" i="17"/>
  <c r="Z64" i="17" s="1"/>
  <c r="K23" i="17"/>
  <c r="K22" i="17"/>
  <c r="K26" i="17"/>
  <c r="K24" i="17"/>
  <c r="K25" i="17"/>
  <c r="J104" i="17"/>
  <c r="J103" i="17"/>
  <c r="J102" i="17"/>
  <c r="J101" i="17"/>
  <c r="J100" i="17"/>
  <c r="H155" i="17"/>
  <c r="H153" i="17"/>
  <c r="H154" i="17"/>
  <c r="H152" i="17"/>
  <c r="H151" i="17"/>
  <c r="H150" i="17"/>
  <c r="K7" i="17"/>
  <c r="K11" i="17"/>
  <c r="K10" i="17"/>
  <c r="K9" i="17"/>
  <c r="K8" i="17"/>
  <c r="AE9" i="57"/>
  <c r="AF9" i="57" s="1"/>
  <c r="K63" i="17"/>
  <c r="Z63" i="17" s="1"/>
  <c r="K62" i="17"/>
  <c r="Z62" i="17" s="1"/>
  <c r="K60" i="17"/>
  <c r="Z60" i="17" s="1"/>
  <c r="K59" i="17"/>
  <c r="Z59" i="17" s="1"/>
  <c r="K58" i="17"/>
  <c r="Z58" i="17" s="1"/>
  <c r="K61" i="17"/>
  <c r="Z61" i="17" s="1"/>
  <c r="H83" i="17"/>
  <c r="H81" i="17"/>
  <c r="H82" i="17"/>
  <c r="H80" i="17"/>
  <c r="H84" i="17"/>
  <c r="K20" i="17"/>
  <c r="K18" i="17"/>
  <c r="K19" i="17"/>
  <c r="K21" i="17"/>
  <c r="K17" i="17"/>
  <c r="K6" i="17"/>
  <c r="K4" i="17"/>
  <c r="K3" i="17"/>
  <c r="K2" i="17"/>
  <c r="K5" i="17"/>
  <c r="P17" i="55"/>
  <c r="P17" i="57"/>
  <c r="AE2" i="55"/>
  <c r="AF2" i="55" s="1"/>
  <c r="AE2" i="57"/>
  <c r="AF2" i="57" s="1"/>
  <c r="P13" i="55"/>
  <c r="P13" i="57"/>
  <c r="P25" i="55"/>
  <c r="P25" i="57"/>
  <c r="AE10" i="55"/>
  <c r="AF10" i="55" s="1"/>
  <c r="AE9" i="55"/>
  <c r="AF9" i="55" s="1"/>
  <c r="R32" i="16"/>
  <c r="AF152" i="17"/>
  <c r="AF151" i="17"/>
  <c r="AF150" i="17"/>
  <c r="AF154" i="17"/>
  <c r="AF153" i="17"/>
  <c r="Q20" i="16"/>
  <c r="AF83" i="17"/>
  <c r="AF82" i="17"/>
  <c r="AF81" i="17"/>
  <c r="AF80" i="17"/>
  <c r="AF84" i="17"/>
  <c r="AD10" i="16"/>
  <c r="AD22" i="16"/>
  <c r="AD11" i="16"/>
  <c r="AD12" i="16"/>
  <c r="AD14" i="16"/>
  <c r="C32" i="44"/>
  <c r="C20" i="44"/>
  <c r="BG30" i="16"/>
  <c r="BH7" i="16"/>
  <c r="AT19" i="16"/>
  <c r="AV19" i="16" s="1"/>
  <c r="BK37" i="16"/>
  <c r="BL37" i="16" s="1"/>
  <c r="J14" i="44"/>
  <c r="J26" i="44"/>
  <c r="I26" i="44"/>
  <c r="H26" i="44"/>
  <c r="J45" i="44"/>
  <c r="J35" i="44"/>
  <c r="I35" i="44"/>
  <c r="H35" i="44"/>
  <c r="BI5" i="16"/>
  <c r="BH5" i="16"/>
  <c r="AW11" i="16"/>
  <c r="BB11" i="16" s="1"/>
  <c r="AE6" i="16"/>
  <c r="AC6" i="16" s="1"/>
  <c r="BW6" i="16" s="1"/>
  <c r="D6" i="44"/>
  <c r="AE5" i="16"/>
  <c r="AC5" i="16" s="1"/>
  <c r="BW5" i="16" s="1"/>
  <c r="D5" i="44"/>
  <c r="J36" i="44"/>
  <c r="I36" i="44"/>
  <c r="H36" i="44"/>
  <c r="J38" i="44"/>
  <c r="AW9" i="16"/>
  <c r="BF9" i="16" s="1"/>
  <c r="BG9" i="16" s="1"/>
  <c r="BH9" i="16"/>
  <c r="BI6" i="16"/>
  <c r="BH6" i="16"/>
  <c r="AE8" i="16"/>
  <c r="AC8" i="16" s="1"/>
  <c r="BW8" i="16" s="1"/>
  <c r="D8" i="44"/>
  <c r="D14" i="44"/>
  <c r="H14" i="44" s="1"/>
  <c r="D16" i="44"/>
  <c r="J37" i="44"/>
  <c r="I37" i="44"/>
  <c r="J30" i="44"/>
  <c r="I30" i="44"/>
  <c r="H30" i="44"/>
  <c r="I25" i="44"/>
  <c r="J25" i="44"/>
  <c r="H25" i="44"/>
  <c r="BI10" i="16"/>
  <c r="AW17" i="16"/>
  <c r="BH17" i="16"/>
  <c r="BI8" i="16"/>
  <c r="BH8" i="16"/>
  <c r="AE7" i="16"/>
  <c r="AC7" i="16" s="1"/>
  <c r="BW7" i="16" s="1"/>
  <c r="D7" i="44"/>
  <c r="BZ24" i="16"/>
  <c r="C24" i="44"/>
  <c r="BI16" i="16"/>
  <c r="BH16" i="16"/>
  <c r="AE17" i="16"/>
  <c r="AC17" i="16" s="1"/>
  <c r="BW17" i="16" s="1"/>
  <c r="D17" i="44"/>
  <c r="J23" i="44"/>
  <c r="I23" i="44"/>
  <c r="H23" i="44"/>
  <c r="J27" i="44"/>
  <c r="I27" i="44"/>
  <c r="H27" i="44"/>
  <c r="J46" i="44"/>
  <c r="J34" i="44"/>
  <c r="I34" i="44"/>
  <c r="AE9" i="16"/>
  <c r="AC9" i="16" s="1"/>
  <c r="BW9" i="16" s="1"/>
  <c r="D9" i="44"/>
  <c r="J31" i="44"/>
  <c r="I31" i="44"/>
  <c r="H31" i="44"/>
  <c r="J41" i="44"/>
  <c r="AT15" i="16"/>
  <c r="AV15" i="16" s="1"/>
  <c r="BA15" i="16" s="1"/>
  <c r="BC15" i="16" s="1"/>
  <c r="AY19" i="16"/>
  <c r="BA19" i="16" s="1"/>
  <c r="BC19" i="16" s="1"/>
  <c r="Y15" i="16"/>
  <c r="AD15" i="16" s="1"/>
  <c r="CC19" i="16"/>
  <c r="CF19" i="16" s="1"/>
  <c r="CH19" i="16" s="1"/>
  <c r="CI19" i="16" s="1"/>
  <c r="AE16" i="16"/>
  <c r="AC16" i="16" s="1"/>
  <c r="BW16" i="16" s="1"/>
  <c r="CC15" i="16"/>
  <c r="CF15" i="16" s="1"/>
  <c r="CH15" i="16" s="1"/>
  <c r="CI15" i="16" s="1"/>
  <c r="Y19" i="16"/>
  <c r="AD19" i="16" s="1"/>
  <c r="AU19" i="16"/>
  <c r="BA14" i="16"/>
  <c r="BC14" i="16" s="1"/>
  <c r="BA16" i="16"/>
  <c r="BC16" i="16" s="1"/>
  <c r="BI17" i="16"/>
  <c r="AY18" i="16"/>
  <c r="AT18" i="16"/>
  <c r="AV18" i="16" s="1"/>
  <c r="Y18" i="16"/>
  <c r="AD18" i="16" s="1"/>
  <c r="AU18" i="16"/>
  <c r="CC18" i="16"/>
  <c r="CF18" i="16" s="1"/>
  <c r="CH18" i="16" s="1"/>
  <c r="CI18" i="16" s="1"/>
  <c r="Y21" i="16"/>
  <c r="AD21" i="16" s="1"/>
  <c r="BB14" i="16"/>
  <c r="BD14" i="16" s="1"/>
  <c r="AU15" i="16"/>
  <c r="AZ21" i="16"/>
  <c r="AY21" i="16"/>
  <c r="AW16" i="16"/>
  <c r="P20" i="16"/>
  <c r="AS20" i="16" s="1"/>
  <c r="AT21" i="16"/>
  <c r="AV21" i="16" s="1"/>
  <c r="X20" i="16"/>
  <c r="AU21" i="16"/>
  <c r="AZ15" i="16"/>
  <c r="AU12" i="16"/>
  <c r="AZ12" i="16"/>
  <c r="AY12" i="16"/>
  <c r="AT12" i="16"/>
  <c r="AV12" i="16" s="1"/>
  <c r="CC12" i="16"/>
  <c r="CF12" i="16" s="1"/>
  <c r="CH12" i="16" s="1"/>
  <c r="CI12" i="16" s="1"/>
  <c r="X32" i="16"/>
  <c r="P32" i="16"/>
  <c r="V32" i="16" s="1"/>
  <c r="X24" i="16"/>
  <c r="O20" i="16"/>
  <c r="O24" i="16"/>
  <c r="BZ32" i="16"/>
  <c r="R20" i="16"/>
  <c r="O32" i="16"/>
  <c r="C32" i="16"/>
  <c r="Q32" i="16"/>
  <c r="BZ20" i="16"/>
  <c r="C24" i="16"/>
  <c r="C20" i="16"/>
  <c r="Y13" i="16"/>
  <c r="AD13" i="16" s="1"/>
  <c r="AU13" i="16"/>
  <c r="AY13" i="16"/>
  <c r="AT13" i="16"/>
  <c r="AV13" i="16" s="1"/>
  <c r="CC13" i="16"/>
  <c r="CF13" i="16" s="1"/>
  <c r="CH13" i="16" s="1"/>
  <c r="CI13" i="16" s="1"/>
  <c r="V24" i="16"/>
  <c r="AS24" i="16"/>
  <c r="CF22" i="16"/>
  <c r="CH22" i="16" s="1"/>
  <c r="CI22" i="16" s="1"/>
  <c r="CF10" i="16"/>
  <c r="CH10" i="16" s="1"/>
  <c r="CI10" i="16" s="1"/>
  <c r="CF11" i="16"/>
  <c r="CH11" i="16" s="1"/>
  <c r="CI11" i="16" s="1"/>
  <c r="CF21" i="16"/>
  <c r="CH21" i="16" s="1"/>
  <c r="CI21" i="16" s="1"/>
  <c r="AH21" i="16"/>
  <c r="W21" i="16"/>
  <c r="AH22" i="16"/>
  <c r="W22" i="16"/>
  <c r="AH18" i="16"/>
  <c r="W18" i="16"/>
  <c r="AH15" i="16"/>
  <c r="W15" i="16"/>
  <c r="AH19" i="16"/>
  <c r="W19" i="16"/>
  <c r="BA22" i="16"/>
  <c r="BC22" i="16" s="1"/>
  <c r="BI7" i="16"/>
  <c r="AW7" i="16"/>
  <c r="AX14" i="16"/>
  <c r="BI9" i="16"/>
  <c r="AW8" i="16"/>
  <c r="AW6" i="16"/>
  <c r="AW10" i="16"/>
  <c r="BI11" i="16"/>
  <c r="AW5" i="16"/>
  <c r="BI22" i="16"/>
  <c r="AW22" i="16"/>
  <c r="G22" i="44" s="1"/>
  <c r="BK25" i="16"/>
  <c r="BL25" i="16" s="1"/>
  <c r="BD33" i="16"/>
  <c r="BD35" i="16"/>
  <c r="BD30" i="16"/>
  <c r="BD29" i="16"/>
  <c r="BD28" i="16"/>
  <c r="BD34" i="16"/>
  <c r="BD37" i="16"/>
  <c r="BD23" i="16"/>
  <c r="BD26" i="16"/>
  <c r="BD31" i="16"/>
  <c r="BA7" i="16"/>
  <c r="BC7" i="16" s="1"/>
  <c r="BA6" i="16"/>
  <c r="BC6" i="16" s="1"/>
  <c r="I27" i="9"/>
  <c r="J27" i="9"/>
  <c r="D25" i="27"/>
  <c r="E25" i="27" s="1"/>
  <c r="BA8" i="16"/>
  <c r="BC8" i="16" s="1"/>
  <c r="BA11" i="16"/>
  <c r="BC11" i="16" s="1"/>
  <c r="BA9" i="16"/>
  <c r="BC9" i="16" s="1"/>
  <c r="BK31" i="16"/>
  <c r="BL31" i="16" s="1"/>
  <c r="BG26" i="16"/>
  <c r="BK27" i="16"/>
  <c r="BL27" i="16" s="1"/>
  <c r="BG29" i="16"/>
  <c r="BK29" i="16"/>
  <c r="BL29" i="16" s="1"/>
  <c r="BG35" i="16"/>
  <c r="BG36" i="16"/>
  <c r="BK34" i="16"/>
  <c r="BL34" i="16" s="1"/>
  <c r="BG28" i="16"/>
  <c r="BK28" i="16"/>
  <c r="BL28" i="16" s="1"/>
  <c r="BG33" i="16"/>
  <c r="BK33" i="16"/>
  <c r="BL33" i="16" s="1"/>
  <c r="AE5" i="57" l="1"/>
  <c r="AF5" i="57" s="1"/>
  <c r="K39" i="17"/>
  <c r="Z39" i="17" s="1"/>
  <c r="K38" i="17"/>
  <c r="Z38" i="17" s="1"/>
  <c r="K41" i="17"/>
  <c r="Z41" i="17" s="1"/>
  <c r="K40" i="17"/>
  <c r="Z40" i="17" s="1"/>
  <c r="K37" i="17"/>
  <c r="AE14" i="57"/>
  <c r="AF14" i="57" s="1"/>
  <c r="K87" i="17"/>
  <c r="Z87" i="17" s="1"/>
  <c r="K86" i="17"/>
  <c r="Z86" i="17" s="1"/>
  <c r="K88" i="17"/>
  <c r="Z88" i="17" s="1"/>
  <c r="K89" i="17"/>
  <c r="Z89" i="17" s="1"/>
  <c r="K85" i="17"/>
  <c r="Z85" i="17" s="1"/>
  <c r="AE4" i="57"/>
  <c r="AF4" i="57" s="1"/>
  <c r="K36" i="17"/>
  <c r="Z36" i="17" s="1"/>
  <c r="K35" i="17"/>
  <c r="Z35" i="17" s="1"/>
  <c r="K34" i="17"/>
  <c r="Z34" i="17" s="1"/>
  <c r="K33" i="17"/>
  <c r="Z33" i="17" s="1"/>
  <c r="K32" i="17"/>
  <c r="Z32" i="17" s="1"/>
  <c r="AE7" i="57"/>
  <c r="AF7" i="57" s="1"/>
  <c r="K47" i="17"/>
  <c r="Z47" i="17" s="1"/>
  <c r="K50" i="17"/>
  <c r="Z50" i="17" s="1"/>
  <c r="K51" i="17"/>
  <c r="Z51" i="17" s="1"/>
  <c r="K49" i="17"/>
  <c r="Z49" i="17" s="1"/>
  <c r="K48" i="17"/>
  <c r="Z48" i="17" s="1"/>
  <c r="AE15" i="57"/>
  <c r="AF15" i="57" s="1"/>
  <c r="K94" i="17"/>
  <c r="Z94" i="17" s="1"/>
  <c r="K92" i="17"/>
  <c r="Z92" i="17" s="1"/>
  <c r="K91" i="17"/>
  <c r="Z91" i="17" s="1"/>
  <c r="K90" i="17"/>
  <c r="Z90" i="17" s="1"/>
  <c r="K93" i="17"/>
  <c r="Z93" i="17" s="1"/>
  <c r="AE8" i="57"/>
  <c r="AF8" i="57" s="1"/>
  <c r="K55" i="17"/>
  <c r="Z55" i="17" s="1"/>
  <c r="K54" i="17"/>
  <c r="Z54" i="17" s="1"/>
  <c r="K52" i="17"/>
  <c r="Z52" i="17" s="1"/>
  <c r="K56" i="17"/>
  <c r="Z56" i="17" s="1"/>
  <c r="K57" i="17"/>
  <c r="Z57" i="17" s="1"/>
  <c r="K53" i="17"/>
  <c r="Z53" i="17" s="1"/>
  <c r="J83" i="17"/>
  <c r="J82" i="17"/>
  <c r="J81" i="17"/>
  <c r="J80" i="17"/>
  <c r="J84" i="17"/>
  <c r="AE12" i="57"/>
  <c r="AF12" i="57" s="1"/>
  <c r="K79" i="17"/>
  <c r="Z79" i="17" s="1"/>
  <c r="K78" i="17"/>
  <c r="Z78" i="17" s="1"/>
  <c r="K76" i="17"/>
  <c r="Z76" i="17" s="1"/>
  <c r="K75" i="17"/>
  <c r="Z75" i="17" s="1"/>
  <c r="K77" i="17"/>
  <c r="Z77" i="17" s="1"/>
  <c r="AE3" i="57"/>
  <c r="AF3" i="57" s="1"/>
  <c r="K31" i="17"/>
  <c r="K30" i="17"/>
  <c r="K28" i="17"/>
  <c r="K27" i="17"/>
  <c r="K29" i="17"/>
  <c r="AE6" i="57"/>
  <c r="AF6" i="57" s="1"/>
  <c r="K46" i="17"/>
  <c r="Z46" i="17" s="1"/>
  <c r="K44" i="17"/>
  <c r="Z44" i="17" s="1"/>
  <c r="K43" i="17"/>
  <c r="Z43" i="17" s="1"/>
  <c r="K42" i="17"/>
  <c r="Z42" i="17" s="1"/>
  <c r="K45" i="17"/>
  <c r="Z45" i="17" s="1"/>
  <c r="AE11" i="57"/>
  <c r="AF11" i="57" s="1"/>
  <c r="K71" i="17"/>
  <c r="Z71" i="17" s="1"/>
  <c r="K70" i="17"/>
  <c r="Z70" i="17" s="1"/>
  <c r="K74" i="17"/>
  <c r="Z74" i="17" s="1"/>
  <c r="K73" i="17"/>
  <c r="Z73" i="17" s="1"/>
  <c r="K69" i="17"/>
  <c r="Z69" i="17" s="1"/>
  <c r="K72" i="17"/>
  <c r="Z72" i="17" s="1"/>
  <c r="J155" i="17"/>
  <c r="J154" i="17"/>
  <c r="J153" i="17"/>
  <c r="J152" i="17"/>
  <c r="J151" i="17"/>
  <c r="J150" i="17"/>
  <c r="E8" i="44"/>
  <c r="AK2" i="57"/>
  <c r="AL2" i="57" s="1"/>
  <c r="AA13" i="55"/>
  <c r="AB13" i="55" s="1"/>
  <c r="AA13" i="57"/>
  <c r="AB13" i="57" s="1"/>
  <c r="AA17" i="55"/>
  <c r="AB17" i="55" s="1"/>
  <c r="AA17" i="57"/>
  <c r="AB17" i="57" s="1"/>
  <c r="E5" i="44"/>
  <c r="AA25" i="55"/>
  <c r="AB25" i="55" s="1"/>
  <c r="AA25" i="57"/>
  <c r="AB25" i="57" s="1"/>
  <c r="E7" i="44"/>
  <c r="AK9" i="55"/>
  <c r="AL9" i="55" s="1"/>
  <c r="AK9" i="57"/>
  <c r="AL9" i="57" s="1"/>
  <c r="E6" i="44"/>
  <c r="AK10" i="55"/>
  <c r="AL10" i="55" s="1"/>
  <c r="AK10" i="57"/>
  <c r="AL10" i="57" s="1"/>
  <c r="E9" i="44"/>
  <c r="AK2" i="55"/>
  <c r="AL2" i="55" s="1"/>
  <c r="AE8" i="55"/>
  <c r="AF8" i="55" s="1"/>
  <c r="AE7" i="55"/>
  <c r="AF7" i="55" s="1"/>
  <c r="AE5" i="55"/>
  <c r="AF5" i="55" s="1"/>
  <c r="BW21" i="16"/>
  <c r="AE14" i="55"/>
  <c r="AF14" i="55" s="1"/>
  <c r="AE4" i="55"/>
  <c r="AF4" i="55" s="1"/>
  <c r="BW22" i="16"/>
  <c r="CJ22" i="16" s="1"/>
  <c r="CK22" i="16" s="1"/>
  <c r="AE15" i="55"/>
  <c r="AF15" i="55" s="1"/>
  <c r="BW19" i="16"/>
  <c r="AE12" i="55"/>
  <c r="AF12" i="55" s="1"/>
  <c r="AE3" i="55"/>
  <c r="AF3" i="55" s="1"/>
  <c r="AE6" i="55"/>
  <c r="AF6" i="55" s="1"/>
  <c r="AE11" i="55"/>
  <c r="AF11" i="55" s="1"/>
  <c r="AE10" i="16"/>
  <c r="AC10" i="16" s="1"/>
  <c r="BW10" i="16" s="1"/>
  <c r="CJ10" i="16" s="1"/>
  <c r="CK10" i="16" s="1"/>
  <c r="AE22" i="16"/>
  <c r="AC22" i="16" s="1"/>
  <c r="G84" i="17"/>
  <c r="G83" i="17"/>
  <c r="G82" i="17"/>
  <c r="G81" i="17"/>
  <c r="G80" i="17"/>
  <c r="BH10" i="16"/>
  <c r="G100" i="17"/>
  <c r="G104" i="17"/>
  <c r="G102" i="17"/>
  <c r="G103" i="17"/>
  <c r="G101" i="17"/>
  <c r="G154" i="17"/>
  <c r="G153" i="17"/>
  <c r="G152" i="17"/>
  <c r="G151" i="17"/>
  <c r="G150" i="17"/>
  <c r="G155" i="17"/>
  <c r="BB9" i="16"/>
  <c r="BD9" i="16" s="1"/>
  <c r="AE11" i="16"/>
  <c r="AC11" i="16" s="1"/>
  <c r="BW11" i="16" s="1"/>
  <c r="CJ11" i="16" s="1"/>
  <c r="CK11" i="16" s="1"/>
  <c r="AE14" i="16"/>
  <c r="AC14" i="16" s="1"/>
  <c r="BW14" i="16" s="1"/>
  <c r="CN14" i="16" s="1"/>
  <c r="BF14" i="16"/>
  <c r="BG14" i="16" s="1"/>
  <c r="D12" i="44"/>
  <c r="CN16" i="16"/>
  <c r="BH11" i="16"/>
  <c r="D11" i="44"/>
  <c r="D22" i="44"/>
  <c r="H22" i="44" s="1"/>
  <c r="B20" i="44"/>
  <c r="AE12" i="16"/>
  <c r="AC12" i="16" s="1"/>
  <c r="BW12" i="16" s="1"/>
  <c r="CN12" i="16" s="1"/>
  <c r="BH22" i="16"/>
  <c r="BH14" i="16"/>
  <c r="D10" i="44"/>
  <c r="BH18" i="16"/>
  <c r="V20" i="16"/>
  <c r="AF20" i="16" s="1"/>
  <c r="AB20" i="16" s="1"/>
  <c r="BB5" i="16"/>
  <c r="BD5" i="16" s="1"/>
  <c r="G5" i="44"/>
  <c r="H5" i="44" s="1"/>
  <c r="BF16" i="16"/>
  <c r="BG16" i="16" s="1"/>
  <c r="G16" i="44"/>
  <c r="H16" i="44" s="1"/>
  <c r="D19" i="44"/>
  <c r="AX6" i="16"/>
  <c r="G6" i="44"/>
  <c r="BI15" i="16"/>
  <c r="BH15" i="16"/>
  <c r="D18" i="44"/>
  <c r="AE13" i="16"/>
  <c r="AC13" i="16" s="1"/>
  <c r="BW13" i="16" s="1"/>
  <c r="D13" i="44"/>
  <c r="AW19" i="16"/>
  <c r="G19" i="44" s="1"/>
  <c r="J19" i="44" s="1"/>
  <c r="BH19" i="16"/>
  <c r="Z24" i="16"/>
  <c r="CM24" i="16" s="1"/>
  <c r="B24" i="44"/>
  <c r="AW12" i="16"/>
  <c r="BF12" i="16" s="1"/>
  <c r="BG12" i="16" s="1"/>
  <c r="BH12" i="16"/>
  <c r="BF8" i="16"/>
  <c r="BG8" i="16" s="1"/>
  <c r="G8" i="44"/>
  <c r="H8" i="44" s="1"/>
  <c r="BH21" i="16"/>
  <c r="CJ16" i="16"/>
  <c r="CK16" i="16" s="1"/>
  <c r="E16" i="44"/>
  <c r="G17" i="44"/>
  <c r="H17" i="44" s="1"/>
  <c r="BB17" i="16"/>
  <c r="BD17" i="16" s="1"/>
  <c r="AX17" i="16"/>
  <c r="Z32" i="16"/>
  <c r="B32" i="44"/>
  <c r="AX9" i="16"/>
  <c r="G9" i="44"/>
  <c r="H9" i="44" s="1"/>
  <c r="D21" i="44"/>
  <c r="AX10" i="16"/>
  <c r="G10" i="44"/>
  <c r="J22" i="44"/>
  <c r="BF17" i="16"/>
  <c r="BG17" i="16" s="1"/>
  <c r="AE15" i="16"/>
  <c r="AC15" i="16" s="1"/>
  <c r="BW15" i="16" s="1"/>
  <c r="D15" i="44"/>
  <c r="I14" i="44"/>
  <c r="BF7" i="16"/>
  <c r="BG7" i="16" s="1"/>
  <c r="G7" i="44"/>
  <c r="H7" i="44" s="1"/>
  <c r="AX11" i="16"/>
  <c r="G11" i="44"/>
  <c r="BF11" i="16"/>
  <c r="BG11" i="16" s="1"/>
  <c r="E22" i="44"/>
  <c r="BH13" i="16"/>
  <c r="CJ17" i="16"/>
  <c r="CK17" i="16" s="1"/>
  <c r="E17" i="44"/>
  <c r="AE19" i="16"/>
  <c r="AC19" i="16" s="1"/>
  <c r="AE21" i="16"/>
  <c r="AC21" i="16" s="1"/>
  <c r="BI19" i="16"/>
  <c r="AE18" i="16"/>
  <c r="AC18" i="16" s="1"/>
  <c r="BW18" i="16" s="1"/>
  <c r="BA18" i="16"/>
  <c r="BC18" i="16" s="1"/>
  <c r="BI18" i="16"/>
  <c r="AW18" i="16"/>
  <c r="CN17" i="16"/>
  <c r="BA21" i="16"/>
  <c r="BC21" i="16" s="1"/>
  <c r="AW15" i="16"/>
  <c r="CN8" i="16"/>
  <c r="CJ8" i="16"/>
  <c r="CK8" i="16" s="1"/>
  <c r="CN5" i="16"/>
  <c r="CJ5" i="16"/>
  <c r="CK5" i="16" s="1"/>
  <c r="CN9" i="16"/>
  <c r="CJ9" i="16"/>
  <c r="CK9" i="16" s="1"/>
  <c r="CN6" i="16"/>
  <c r="CJ6" i="16"/>
  <c r="CK6" i="16" s="1"/>
  <c r="CN7" i="16"/>
  <c r="CJ7" i="16"/>
  <c r="CK7" i="16" s="1"/>
  <c r="AW21" i="16"/>
  <c r="BA12" i="16"/>
  <c r="BC12" i="16" s="1"/>
  <c r="BI21" i="16"/>
  <c r="BI12" i="16"/>
  <c r="BB16" i="16"/>
  <c r="BD16" i="16" s="1"/>
  <c r="AX16" i="16"/>
  <c r="BA13" i="16"/>
  <c r="BC13" i="16" s="1"/>
  <c r="AF24" i="16"/>
  <c r="AB24" i="16" s="1"/>
  <c r="AS32" i="16"/>
  <c r="U32" i="16"/>
  <c r="Z20" i="16"/>
  <c r="CM20" i="16" s="1"/>
  <c r="BI13" i="16"/>
  <c r="AW13" i="16"/>
  <c r="U24" i="16"/>
  <c r="AF32" i="16"/>
  <c r="AH24" i="16"/>
  <c r="W24" i="16"/>
  <c r="G11" i="9"/>
  <c r="B5" i="27"/>
  <c r="G7" i="9" s="1"/>
  <c r="E12" i="9"/>
  <c r="B3" i="27"/>
  <c r="D3" i="27" s="1"/>
  <c r="E3" i="27" s="1"/>
  <c r="AX7" i="16"/>
  <c r="BB6" i="16"/>
  <c r="BD6" i="16" s="1"/>
  <c r="AX5" i="16"/>
  <c r="AX8" i="16"/>
  <c r="BB8" i="16"/>
  <c r="BD8" i="16" s="1"/>
  <c r="BF5" i="16"/>
  <c r="BG5" i="16" s="1"/>
  <c r="BF6" i="16"/>
  <c r="BG6" i="16" s="1"/>
  <c r="BF10" i="16"/>
  <c r="BG10" i="16" s="1"/>
  <c r="AX22" i="16"/>
  <c r="BF22" i="16"/>
  <c r="BB22" i="16"/>
  <c r="BD22" i="16" s="1"/>
  <c r="BK9" i="16"/>
  <c r="BL9" i="16" s="1"/>
  <c r="BD11" i="16"/>
  <c r="D11" i="9"/>
  <c r="BB7" i="16"/>
  <c r="BA5" i="16"/>
  <c r="BC5" i="16" s="1"/>
  <c r="BB10" i="16"/>
  <c r="BA10" i="16"/>
  <c r="BC10" i="16" s="1"/>
  <c r="B6" i="27"/>
  <c r="B23" i="27"/>
  <c r="B14" i="27"/>
  <c r="B27" i="27"/>
  <c r="H29" i="9" s="1"/>
  <c r="B2" i="27"/>
  <c r="B13" i="27"/>
  <c r="B28" i="27"/>
  <c r="B24" i="27"/>
  <c r="B20" i="27"/>
  <c r="B22" i="27"/>
  <c r="B26" i="27"/>
  <c r="E10" i="44" l="1"/>
  <c r="CN22" i="16"/>
  <c r="E14" i="44"/>
  <c r="CJ14" i="16"/>
  <c r="CK14" i="16" s="1"/>
  <c r="B11" i="27"/>
  <c r="E12" i="44"/>
  <c r="CJ12" i="16"/>
  <c r="CK12" i="16" s="1"/>
  <c r="CN10" i="16"/>
  <c r="AK3" i="55"/>
  <c r="AL3" i="55" s="1"/>
  <c r="AK3" i="57"/>
  <c r="AL3" i="57" s="1"/>
  <c r="B19" i="27"/>
  <c r="D19" i="27" s="1"/>
  <c r="E19" i="27" s="1"/>
  <c r="J25" i="55"/>
  <c r="J25" i="57"/>
  <c r="AK12" i="55"/>
  <c r="AL12" i="55" s="1"/>
  <c r="AK12" i="57"/>
  <c r="AL12" i="57" s="1"/>
  <c r="AK5" i="55"/>
  <c r="AL5" i="55" s="1"/>
  <c r="AK5" i="57"/>
  <c r="AL5" i="57" s="1"/>
  <c r="AK14" i="55"/>
  <c r="AL14" i="55" s="1"/>
  <c r="AK14" i="57"/>
  <c r="AL14" i="57" s="1"/>
  <c r="J17" i="55"/>
  <c r="J17" i="57"/>
  <c r="AK11" i="55"/>
  <c r="AL11" i="55" s="1"/>
  <c r="AK11" i="57"/>
  <c r="AL11" i="57" s="1"/>
  <c r="AK15" i="55"/>
  <c r="AL15" i="55" s="1"/>
  <c r="AK15" i="57"/>
  <c r="AL15" i="57" s="1"/>
  <c r="AK7" i="55"/>
  <c r="AL7" i="55" s="1"/>
  <c r="AK7" i="57"/>
  <c r="AL7" i="57" s="1"/>
  <c r="AK6" i="55"/>
  <c r="AL6" i="55" s="1"/>
  <c r="AK6" i="57"/>
  <c r="AL6" i="57" s="1"/>
  <c r="AK4" i="55"/>
  <c r="AL4" i="55" s="1"/>
  <c r="AK4" i="57"/>
  <c r="AL4" i="57" s="1"/>
  <c r="AK8" i="55"/>
  <c r="AL8" i="55" s="1"/>
  <c r="AK8" i="57"/>
  <c r="AL8" i="57" s="1"/>
  <c r="CN11" i="16"/>
  <c r="E11" i="44"/>
  <c r="O150" i="17"/>
  <c r="N150" i="17"/>
  <c r="AC150" i="17" s="1"/>
  <c r="L150" i="17"/>
  <c r="X150" i="17"/>
  <c r="X104" i="17"/>
  <c r="AH104" i="17" s="1"/>
  <c r="O104" i="17"/>
  <c r="L104" i="17"/>
  <c r="O151" i="17"/>
  <c r="N151" i="17"/>
  <c r="AC151" i="17" s="1"/>
  <c r="L151" i="17"/>
  <c r="X151" i="17"/>
  <c r="X100" i="17"/>
  <c r="L100" i="17"/>
  <c r="O100" i="17"/>
  <c r="O152" i="17"/>
  <c r="X152" i="17"/>
  <c r="N152" i="17"/>
  <c r="AC152" i="17" s="1"/>
  <c r="L152" i="17"/>
  <c r="O153" i="17"/>
  <c r="X153" i="17"/>
  <c r="L153" i="17"/>
  <c r="N153" i="17"/>
  <c r="AC153" i="17" s="1"/>
  <c r="X80" i="17"/>
  <c r="O80" i="17"/>
  <c r="L80" i="17"/>
  <c r="O154" i="17"/>
  <c r="N154" i="17"/>
  <c r="AC154" i="17" s="1"/>
  <c r="X154" i="17"/>
  <c r="L154" i="17"/>
  <c r="X81" i="17"/>
  <c r="O81" i="17"/>
  <c r="L81" i="17"/>
  <c r="X101" i="17"/>
  <c r="L101" i="17"/>
  <c r="O101" i="17"/>
  <c r="O82" i="17"/>
  <c r="X82" i="17"/>
  <c r="L82" i="17"/>
  <c r="X103" i="17"/>
  <c r="L103" i="17"/>
  <c r="O103" i="17"/>
  <c r="X83" i="17"/>
  <c r="O83" i="17"/>
  <c r="L83" i="17"/>
  <c r="O155" i="17"/>
  <c r="L155" i="17"/>
  <c r="X155" i="17"/>
  <c r="N155" i="17"/>
  <c r="AC155" i="17" s="1"/>
  <c r="X102" i="17"/>
  <c r="AH102" i="17" s="1"/>
  <c r="L102" i="17"/>
  <c r="O102" i="17"/>
  <c r="O84" i="17"/>
  <c r="X84" i="17"/>
  <c r="AH84" i="17" s="1"/>
  <c r="L84" i="17"/>
  <c r="BB19" i="16"/>
  <c r="BD19" i="16" s="1"/>
  <c r="BF19" i="16"/>
  <c r="BG19" i="16" s="1"/>
  <c r="BB12" i="16"/>
  <c r="BD12" i="16" s="1"/>
  <c r="BK14" i="16"/>
  <c r="BL14" i="16" s="1"/>
  <c r="I22" i="44"/>
  <c r="E13" i="44"/>
  <c r="B15" i="27"/>
  <c r="D17" i="9" s="1"/>
  <c r="CN19" i="16"/>
  <c r="B18" i="27"/>
  <c r="G20" i="9" s="1"/>
  <c r="Y24" i="16"/>
  <c r="U20" i="16"/>
  <c r="J13" i="57" s="1"/>
  <c r="AH20" i="16"/>
  <c r="CN21" i="16"/>
  <c r="W20" i="16"/>
  <c r="BK8" i="16"/>
  <c r="BL8" i="16" s="1"/>
  <c r="BK17" i="16"/>
  <c r="BL17" i="16" s="1"/>
  <c r="BK16" i="16"/>
  <c r="BL16" i="16" s="1"/>
  <c r="BK7" i="16"/>
  <c r="BL7" i="16" s="1"/>
  <c r="BF21" i="16"/>
  <c r="BG21" i="16" s="1"/>
  <c r="G21" i="44"/>
  <c r="CJ15" i="16"/>
  <c r="CK15" i="16" s="1"/>
  <c r="E15" i="44"/>
  <c r="J6" i="44"/>
  <c r="I6" i="44"/>
  <c r="CN18" i="16"/>
  <c r="AX12" i="16"/>
  <c r="G12" i="44"/>
  <c r="J10" i="44"/>
  <c r="I10" i="44"/>
  <c r="H10" i="44"/>
  <c r="BF15" i="16"/>
  <c r="BG15" i="16" s="1"/>
  <c r="G15" i="44"/>
  <c r="H15" i="44" s="1"/>
  <c r="J11" i="44"/>
  <c r="H11" i="44"/>
  <c r="I11" i="44"/>
  <c r="H21" i="44"/>
  <c r="I16" i="44"/>
  <c r="J16" i="44"/>
  <c r="CJ19" i="16"/>
  <c r="CK19" i="16" s="1"/>
  <c r="E19" i="44"/>
  <c r="CJ21" i="16"/>
  <c r="CK21" i="16" s="1"/>
  <c r="E21" i="44"/>
  <c r="I19" i="44"/>
  <c r="H19" i="44"/>
  <c r="B12" i="27"/>
  <c r="F14" i="9" s="1"/>
  <c r="CJ18" i="16"/>
  <c r="CK18" i="16" s="1"/>
  <c r="E18" i="44"/>
  <c r="BK11" i="16"/>
  <c r="BL11" i="16" s="1"/>
  <c r="B16" i="27"/>
  <c r="G18" i="9" s="1"/>
  <c r="AX15" i="16"/>
  <c r="AX13" i="16"/>
  <c r="G13" i="44"/>
  <c r="H13" i="44" s="1"/>
  <c r="J7" i="44"/>
  <c r="I7" i="44"/>
  <c r="H6" i="44"/>
  <c r="I8" i="44"/>
  <c r="J8" i="44"/>
  <c r="J5" i="44"/>
  <c r="I5" i="44"/>
  <c r="BF18" i="16"/>
  <c r="BG18" i="16" s="1"/>
  <c r="G18" i="44"/>
  <c r="H18" i="44" s="1"/>
  <c r="AX19" i="16"/>
  <c r="I9" i="44"/>
  <c r="J9" i="44"/>
  <c r="I17" i="44"/>
  <c r="J17" i="44"/>
  <c r="CN15" i="16"/>
  <c r="AX18" i="16"/>
  <c r="AB32" i="16"/>
  <c r="BB18" i="16"/>
  <c r="BD18" i="16" s="1"/>
  <c r="BB15" i="16"/>
  <c r="BD15" i="16" s="1"/>
  <c r="AX21" i="16"/>
  <c r="BB21" i="16"/>
  <c r="BD21" i="16" s="1"/>
  <c r="BK12" i="16"/>
  <c r="BL12" i="16" s="1"/>
  <c r="F5" i="9"/>
  <c r="BF13" i="16"/>
  <c r="BG13" i="16" s="1"/>
  <c r="F12" i="9"/>
  <c r="BB13" i="16"/>
  <c r="BD13" i="16" s="1"/>
  <c r="D5" i="9"/>
  <c r="G5" i="9"/>
  <c r="F11" i="9"/>
  <c r="CJ13" i="16"/>
  <c r="CK13" i="16" s="1"/>
  <c r="CN13" i="16"/>
  <c r="E11" i="9"/>
  <c r="D9" i="27"/>
  <c r="E9" i="27" s="1"/>
  <c r="AU24" i="16"/>
  <c r="AT24" i="16"/>
  <c r="AV24" i="16" s="1"/>
  <c r="CC24" i="16"/>
  <c r="CF24" i="16" s="1"/>
  <c r="CH24" i="16" s="1"/>
  <c r="CI24" i="16" s="1"/>
  <c r="AZ24" i="16"/>
  <c r="AY24" i="16"/>
  <c r="C11" i="9"/>
  <c r="D10" i="27"/>
  <c r="E10" i="27" s="1"/>
  <c r="G12" i="9"/>
  <c r="C12" i="9"/>
  <c r="C5" i="9"/>
  <c r="D12" i="9"/>
  <c r="C7" i="9"/>
  <c r="E5" i="9"/>
  <c r="D7" i="9"/>
  <c r="F7" i="9"/>
  <c r="D5" i="27"/>
  <c r="E5" i="27" s="1"/>
  <c r="E7" i="9"/>
  <c r="BK5" i="16"/>
  <c r="BL5" i="16" s="1"/>
  <c r="BK10" i="16"/>
  <c r="BL10" i="16" s="1"/>
  <c r="BK6" i="16"/>
  <c r="BL6" i="16" s="1"/>
  <c r="BG22" i="16"/>
  <c r="BK22" i="16"/>
  <c r="BL22" i="16" s="1"/>
  <c r="F28" i="9"/>
  <c r="H28" i="9"/>
  <c r="BD7" i="16"/>
  <c r="BD10" i="16"/>
  <c r="I15" i="9"/>
  <c r="G15" i="9"/>
  <c r="F15" i="9"/>
  <c r="E15" i="9"/>
  <c r="D15" i="9"/>
  <c r="C15" i="9"/>
  <c r="D13" i="27"/>
  <c r="E13" i="27" s="1"/>
  <c r="F25" i="9"/>
  <c r="E25" i="9"/>
  <c r="D25" i="9"/>
  <c r="C25" i="9"/>
  <c r="G25" i="9"/>
  <c r="D23" i="27"/>
  <c r="E23" i="27" s="1"/>
  <c r="C8" i="9"/>
  <c r="G8" i="9"/>
  <c r="F8" i="9"/>
  <c r="E8" i="9"/>
  <c r="D8" i="9"/>
  <c r="D6" i="27"/>
  <c r="E6" i="27" s="1"/>
  <c r="G10" i="9"/>
  <c r="F10" i="9"/>
  <c r="E10" i="9"/>
  <c r="D10" i="9"/>
  <c r="C10" i="9"/>
  <c r="D8" i="27"/>
  <c r="E8" i="27" s="1"/>
  <c r="B4" i="27"/>
  <c r="I26" i="9"/>
  <c r="G26" i="9"/>
  <c r="F26" i="9"/>
  <c r="E26" i="9"/>
  <c r="D26" i="9"/>
  <c r="C26" i="9"/>
  <c r="D24" i="27"/>
  <c r="E24" i="27" s="1"/>
  <c r="G28" i="9"/>
  <c r="E28" i="9"/>
  <c r="J28" i="9"/>
  <c r="D28" i="9"/>
  <c r="C28" i="9"/>
  <c r="D26" i="27"/>
  <c r="E26" i="27" s="1"/>
  <c r="D30" i="9"/>
  <c r="C30" i="9"/>
  <c r="G30" i="9"/>
  <c r="F30" i="9"/>
  <c r="D28" i="27"/>
  <c r="E28" i="27" s="1"/>
  <c r="C24" i="9"/>
  <c r="G24" i="9"/>
  <c r="F24" i="9"/>
  <c r="E24" i="9"/>
  <c r="D24" i="9"/>
  <c r="D22" i="27"/>
  <c r="E22" i="27" s="1"/>
  <c r="I29" i="9"/>
  <c r="G29" i="9"/>
  <c r="F29" i="9"/>
  <c r="E29" i="9"/>
  <c r="D29" i="9"/>
  <c r="C29" i="9"/>
  <c r="D27" i="27"/>
  <c r="E27" i="27" s="1"/>
  <c r="G13" i="9"/>
  <c r="F13" i="9"/>
  <c r="E13" i="9"/>
  <c r="D13" i="9"/>
  <c r="C13" i="9"/>
  <c r="D11" i="27"/>
  <c r="E11" i="27" s="1"/>
  <c r="D22" i="9"/>
  <c r="C22" i="9"/>
  <c r="F22" i="9"/>
  <c r="D20" i="27"/>
  <c r="E20" i="27" s="1"/>
  <c r="C16" i="9"/>
  <c r="G16" i="9"/>
  <c r="F16" i="9"/>
  <c r="E16" i="9"/>
  <c r="D16" i="9"/>
  <c r="D14" i="27"/>
  <c r="E14" i="27" s="1"/>
  <c r="F21" i="9" l="1"/>
  <c r="D21" i="9"/>
  <c r="E21" i="9"/>
  <c r="AZ20" i="16"/>
  <c r="J13" i="55"/>
  <c r="BK19" i="16"/>
  <c r="BL19" i="16" s="1"/>
  <c r="AE103" i="17"/>
  <c r="AB103" i="17"/>
  <c r="AD103" i="17"/>
  <c r="AE81" i="17"/>
  <c r="AD81" i="17"/>
  <c r="AB81" i="17"/>
  <c r="AD104" i="17"/>
  <c r="AE104" i="17"/>
  <c r="AB104" i="17"/>
  <c r="AE84" i="17"/>
  <c r="AD84" i="17"/>
  <c r="AB84" i="17"/>
  <c r="AD154" i="17"/>
  <c r="AB154" i="17"/>
  <c r="AE154" i="17"/>
  <c r="AE153" i="17"/>
  <c r="AB153" i="17"/>
  <c r="AD153" i="17"/>
  <c r="AD100" i="17"/>
  <c r="AE100" i="17"/>
  <c r="AB100" i="17"/>
  <c r="AB83" i="17"/>
  <c r="AD83" i="17"/>
  <c r="AE83" i="17"/>
  <c r="AE155" i="17"/>
  <c r="AB155" i="17"/>
  <c r="AD150" i="17"/>
  <c r="AB150" i="17"/>
  <c r="AE150" i="17"/>
  <c r="AD82" i="17"/>
  <c r="AB82" i="17"/>
  <c r="AE82" i="17"/>
  <c r="AB102" i="17"/>
  <c r="AE102" i="17"/>
  <c r="AD102" i="17"/>
  <c r="AB101" i="17"/>
  <c r="AD101" i="17"/>
  <c r="AE101" i="17"/>
  <c r="AD152" i="17"/>
  <c r="AE152" i="17"/>
  <c r="AB152" i="17"/>
  <c r="AD151" i="17"/>
  <c r="AB151" i="17"/>
  <c r="AE151" i="17"/>
  <c r="AB80" i="17"/>
  <c r="AD80" i="17"/>
  <c r="AE80" i="17"/>
  <c r="G17" i="9"/>
  <c r="I17" i="9"/>
  <c r="E17" i="9"/>
  <c r="F17" i="9"/>
  <c r="C20" i="9"/>
  <c r="D15" i="27"/>
  <c r="E15" i="27" s="1"/>
  <c r="D18" i="27"/>
  <c r="E18" i="27" s="1"/>
  <c r="D20" i="9"/>
  <c r="F20" i="9"/>
  <c r="C18" i="9"/>
  <c r="D18" i="9"/>
  <c r="AD24" i="16"/>
  <c r="AT20" i="16"/>
  <c r="AV20" i="16" s="1"/>
  <c r="AY20" i="16"/>
  <c r="CC20" i="16"/>
  <c r="CF20" i="16" s="1"/>
  <c r="CH20" i="16" s="1"/>
  <c r="CI20" i="16" s="1"/>
  <c r="Y20" i="16"/>
  <c r="AU20" i="16"/>
  <c r="AW20" i="16" s="1"/>
  <c r="F18" i="9"/>
  <c r="D16" i="27"/>
  <c r="E16" i="27" s="1"/>
  <c r="E18" i="9"/>
  <c r="BK21" i="16"/>
  <c r="BL21" i="16" s="1"/>
  <c r="G14" i="9"/>
  <c r="C14" i="9"/>
  <c r="D14" i="9"/>
  <c r="BK18" i="16"/>
  <c r="BL18" i="16" s="1"/>
  <c r="D12" i="27"/>
  <c r="E12" i="27" s="1"/>
  <c r="E14" i="9"/>
  <c r="I14" i="9"/>
  <c r="BK15" i="16"/>
  <c r="BL15" i="16" s="1"/>
  <c r="J18" i="44"/>
  <c r="I18" i="44"/>
  <c r="J13" i="44"/>
  <c r="I13" i="44"/>
  <c r="J21" i="44"/>
  <c r="I21" i="44"/>
  <c r="J15" i="44"/>
  <c r="I15" i="44"/>
  <c r="J12" i="44"/>
  <c r="I12" i="44"/>
  <c r="H12" i="44"/>
  <c r="BK13" i="16"/>
  <c r="BL13" i="16" s="1"/>
  <c r="BI24" i="16"/>
  <c r="K11" i="9"/>
  <c r="BA24" i="16"/>
  <c r="BC24" i="16" s="1"/>
  <c r="AW24" i="16"/>
  <c r="K5" i="9"/>
  <c r="K12" i="9"/>
  <c r="K7" i="9"/>
  <c r="E9" i="9"/>
  <c r="D9" i="9"/>
  <c r="D7" i="27"/>
  <c r="E7" i="27" s="1"/>
  <c r="C9" i="9"/>
  <c r="G9" i="9"/>
  <c r="F9" i="9"/>
  <c r="K22" i="9"/>
  <c r="K15" i="9"/>
  <c r="K24" i="9"/>
  <c r="E6" i="9"/>
  <c r="D6" i="9"/>
  <c r="C6" i="9"/>
  <c r="G6" i="9"/>
  <c r="F6" i="9"/>
  <c r="D4" i="27"/>
  <c r="E4" i="27" s="1"/>
  <c r="K8" i="9"/>
  <c r="K29" i="9"/>
  <c r="K26" i="9"/>
  <c r="K30" i="9"/>
  <c r="K10" i="9"/>
  <c r="K13" i="9"/>
  <c r="K25" i="9"/>
  <c r="K16" i="9"/>
  <c r="K28" i="9"/>
  <c r="D3" i="13"/>
  <c r="E3" i="13"/>
  <c r="D4" i="13"/>
  <c r="E4" i="13"/>
  <c r="D5" i="13"/>
  <c r="E5" i="13"/>
  <c r="D2" i="13"/>
  <c r="E2" i="13"/>
  <c r="B1" i="13"/>
  <c r="C1" i="13"/>
  <c r="D1" i="13"/>
  <c r="A1" i="13"/>
  <c r="AK46" i="9"/>
  <c r="AM46" i="9" s="1"/>
  <c r="AK45" i="9"/>
  <c r="AM45" i="9" s="1"/>
  <c r="AK44" i="9"/>
  <c r="AM44" i="9" s="1"/>
  <c r="AK43" i="9"/>
  <c r="AM43" i="9" s="1"/>
  <c r="AK42" i="9"/>
  <c r="AM42" i="9" s="1"/>
  <c r="AK41" i="9"/>
  <c r="AL41" i="9" s="1"/>
  <c r="AK40" i="9"/>
  <c r="AL40" i="9" s="1"/>
  <c r="AK39" i="9"/>
  <c r="AM39" i="9" s="1"/>
  <c r="AK38" i="9"/>
  <c r="AL38" i="9" s="1"/>
  <c r="AK37" i="9"/>
  <c r="AL37" i="9" s="1"/>
  <c r="AK36" i="9"/>
  <c r="AM36" i="9" s="1"/>
  <c r="AK35" i="9"/>
  <c r="AM35" i="9" s="1"/>
  <c r="AK34" i="9"/>
  <c r="AL34" i="9" s="1"/>
  <c r="AK33" i="9"/>
  <c r="AL33" i="9" s="1"/>
  <c r="AK32" i="9"/>
  <c r="AM32" i="9" s="1"/>
  <c r="AK31" i="9"/>
  <c r="AM31" i="9" s="1"/>
  <c r="AK30" i="9"/>
  <c r="AL30" i="9" s="1"/>
  <c r="AK29" i="9"/>
  <c r="AM29" i="9" s="1"/>
  <c r="AK28" i="9"/>
  <c r="AM28" i="9" s="1"/>
  <c r="AK27" i="9"/>
  <c r="AM27" i="9" s="1"/>
  <c r="AK26" i="9"/>
  <c r="AL26" i="9" s="1"/>
  <c r="AK25" i="9"/>
  <c r="AL25" i="9" s="1"/>
  <c r="AK24" i="9"/>
  <c r="AM24" i="9" s="1"/>
  <c r="AK23" i="9"/>
  <c r="AM23" i="9" s="1"/>
  <c r="AK22" i="9"/>
  <c r="AL22" i="9" s="1"/>
  <c r="AK21" i="9"/>
  <c r="AM21" i="9" s="1"/>
  <c r="AK20" i="9"/>
  <c r="AL20" i="9" s="1"/>
  <c r="AK19" i="9"/>
  <c r="AM19" i="9" s="1"/>
  <c r="AK18" i="9"/>
  <c r="AL18" i="9" s="1"/>
  <c r="AK17" i="9"/>
  <c r="AL17" i="9" s="1"/>
  <c r="AK16" i="9"/>
  <c r="AM16" i="9" s="1"/>
  <c r="AK15" i="9"/>
  <c r="AM15" i="9" s="1"/>
  <c r="AK14" i="9"/>
  <c r="AL14" i="9" s="1"/>
  <c r="AK13" i="9"/>
  <c r="AL13" i="9" s="1"/>
  <c r="AK12" i="9"/>
  <c r="AM12" i="9" s="1"/>
  <c r="AK11" i="9"/>
  <c r="AM11" i="9" s="1"/>
  <c r="AK10" i="9"/>
  <c r="AL10" i="9" s="1"/>
  <c r="AM9" i="9"/>
  <c r="AK9" i="9"/>
  <c r="AL9" i="9" s="1"/>
  <c r="AK8" i="9"/>
  <c r="AM8" i="9" s="1"/>
  <c r="AK7" i="9"/>
  <c r="AM7" i="9" s="1"/>
  <c r="AK6" i="9"/>
  <c r="AL6" i="9" s="1"/>
  <c r="AK5" i="9"/>
  <c r="AM5" i="9" s="1"/>
  <c r="AK4" i="9"/>
  <c r="AL4" i="9" s="1"/>
  <c r="AE17" i="57" l="1"/>
  <c r="AF17" i="57" s="1"/>
  <c r="K103" i="17"/>
  <c r="Z103" i="17" s="1"/>
  <c r="K102" i="17"/>
  <c r="Z102" i="17" s="1"/>
  <c r="K100" i="17"/>
  <c r="Z100" i="17" s="1"/>
  <c r="K104" i="17"/>
  <c r="Z104" i="17" s="1"/>
  <c r="K101" i="17"/>
  <c r="Z101" i="17" s="1"/>
  <c r="AM33" i="9"/>
  <c r="K21" i="9"/>
  <c r="BW24" i="16"/>
  <c r="CJ24" i="16" s="1"/>
  <c r="CK24" i="16" s="1"/>
  <c r="AE17" i="55"/>
  <c r="AF17" i="55" s="1"/>
  <c r="K17" i="9"/>
  <c r="K20" i="9"/>
  <c r="BH24" i="16"/>
  <c r="BA20" i="16"/>
  <c r="BC20" i="16" s="1"/>
  <c r="AE24" i="16"/>
  <c r="AC24" i="16" s="1"/>
  <c r="AD20" i="16"/>
  <c r="D24" i="44"/>
  <c r="E24" i="44"/>
  <c r="BI20" i="16"/>
  <c r="K18" i="9"/>
  <c r="K14" i="9"/>
  <c r="BB20" i="16"/>
  <c r="BD20" i="16" s="1"/>
  <c r="G20" i="44"/>
  <c r="AX24" i="16"/>
  <c r="G24" i="44"/>
  <c r="AM41" i="9"/>
  <c r="AL44" i="9"/>
  <c r="AL5" i="9"/>
  <c r="AM17" i="9"/>
  <c r="AM37" i="9"/>
  <c r="AM25" i="9"/>
  <c r="AM13" i="9"/>
  <c r="AM22" i="9"/>
  <c r="AM26" i="9"/>
  <c r="AM34" i="9"/>
  <c r="AM38" i="9"/>
  <c r="AL42" i="9"/>
  <c r="AL45" i="9"/>
  <c r="AM14" i="9"/>
  <c r="AL24" i="9"/>
  <c r="AL32" i="9"/>
  <c r="AL35" i="9"/>
  <c r="AM30" i="9"/>
  <c r="AM18" i="9"/>
  <c r="AM6" i="9"/>
  <c r="AM10" i="9"/>
  <c r="AL16" i="9"/>
  <c r="AM40" i="9"/>
  <c r="AL43" i="9"/>
  <c r="AL21" i="9"/>
  <c r="AL29" i="9"/>
  <c r="AL46" i="9"/>
  <c r="AL8" i="9"/>
  <c r="AL36" i="9"/>
  <c r="AL12" i="9"/>
  <c r="AL28" i="9"/>
  <c r="AM4" i="9"/>
  <c r="AL7" i="9"/>
  <c r="AL15" i="9"/>
  <c r="AM20" i="9"/>
  <c r="AL23" i="9"/>
  <c r="AL31" i="9"/>
  <c r="AL39" i="9"/>
  <c r="AL11" i="9"/>
  <c r="AL19" i="9"/>
  <c r="AL27" i="9"/>
  <c r="BB24" i="16"/>
  <c r="BD24" i="16" s="1"/>
  <c r="BF24" i="16"/>
  <c r="BG24" i="16" s="1"/>
  <c r="AX20" i="16"/>
  <c r="K9" i="9"/>
  <c r="K6" i="9"/>
  <c r="AD40" i="4"/>
  <c r="AE40" i="4" s="1"/>
  <c r="AD39" i="4"/>
  <c r="AE13" i="57" l="1"/>
  <c r="AF13" i="57" s="1"/>
  <c r="K84" i="17"/>
  <c r="Z84" i="17" s="1"/>
  <c r="K83" i="17"/>
  <c r="Z83" i="17" s="1"/>
  <c r="K82" i="17"/>
  <c r="Z82" i="17" s="1"/>
  <c r="K81" i="17"/>
  <c r="Z81" i="17" s="1"/>
  <c r="K80" i="17"/>
  <c r="Z80" i="17" s="1"/>
  <c r="B21" i="27"/>
  <c r="C23" i="9" s="1"/>
  <c r="CN24" i="16"/>
  <c r="AK17" i="55"/>
  <c r="AL17" i="55" s="1"/>
  <c r="AK17" i="57"/>
  <c r="AL17" i="57" s="1"/>
  <c r="BW20" i="16"/>
  <c r="CN20" i="16" s="1"/>
  <c r="AE13" i="55"/>
  <c r="AF13" i="55" s="1"/>
  <c r="D20" i="44"/>
  <c r="I20" i="44" s="1"/>
  <c r="BH20" i="16"/>
  <c r="AE20" i="16"/>
  <c r="AC20" i="16" s="1"/>
  <c r="BF20" i="16"/>
  <c r="BG20" i="16" s="1"/>
  <c r="I24" i="44"/>
  <c r="J24" i="44"/>
  <c r="H24" i="44"/>
  <c r="J20" i="44"/>
  <c r="BK24" i="16"/>
  <c r="BL24" i="16" s="1"/>
  <c r="X40" i="4"/>
  <c r="P40" i="4"/>
  <c r="T40" i="4"/>
  <c r="AB40" i="4"/>
  <c r="AC40" i="4" s="1"/>
  <c r="R40" i="4"/>
  <c r="Z40" i="4"/>
  <c r="V40" i="4"/>
  <c r="D23" i="9" l="1"/>
  <c r="CJ20" i="16"/>
  <c r="CK20" i="16" s="1"/>
  <c r="E23" i="9"/>
  <c r="B17" i="27"/>
  <c r="D19" i="9" s="1"/>
  <c r="D21" i="27"/>
  <c r="E21" i="27" s="1"/>
  <c r="AK13" i="55"/>
  <c r="AL13" i="55" s="1"/>
  <c r="AK13" i="57"/>
  <c r="AL13" i="57" s="1"/>
  <c r="K23" i="9"/>
  <c r="H20" i="44"/>
  <c r="BK20" i="16"/>
  <c r="BL20" i="16" s="1"/>
  <c r="E20" i="44"/>
  <c r="F19" i="9"/>
  <c r="C19" i="9"/>
  <c r="Y45" i="10"/>
  <c r="Y43" i="10"/>
  <c r="Y42" i="10"/>
  <c r="Y41" i="10"/>
  <c r="Y40" i="10"/>
  <c r="Y39" i="10"/>
  <c r="Y38" i="10"/>
  <c r="Y37" i="10"/>
  <c r="X45" i="10"/>
  <c r="X43" i="10"/>
  <c r="X42" i="10"/>
  <c r="X41" i="10"/>
  <c r="X40" i="10"/>
  <c r="X39" i="10"/>
  <c r="X38" i="10"/>
  <c r="X37" i="10"/>
  <c r="W45" i="10"/>
  <c r="W43" i="10"/>
  <c r="W42" i="10"/>
  <c r="W41" i="10"/>
  <c r="W40" i="10"/>
  <c r="W39" i="10"/>
  <c r="W38" i="10"/>
  <c r="W37" i="10"/>
  <c r="A46" i="4"/>
  <c r="A44" i="13" s="1"/>
  <c r="D17" i="27" l="1"/>
  <c r="E17" i="27" s="1"/>
  <c r="E19" i="9"/>
  <c r="K19" i="9" s="1"/>
  <c r="F58" i="10"/>
  <c r="F57" i="10"/>
  <c r="F56" i="10"/>
  <c r="F55" i="10"/>
  <c r="F54" i="10"/>
  <c r="F53" i="10"/>
  <c r="F52" i="10"/>
  <c r="F51" i="10"/>
  <c r="F50" i="10"/>
  <c r="F49" i="10"/>
  <c r="F48" i="10"/>
  <c r="T47" i="10"/>
  <c r="T48" i="10"/>
  <c r="T49" i="10"/>
  <c r="S47" i="10"/>
  <c r="S48" i="10"/>
  <c r="S49" i="10"/>
  <c r="R28" i="10"/>
  <c r="S28" i="10" s="1"/>
  <c r="R29" i="10"/>
  <c r="S29" i="10" s="1"/>
  <c r="R30" i="10"/>
  <c r="S30" i="10" s="1"/>
  <c r="R31" i="10"/>
  <c r="S31" i="10" s="1"/>
  <c r="R32" i="10"/>
  <c r="T32" i="10" s="1"/>
  <c r="R33" i="10"/>
  <c r="T33" i="10" s="1"/>
  <c r="R34" i="10"/>
  <c r="S34" i="10" s="1"/>
  <c r="R35" i="10"/>
  <c r="S35" i="10" s="1"/>
  <c r="R36" i="10"/>
  <c r="T36" i="10" s="1"/>
  <c r="R37" i="10"/>
  <c r="T37" i="10" s="1"/>
  <c r="R38" i="10"/>
  <c r="S38" i="10" s="1"/>
  <c r="R39" i="10"/>
  <c r="S39" i="10" s="1"/>
  <c r="R40" i="10"/>
  <c r="T40" i="10" s="1"/>
  <c r="R41" i="10"/>
  <c r="S41" i="10" s="1"/>
  <c r="R42" i="10"/>
  <c r="T42" i="10" s="1"/>
  <c r="R43" i="10"/>
  <c r="T43" i="10" s="1"/>
  <c r="R4" i="10"/>
  <c r="T4" i="10" s="1"/>
  <c r="R5" i="10"/>
  <c r="S5" i="10" s="1"/>
  <c r="R6" i="10"/>
  <c r="S6" i="10" s="1"/>
  <c r="R7" i="10"/>
  <c r="T7" i="10" s="1"/>
  <c r="R8" i="10"/>
  <c r="S8" i="10" s="1"/>
  <c r="R9" i="10"/>
  <c r="T9" i="10" s="1"/>
  <c r="R10" i="10"/>
  <c r="S10" i="10" s="1"/>
  <c r="R11" i="10"/>
  <c r="T11" i="10" s="1"/>
  <c r="R12" i="10"/>
  <c r="S12" i="10" s="1"/>
  <c r="R13" i="10"/>
  <c r="T13" i="10" s="1"/>
  <c r="R14" i="10"/>
  <c r="S14" i="10" s="1"/>
  <c r="R15" i="10"/>
  <c r="T15" i="10" s="1"/>
  <c r="R16" i="10"/>
  <c r="S16" i="10" s="1"/>
  <c r="R17" i="10"/>
  <c r="T17" i="10" s="1"/>
  <c r="R18" i="10"/>
  <c r="S18" i="10" s="1"/>
  <c r="R19" i="10"/>
  <c r="T19" i="10" s="1"/>
  <c r="R20" i="10"/>
  <c r="T20" i="10" s="1"/>
  <c r="R21" i="10"/>
  <c r="T21" i="10" s="1"/>
  <c r="R22" i="10"/>
  <c r="T22" i="10" s="1"/>
  <c r="R23" i="10"/>
  <c r="T23" i="10" s="1"/>
  <c r="R24" i="10"/>
  <c r="S24" i="10" s="1"/>
  <c r="R25" i="10"/>
  <c r="T25" i="10" s="1"/>
  <c r="R26" i="10"/>
  <c r="S26" i="10" s="1"/>
  <c r="R27" i="10"/>
  <c r="T27" i="10" s="1"/>
  <c r="R44" i="10"/>
  <c r="T44" i="10" s="1"/>
  <c r="R45" i="10"/>
  <c r="T45" i="10" s="1"/>
  <c r="R46" i="10"/>
  <c r="T46" i="10" s="1"/>
  <c r="R50" i="10"/>
  <c r="S50" i="10" s="1"/>
  <c r="R51" i="10"/>
  <c r="S51" i="10" s="1"/>
  <c r="R52" i="10"/>
  <c r="T52" i="10" s="1"/>
  <c r="S52" i="10"/>
  <c r="R53" i="10"/>
  <c r="S53" i="10" s="1"/>
  <c r="R54" i="10"/>
  <c r="S54" i="10" s="1"/>
  <c r="R55" i="10"/>
  <c r="S55" i="10" s="1"/>
  <c r="R56" i="10"/>
  <c r="T56" i="10" s="1"/>
  <c r="R57" i="10"/>
  <c r="S57" i="10" s="1"/>
  <c r="R58" i="10"/>
  <c r="T58" i="10" s="1"/>
  <c r="B56" i="4"/>
  <c r="G56" i="4" s="1"/>
  <c r="B54" i="4"/>
  <c r="G54" i="4" s="1"/>
  <c r="B55" i="4"/>
  <c r="G55" i="4" s="1"/>
  <c r="T57" i="10" l="1"/>
  <c r="T55" i="10"/>
  <c r="S56" i="10"/>
  <c r="T54" i="10"/>
  <c r="S58" i="10"/>
  <c r="S4" i="10"/>
  <c r="S7" i="10"/>
  <c r="T6" i="10"/>
  <c r="S46" i="10"/>
  <c r="T51" i="10"/>
  <c r="S22" i="10"/>
  <c r="T50" i="10"/>
  <c r="T38" i="10"/>
  <c r="T30" i="10"/>
  <c r="S20" i="10"/>
  <c r="S15" i="10"/>
  <c r="T31" i="10"/>
  <c r="T35" i="10"/>
  <c r="T41" i="10"/>
  <c r="S40" i="10"/>
  <c r="S32" i="10"/>
  <c r="S23" i="10"/>
  <c r="T14" i="10"/>
  <c r="T39" i="10"/>
  <c r="S45" i="10"/>
  <c r="S37" i="10"/>
  <c r="S44" i="10"/>
  <c r="S36" i="10"/>
  <c r="T16" i="10"/>
  <c r="S43" i="10"/>
  <c r="S42" i="10"/>
  <c r="S25" i="10"/>
  <c r="S33" i="10"/>
  <c r="S9" i="10"/>
  <c r="T29" i="10"/>
  <c r="T34" i="10"/>
  <c r="T18" i="10"/>
  <c r="S27" i="10"/>
  <c r="S11" i="10"/>
  <c r="S13" i="10"/>
  <c r="T53" i="10"/>
  <c r="T24" i="10"/>
  <c r="T8" i="10"/>
  <c r="T26" i="10"/>
  <c r="S17" i="10"/>
  <c r="T10" i="10"/>
  <c r="T28" i="10"/>
  <c r="S19" i="10"/>
  <c r="T12" i="10"/>
  <c r="S21" i="10"/>
  <c r="T5" i="10"/>
  <c r="B57" i="4"/>
  <c r="G57" i="4" s="1"/>
  <c r="A57" i="4"/>
  <c r="A56" i="4"/>
  <c r="A54" i="4"/>
  <c r="B53" i="4"/>
  <c r="G53" i="4" s="1"/>
  <c r="A53" i="4"/>
  <c r="B52" i="4"/>
  <c r="G52" i="4" s="1"/>
  <c r="A52" i="4"/>
  <c r="B51" i="4"/>
  <c r="A51" i="4"/>
  <c r="A49" i="13" s="1"/>
  <c r="B50" i="4"/>
  <c r="A50" i="4"/>
  <c r="A48" i="13" s="1"/>
  <c r="B49" i="4"/>
  <c r="A49" i="4"/>
  <c r="A47" i="13" s="1"/>
  <c r="B48" i="4"/>
  <c r="A48" i="4"/>
  <c r="A46" i="13" s="1"/>
  <c r="B47" i="4"/>
  <c r="A47" i="4"/>
  <c r="A45" i="13" s="1"/>
  <c r="B46" i="4"/>
  <c r="B44" i="13" s="1"/>
  <c r="B45" i="4"/>
  <c r="A45" i="4"/>
  <c r="A43" i="13" s="1"/>
  <c r="B44" i="4"/>
  <c r="A44" i="4"/>
  <c r="A42" i="13" s="1"/>
  <c r="B43" i="4"/>
  <c r="A43" i="4"/>
  <c r="A41" i="13" s="1"/>
  <c r="B42" i="4"/>
  <c r="A42" i="4"/>
  <c r="A40" i="13" s="1"/>
  <c r="B41" i="4"/>
  <c r="A41" i="4"/>
  <c r="A39" i="13" s="1"/>
  <c r="B40" i="4"/>
  <c r="A40" i="4"/>
  <c r="A38" i="13" s="1"/>
  <c r="B39" i="4"/>
  <c r="A39" i="4"/>
  <c r="A37" i="13" s="1"/>
  <c r="B38" i="4"/>
  <c r="A38" i="4"/>
  <c r="A36" i="13" s="1"/>
  <c r="B37" i="4"/>
  <c r="A37" i="4"/>
  <c r="A35" i="13" s="1"/>
  <c r="B36" i="4"/>
  <c r="A36" i="4"/>
  <c r="A34" i="13" s="1"/>
  <c r="B35" i="4"/>
  <c r="A35" i="4"/>
  <c r="A33" i="13" s="1"/>
  <c r="B34" i="4"/>
  <c r="A34" i="4"/>
  <c r="A32" i="13" s="1"/>
  <c r="B33" i="4"/>
  <c r="A33" i="4"/>
  <c r="A31" i="13" s="1"/>
  <c r="B32" i="4"/>
  <c r="A32" i="4"/>
  <c r="A30" i="13" s="1"/>
  <c r="B31" i="4"/>
  <c r="A31" i="4"/>
  <c r="A29" i="13" s="1"/>
  <c r="B30" i="4"/>
  <c r="A30" i="4"/>
  <c r="A28" i="13" s="1"/>
  <c r="B29" i="4"/>
  <c r="A29" i="4"/>
  <c r="A27" i="13" s="1"/>
  <c r="B28" i="4"/>
  <c r="A28" i="4"/>
  <c r="A26" i="13" s="1"/>
  <c r="B27" i="4"/>
  <c r="A27" i="4"/>
  <c r="A25" i="13" s="1"/>
  <c r="B26" i="4"/>
  <c r="A26" i="4"/>
  <c r="A24" i="13" s="1"/>
  <c r="B25" i="4"/>
  <c r="A25" i="4"/>
  <c r="A23" i="13" s="1"/>
  <c r="B24" i="4"/>
  <c r="A24" i="4"/>
  <c r="A22" i="13" s="1"/>
  <c r="B23" i="4"/>
  <c r="A23" i="4"/>
  <c r="A21" i="13" s="1"/>
  <c r="B22" i="4"/>
  <c r="A22" i="4"/>
  <c r="A20" i="13" s="1"/>
  <c r="B21" i="4"/>
  <c r="A21" i="4"/>
  <c r="A19" i="13" s="1"/>
  <c r="B20" i="4"/>
  <c r="A20" i="4"/>
  <c r="A18" i="13" s="1"/>
  <c r="B19" i="4"/>
  <c r="A19" i="4"/>
  <c r="A17" i="13" s="1"/>
  <c r="B18" i="4"/>
  <c r="A18" i="4"/>
  <c r="A16" i="13" s="1"/>
  <c r="B17" i="4"/>
  <c r="A17" i="4"/>
  <c r="A15" i="13" s="1"/>
  <c r="B16" i="4"/>
  <c r="A16" i="4"/>
  <c r="A14" i="13" s="1"/>
  <c r="B15" i="4"/>
  <c r="A15" i="4"/>
  <c r="A13" i="13" s="1"/>
  <c r="B14" i="4"/>
  <c r="A14" i="4"/>
  <c r="A12" i="13" s="1"/>
  <c r="B13" i="4"/>
  <c r="A13" i="4"/>
  <c r="A11" i="13" s="1"/>
  <c r="B12" i="4"/>
  <c r="A12" i="4"/>
  <c r="A10" i="13" s="1"/>
  <c r="B11" i="4"/>
  <c r="A11" i="4"/>
  <c r="A9" i="13" s="1"/>
  <c r="B10" i="4"/>
  <c r="A10" i="4"/>
  <c r="A8" i="13" s="1"/>
  <c r="A55" i="4"/>
  <c r="B43" i="13" l="1"/>
  <c r="B42" i="13"/>
  <c r="B39" i="13"/>
  <c r="B40" i="13"/>
  <c r="B41" i="13"/>
  <c r="B11" i="13"/>
  <c r="B15" i="13"/>
  <c r="B19" i="13"/>
  <c r="B23" i="13"/>
  <c r="B27" i="13"/>
  <c r="B35" i="13"/>
  <c r="B12" i="13"/>
  <c r="B16" i="13"/>
  <c r="B24" i="13"/>
  <c r="B32" i="13"/>
  <c r="B36" i="13"/>
  <c r="B9" i="13"/>
  <c r="B13" i="13"/>
  <c r="B17" i="13"/>
  <c r="B21" i="13"/>
  <c r="B25" i="13"/>
  <c r="B29" i="13"/>
  <c r="B33" i="13"/>
  <c r="B37" i="13"/>
  <c r="B10" i="13"/>
  <c r="B14" i="13"/>
  <c r="B18" i="13"/>
  <c r="B22" i="13"/>
  <c r="B26" i="13"/>
  <c r="B30" i="13"/>
  <c r="B34" i="13"/>
  <c r="B38" i="13"/>
  <c r="B31" i="13"/>
  <c r="B20" i="13"/>
  <c r="B28" i="13"/>
  <c r="B8" i="13"/>
  <c r="B45" i="13"/>
  <c r="G48" i="4"/>
  <c r="B46" i="13"/>
  <c r="G51" i="4"/>
  <c r="B49" i="13"/>
  <c r="G49" i="4"/>
  <c r="B47" i="13"/>
  <c r="G50" i="4"/>
  <c r="B48" i="13"/>
  <c r="A4" i="4"/>
  <c r="A2" i="13" s="1"/>
  <c r="I61" i="13" l="1"/>
  <c r="I60" i="13"/>
  <c r="I52" i="13"/>
  <c r="I62" i="13"/>
  <c r="I53" i="13"/>
  <c r="I10" i="13"/>
  <c r="I38" i="13"/>
  <c r="I9" i="13"/>
  <c r="I39" i="13"/>
  <c r="I31" i="13"/>
  <c r="I17" i="13"/>
  <c r="I18" i="13"/>
  <c r="B9" i="4"/>
  <c r="B8" i="4"/>
  <c r="B6" i="13" s="1"/>
  <c r="B7" i="4"/>
  <c r="B5" i="13" s="1"/>
  <c r="B6" i="4"/>
  <c r="B4" i="13" s="1"/>
  <c r="B5" i="4"/>
  <c r="B3" i="13" s="1"/>
  <c r="B4" i="4"/>
  <c r="B2" i="13" s="1"/>
  <c r="B7" i="13" l="1"/>
  <c r="I51" i="13" s="1"/>
  <c r="F9" i="4"/>
  <c r="D53" i="4"/>
  <c r="D9" i="4"/>
  <c r="D8" i="4"/>
  <c r="F10" i="4"/>
  <c r="D10" i="4"/>
  <c r="F18" i="4"/>
  <c r="D18" i="4"/>
  <c r="F26" i="4"/>
  <c r="F34" i="4"/>
  <c r="F42" i="4"/>
  <c r="F50" i="4"/>
  <c r="D50" i="4"/>
  <c r="D11" i="4"/>
  <c r="F11" i="4"/>
  <c r="D19" i="4"/>
  <c r="F19" i="4"/>
  <c r="F27" i="4"/>
  <c r="F35" i="4"/>
  <c r="F43" i="4"/>
  <c r="D51" i="4"/>
  <c r="F51" i="4"/>
  <c r="F12" i="4"/>
  <c r="D12" i="4"/>
  <c r="F16" i="4"/>
  <c r="D16" i="4"/>
  <c r="F20" i="4"/>
  <c r="D20" i="4"/>
  <c r="F24" i="4"/>
  <c r="F28" i="4"/>
  <c r="F32" i="4"/>
  <c r="F36" i="4"/>
  <c r="F40" i="4"/>
  <c r="F44" i="4"/>
  <c r="F48" i="4"/>
  <c r="D48" i="4"/>
  <c r="F52" i="4"/>
  <c r="D52" i="4"/>
  <c r="F56" i="4"/>
  <c r="D56" i="4"/>
  <c r="D14" i="4"/>
  <c r="F14" i="4"/>
  <c r="F22" i="4"/>
  <c r="D22" i="4"/>
  <c r="F30" i="4"/>
  <c r="F38" i="4"/>
  <c r="F46" i="4"/>
  <c r="D54" i="4"/>
  <c r="F54" i="4"/>
  <c r="D15" i="4"/>
  <c r="F15" i="4"/>
  <c r="F23" i="4"/>
  <c r="F31" i="4"/>
  <c r="F39" i="4"/>
  <c r="F47" i="4"/>
  <c r="D55" i="4"/>
  <c r="F55" i="4"/>
  <c r="D13" i="4"/>
  <c r="F13" i="4"/>
  <c r="F17" i="4"/>
  <c r="D17" i="4"/>
  <c r="F21" i="4"/>
  <c r="D21" i="4"/>
  <c r="F25" i="4"/>
  <c r="F29" i="4"/>
  <c r="F33" i="4"/>
  <c r="F37" i="4"/>
  <c r="F41" i="4"/>
  <c r="F45" i="4"/>
  <c r="F49" i="4"/>
  <c r="D49" i="4"/>
  <c r="F53" i="4"/>
  <c r="F57" i="4"/>
  <c r="D57" i="4"/>
  <c r="AH2" i="9"/>
  <c r="I30" i="13" l="1"/>
  <c r="D6" i="13"/>
  <c r="D13" i="13"/>
  <c r="D19" i="13"/>
  <c r="D12" i="13"/>
  <c r="D18" i="13"/>
  <c r="D14" i="13"/>
  <c r="D8" i="13"/>
  <c r="D9" i="13"/>
  <c r="D15" i="13"/>
  <c r="D10" i="13"/>
  <c r="D17" i="13"/>
  <c r="D11" i="13"/>
  <c r="D16" i="13"/>
  <c r="D20" i="13"/>
  <c r="D7" i="13"/>
  <c r="G11" i="4"/>
  <c r="G17" i="4"/>
  <c r="G22" i="4"/>
  <c r="G16" i="4"/>
  <c r="G18" i="4"/>
  <c r="G12" i="4"/>
  <c r="G10" i="4"/>
  <c r="G13" i="4"/>
  <c r="G14" i="4"/>
  <c r="G15" i="4"/>
  <c r="G8" i="4"/>
  <c r="G19" i="4"/>
  <c r="G9" i="4"/>
  <c r="G21" i="4"/>
  <c r="G20" i="4"/>
  <c r="J4" i="4"/>
  <c r="AK52" i="9"/>
  <c r="AL52" i="9" s="1"/>
  <c r="AK51" i="9"/>
  <c r="AM51" i="9" s="1"/>
  <c r="AK50" i="9"/>
  <c r="AM50" i="9" s="1"/>
  <c r="AK49" i="9"/>
  <c r="AM49" i="9" s="1"/>
  <c r="AK48" i="9"/>
  <c r="AM48" i="9" s="1"/>
  <c r="AK47" i="9"/>
  <c r="AM47" i="9" s="1"/>
  <c r="A9" i="4"/>
  <c r="A7" i="13" s="1"/>
  <c r="A8" i="4"/>
  <c r="A6" i="13" s="1"/>
  <c r="A7" i="4"/>
  <c r="A5" i="13" s="1"/>
  <c r="H6" i="4"/>
  <c r="A6" i="4"/>
  <c r="A4" i="13" s="1"/>
  <c r="J5" i="4"/>
  <c r="A5" i="4"/>
  <c r="A3" i="13" s="1"/>
  <c r="H10" i="4" l="1"/>
  <c r="I7" i="4"/>
  <c r="AL48" i="9"/>
  <c r="AM52" i="9"/>
  <c r="H5" i="4"/>
  <c r="J7" i="4"/>
  <c r="I10" i="4"/>
  <c r="AL49" i="9"/>
  <c r="I5" i="4"/>
  <c r="H8" i="4"/>
  <c r="J10" i="4"/>
  <c r="I8" i="4"/>
  <c r="C9" i="4"/>
  <c r="J8" i="4"/>
  <c r="AL47" i="9"/>
  <c r="I6" i="4"/>
  <c r="H9" i="4"/>
  <c r="AL51" i="9"/>
  <c r="H4" i="4"/>
  <c r="J6" i="4"/>
  <c r="I9" i="4"/>
  <c r="I4" i="4"/>
  <c r="H7" i="4"/>
  <c r="J9" i="4"/>
  <c r="AL50" i="9"/>
  <c r="C10" i="4"/>
  <c r="C7" i="13" l="1"/>
  <c r="C8" i="13"/>
  <c r="E9" i="4"/>
  <c r="E10" i="4"/>
  <c r="J57" i="4"/>
  <c r="I57" i="4"/>
  <c r="H57" i="4"/>
  <c r="C56" i="4"/>
  <c r="E56" i="4" s="1"/>
  <c r="J56" i="4"/>
  <c r="I56" i="4"/>
  <c r="H56" i="4"/>
  <c r="H55" i="4"/>
  <c r="I55" i="4"/>
  <c r="J55" i="4"/>
  <c r="J54" i="4"/>
  <c r="I54" i="4"/>
  <c r="H54" i="4"/>
  <c r="C57" i="4"/>
  <c r="E57" i="4" s="1"/>
  <c r="C55" i="4"/>
  <c r="E55" i="4" s="1"/>
  <c r="C54" i="4"/>
  <c r="E54" i="4" s="1"/>
  <c r="E8" i="13" l="1"/>
  <c r="E7" i="13"/>
  <c r="C46" i="4"/>
  <c r="J46" i="4"/>
  <c r="I46" i="4"/>
  <c r="H46" i="4"/>
  <c r="C38" i="4"/>
  <c r="J38" i="4"/>
  <c r="I38" i="4"/>
  <c r="H38" i="4"/>
  <c r="C50" i="4"/>
  <c r="E50" i="4" s="1"/>
  <c r="H50" i="4"/>
  <c r="J50" i="4"/>
  <c r="I50" i="4"/>
  <c r="C39" i="4"/>
  <c r="H39" i="4"/>
  <c r="I39" i="4"/>
  <c r="J39" i="4"/>
  <c r="C45" i="4"/>
  <c r="J45" i="4"/>
  <c r="I45" i="4"/>
  <c r="H45" i="4"/>
  <c r="C37" i="4"/>
  <c r="J37" i="4"/>
  <c r="I37" i="4"/>
  <c r="H37" i="4"/>
  <c r="C44" i="4"/>
  <c r="I44" i="4"/>
  <c r="H44" i="4"/>
  <c r="J44" i="4"/>
  <c r="C36" i="4"/>
  <c r="I36" i="4"/>
  <c r="H36" i="4"/>
  <c r="J36" i="4"/>
  <c r="C43" i="4"/>
  <c r="J43" i="4"/>
  <c r="I43" i="4"/>
  <c r="H43" i="4"/>
  <c r="C35" i="4"/>
  <c r="J35" i="4"/>
  <c r="I35" i="4"/>
  <c r="H35" i="4"/>
  <c r="C51" i="4"/>
  <c r="E51" i="4" s="1"/>
  <c r="J51" i="4"/>
  <c r="I51" i="4"/>
  <c r="H51" i="4"/>
  <c r="C42" i="4"/>
  <c r="J42" i="4"/>
  <c r="H42" i="4"/>
  <c r="I42" i="4"/>
  <c r="C34" i="4"/>
  <c r="J34" i="4"/>
  <c r="H34" i="4"/>
  <c r="I34" i="4"/>
  <c r="C49" i="4"/>
  <c r="E49" i="4" s="1"/>
  <c r="J49" i="4"/>
  <c r="I49" i="4"/>
  <c r="H49" i="4"/>
  <c r="C41" i="4"/>
  <c r="J41" i="4"/>
  <c r="I41" i="4"/>
  <c r="H41" i="4"/>
  <c r="C53" i="4"/>
  <c r="E53" i="4" s="1"/>
  <c r="J53" i="4"/>
  <c r="I53" i="4"/>
  <c r="H53" i="4"/>
  <c r="C47" i="4"/>
  <c r="H47" i="4"/>
  <c r="I47" i="4"/>
  <c r="J47" i="4"/>
  <c r="C48" i="4"/>
  <c r="E48" i="4" s="1"/>
  <c r="J48" i="4"/>
  <c r="I48" i="4"/>
  <c r="H48" i="4"/>
  <c r="C40" i="4"/>
  <c r="J40" i="4"/>
  <c r="I40" i="4"/>
  <c r="H40" i="4"/>
  <c r="C52" i="4"/>
  <c r="E52" i="4" s="1"/>
  <c r="I52" i="4"/>
  <c r="H52" i="4"/>
  <c r="J52" i="4"/>
  <c r="C44" i="13" l="1"/>
  <c r="C42" i="13"/>
  <c r="C43" i="13"/>
  <c r="C39" i="13"/>
  <c r="C41" i="13"/>
  <c r="C40" i="13"/>
  <c r="C38" i="13"/>
  <c r="C32" i="13"/>
  <c r="C33" i="13"/>
  <c r="C34" i="13"/>
  <c r="C35" i="13"/>
  <c r="C37" i="13"/>
  <c r="C36" i="13"/>
  <c r="K48" i="9"/>
  <c r="K49" i="9"/>
  <c r="K50" i="9"/>
  <c r="K51" i="9"/>
  <c r="K52" i="9"/>
  <c r="C16" i="4" l="1"/>
  <c r="J16" i="4"/>
  <c r="I16" i="4"/>
  <c r="H16" i="4"/>
  <c r="C14" i="13" l="1"/>
  <c r="E16" i="4"/>
  <c r="C15" i="4"/>
  <c r="H15" i="4"/>
  <c r="I15" i="4"/>
  <c r="J15" i="4"/>
  <c r="C32" i="4"/>
  <c r="J32" i="4"/>
  <c r="I32" i="4"/>
  <c r="H32" i="4"/>
  <c r="C17" i="4"/>
  <c r="J17" i="4"/>
  <c r="I17" i="4"/>
  <c r="H17" i="4"/>
  <c r="C25" i="4"/>
  <c r="J25" i="4"/>
  <c r="I25" i="4"/>
  <c r="H25" i="4"/>
  <c r="C12" i="4"/>
  <c r="I12" i="4"/>
  <c r="H12" i="4"/>
  <c r="J12" i="4"/>
  <c r="C21" i="4"/>
  <c r="J21" i="4"/>
  <c r="I21" i="4"/>
  <c r="H21" i="4"/>
  <c r="C29" i="4"/>
  <c r="J29" i="4"/>
  <c r="I29" i="4"/>
  <c r="H29" i="4"/>
  <c r="C24" i="4"/>
  <c r="J24" i="4"/>
  <c r="I24" i="4"/>
  <c r="H24" i="4"/>
  <c r="C33" i="4"/>
  <c r="J33" i="4"/>
  <c r="I33" i="4"/>
  <c r="H33" i="4"/>
  <c r="C18" i="4"/>
  <c r="J18" i="4"/>
  <c r="H18" i="4"/>
  <c r="I18" i="4"/>
  <c r="C26" i="4"/>
  <c r="H26" i="4"/>
  <c r="J26" i="4"/>
  <c r="I26" i="4"/>
  <c r="C11" i="4"/>
  <c r="J11" i="4"/>
  <c r="I11" i="4"/>
  <c r="H11" i="4"/>
  <c r="C19" i="4"/>
  <c r="J19" i="4"/>
  <c r="I19" i="4"/>
  <c r="H19" i="4"/>
  <c r="C27" i="4"/>
  <c r="J27" i="4"/>
  <c r="I27" i="4"/>
  <c r="H27" i="4"/>
  <c r="C20" i="4"/>
  <c r="I20" i="4"/>
  <c r="H20" i="4"/>
  <c r="J20" i="4"/>
  <c r="C28" i="4"/>
  <c r="I28" i="4"/>
  <c r="H28" i="4"/>
  <c r="J28" i="4"/>
  <c r="C13" i="4"/>
  <c r="J13" i="4"/>
  <c r="I13" i="4"/>
  <c r="H13" i="4"/>
  <c r="C22" i="4"/>
  <c r="J22" i="4"/>
  <c r="I22" i="4"/>
  <c r="H22" i="4"/>
  <c r="C30" i="4"/>
  <c r="J30" i="4"/>
  <c r="I30" i="4"/>
  <c r="H30" i="4"/>
  <c r="C14" i="4"/>
  <c r="J14" i="4"/>
  <c r="I14" i="4"/>
  <c r="H14" i="4"/>
  <c r="C23" i="4"/>
  <c r="H23" i="4"/>
  <c r="I23" i="4"/>
  <c r="J23" i="4"/>
  <c r="C31" i="4"/>
  <c r="H31" i="4"/>
  <c r="I31" i="4"/>
  <c r="J31" i="4"/>
  <c r="AL4" i="2"/>
  <c r="AL5" i="2"/>
  <c r="AL6" i="2"/>
  <c r="AL7" i="2"/>
  <c r="AL8" i="2"/>
  <c r="AL9" i="2"/>
  <c r="AL10" i="2"/>
  <c r="AL11" i="2"/>
  <c r="AL12" i="2"/>
  <c r="AL13" i="2"/>
  <c r="AL14" i="2"/>
  <c r="AL15" i="2"/>
  <c r="AL16" i="2"/>
  <c r="AL17" i="2"/>
  <c r="AL18" i="2"/>
  <c r="AL19" i="2"/>
  <c r="AL20" i="2"/>
  <c r="AL21" i="2"/>
  <c r="AL22" i="2"/>
  <c r="AL23" i="2"/>
  <c r="AL24" i="2"/>
  <c r="AL25" i="2"/>
  <c r="AL26" i="2"/>
  <c r="AL3" i="2"/>
  <c r="AC26" i="2"/>
  <c r="C29" i="13" l="1"/>
  <c r="C12" i="13"/>
  <c r="C20" i="13"/>
  <c r="C26" i="13"/>
  <c r="C25" i="13"/>
  <c r="C9" i="13"/>
  <c r="C16" i="13"/>
  <c r="C22" i="13"/>
  <c r="C19" i="13"/>
  <c r="C23" i="13"/>
  <c r="C30" i="13"/>
  <c r="C21" i="13"/>
  <c r="C28" i="13"/>
  <c r="C11" i="13"/>
  <c r="C18" i="13"/>
  <c r="C17" i="13"/>
  <c r="C24" i="13"/>
  <c r="C31" i="13"/>
  <c r="C27" i="13"/>
  <c r="C10" i="13"/>
  <c r="C15" i="13"/>
  <c r="C13" i="13"/>
  <c r="E14" i="13"/>
  <c r="E14" i="4"/>
  <c r="E22" i="4"/>
  <c r="E11" i="4"/>
  <c r="E18" i="4"/>
  <c r="E21" i="4"/>
  <c r="E13" i="4"/>
  <c r="E20" i="4"/>
  <c r="E19" i="4"/>
  <c r="E12" i="4"/>
  <c r="E17" i="4"/>
  <c r="E15" i="4"/>
  <c r="AQ21" i="2"/>
  <c r="AQ22" i="2"/>
  <c r="AO21" i="2"/>
  <c r="AO22" i="2"/>
  <c r="AQ20" i="2"/>
  <c r="AQ19" i="2"/>
  <c r="AQ18" i="2"/>
  <c r="AQ17" i="2"/>
  <c r="AQ16" i="2"/>
  <c r="AO17" i="2"/>
  <c r="AO18" i="2"/>
  <c r="AO19" i="2"/>
  <c r="AO20" i="2"/>
  <c r="AO16" i="2"/>
  <c r="K20" i="2"/>
  <c r="K19" i="2"/>
  <c r="K18" i="2"/>
  <c r="K17" i="2"/>
  <c r="K16" i="2"/>
  <c r="K15" i="2"/>
  <c r="K14" i="2"/>
  <c r="K13" i="2"/>
  <c r="K12" i="2"/>
  <c r="K11" i="2"/>
  <c r="K10" i="2"/>
  <c r="K9" i="2"/>
  <c r="K8" i="2"/>
  <c r="K7" i="2"/>
  <c r="K6" i="2"/>
  <c r="K5" i="2"/>
  <c r="K4" i="2"/>
  <c r="K3" i="2"/>
  <c r="L26" i="1"/>
  <c r="L25" i="1"/>
  <c r="L24" i="1"/>
  <c r="L23" i="1"/>
  <c r="K26" i="1"/>
  <c r="K25" i="1"/>
  <c r="K24" i="1"/>
  <c r="K23" i="1"/>
  <c r="K22" i="1"/>
  <c r="L22" i="1" s="1"/>
  <c r="K21" i="1"/>
  <c r="L21" i="1" s="1"/>
  <c r="K20" i="1"/>
  <c r="L20" i="1" s="1"/>
  <c r="K19" i="1"/>
  <c r="L19" i="1" s="1"/>
  <c r="K18" i="1"/>
  <c r="L18" i="1" s="1"/>
  <c r="K17" i="1"/>
  <c r="L17" i="1" s="1"/>
  <c r="K16" i="1"/>
  <c r="L16" i="1" s="1"/>
  <c r="K15" i="1"/>
  <c r="L15" i="1" s="1"/>
  <c r="K14" i="1"/>
  <c r="L14" i="1" s="1"/>
  <c r="K13" i="1"/>
  <c r="L13" i="1" s="1"/>
  <c r="K12" i="1"/>
  <c r="L12" i="1" s="1"/>
  <c r="K11" i="1"/>
  <c r="L11" i="1" s="1"/>
  <c r="K10" i="1"/>
  <c r="L10" i="1" s="1"/>
  <c r="K9" i="1"/>
  <c r="L9" i="1" s="1"/>
  <c r="K8" i="1"/>
  <c r="L8" i="1" s="1"/>
  <c r="K7" i="1"/>
  <c r="L7" i="1" s="1"/>
  <c r="K6" i="1"/>
  <c r="L6" i="1" s="1"/>
  <c r="K5" i="1"/>
  <c r="L5" i="1" s="1"/>
  <c r="K4" i="1"/>
  <c r="L4" i="1" s="1"/>
  <c r="K3" i="1"/>
  <c r="L3" i="1" s="1"/>
  <c r="N61" i="13" l="1"/>
  <c r="M61" i="13"/>
  <c r="K61" i="13"/>
  <c r="L61" i="13"/>
  <c r="J61" i="13"/>
  <c r="M60" i="13"/>
  <c r="L60" i="13"/>
  <c r="K60" i="13"/>
  <c r="J60" i="13"/>
  <c r="M51" i="13"/>
  <c r="N51" i="13"/>
  <c r="L51" i="13"/>
  <c r="K51" i="13"/>
  <c r="N52" i="13"/>
  <c r="M52" i="13"/>
  <c r="L52" i="13"/>
  <c r="K52" i="13"/>
  <c r="J52" i="13"/>
  <c r="J51" i="13"/>
  <c r="N62" i="13"/>
  <c r="M62" i="13"/>
  <c r="N53" i="13"/>
  <c r="L62" i="13"/>
  <c r="M53" i="13"/>
  <c r="J53" i="13"/>
  <c r="K62" i="13"/>
  <c r="L53" i="13"/>
  <c r="J62" i="13"/>
  <c r="K53" i="13"/>
  <c r="N60" i="13"/>
  <c r="N10" i="13"/>
  <c r="N9" i="13"/>
  <c r="M10" i="13"/>
  <c r="M9" i="13"/>
  <c r="L10" i="13"/>
  <c r="L9" i="13"/>
  <c r="K10" i="13"/>
  <c r="K9" i="13"/>
  <c r="J10" i="13"/>
  <c r="J9" i="13"/>
  <c r="L39" i="13"/>
  <c r="L17" i="13"/>
  <c r="L18" i="13"/>
  <c r="L38" i="13"/>
  <c r="K38" i="13"/>
  <c r="J30" i="13"/>
  <c r="J38" i="13"/>
  <c r="J18" i="13"/>
  <c r="K17" i="13"/>
  <c r="N18" i="13"/>
  <c r="N17" i="13"/>
  <c r="M18" i="13"/>
  <c r="M17" i="13"/>
  <c r="K18" i="13"/>
  <c r="J17" i="13"/>
  <c r="N30" i="13"/>
  <c r="M31" i="13"/>
  <c r="N31" i="13"/>
  <c r="M30" i="13"/>
  <c r="K31" i="13"/>
  <c r="L31" i="13"/>
  <c r="L30" i="13"/>
  <c r="K30" i="13"/>
  <c r="N39" i="13"/>
  <c r="J31" i="13"/>
  <c r="N38" i="13"/>
  <c r="M39" i="13"/>
  <c r="M38" i="13"/>
  <c r="J39" i="13"/>
  <c r="K39" i="13"/>
  <c r="E12" i="13"/>
  <c r="E19" i="13"/>
  <c r="E11" i="13"/>
  <c r="E15" i="13"/>
  <c r="E16" i="13"/>
  <c r="E18" i="13"/>
  <c r="E13" i="13"/>
  <c r="E10" i="13"/>
  <c r="E17" i="13"/>
  <c r="E9" i="13"/>
  <c r="E20" i="13"/>
  <c r="AC11" i="2"/>
  <c r="T11" i="2"/>
  <c r="AC4" i="2"/>
  <c r="T4" i="2"/>
  <c r="AC5" i="2"/>
  <c r="T5" i="2"/>
  <c r="AC14" i="2"/>
  <c r="T14" i="2"/>
  <c r="AC7" i="2"/>
  <c r="T7" i="2"/>
  <c r="AC15" i="2"/>
  <c r="T15" i="2"/>
  <c r="AC8" i="2"/>
  <c r="T8" i="2"/>
  <c r="AC16" i="2"/>
  <c r="T16" i="2"/>
  <c r="AC19" i="2"/>
  <c r="T19" i="2"/>
  <c r="AC12" i="2"/>
  <c r="T12" i="2"/>
  <c r="AC13" i="2"/>
  <c r="T13" i="2"/>
  <c r="AC6" i="2"/>
  <c r="T6" i="2"/>
  <c r="AC9" i="2"/>
  <c r="T9" i="2"/>
  <c r="AC17" i="2"/>
  <c r="T17" i="2"/>
  <c r="AC3" i="2"/>
  <c r="T3" i="2"/>
  <c r="AC20" i="2"/>
  <c r="T20" i="2"/>
  <c r="AC10" i="2"/>
  <c r="T10" i="2"/>
  <c r="AC18" i="2"/>
  <c r="T18" i="2"/>
  <c r="K27" i="2"/>
  <c r="AA15" i="1"/>
  <c r="AA19" i="1"/>
  <c r="AA22" i="1"/>
  <c r="M3" i="1"/>
  <c r="K26" i="2"/>
  <c r="T26" i="2" s="1"/>
  <c r="K25" i="2"/>
  <c r="K24" i="2"/>
  <c r="K23" i="2"/>
  <c r="K22" i="2"/>
  <c r="K21" i="2"/>
  <c r="AC21" i="2" s="1"/>
  <c r="M54" i="13" l="1"/>
  <c r="K54" i="13"/>
  <c r="K63" i="13"/>
  <c r="M63" i="13"/>
  <c r="L54" i="13"/>
  <c r="L63" i="13"/>
  <c r="O18" i="13"/>
  <c r="T18" i="13"/>
  <c r="O17" i="13"/>
  <c r="T17" i="13"/>
  <c r="M32" i="13"/>
  <c r="K32" i="13"/>
  <c r="L32" i="13"/>
  <c r="K40" i="13"/>
  <c r="M40" i="13"/>
  <c r="L40" i="13"/>
  <c r="M19" i="13"/>
  <c r="K19" i="13"/>
  <c r="L19" i="13"/>
  <c r="M11" i="13"/>
  <c r="K11" i="13"/>
  <c r="L11" i="13"/>
  <c r="AC25" i="2"/>
  <c r="T25" i="2"/>
  <c r="AC22" i="2"/>
  <c r="T22" i="2"/>
  <c r="AC24" i="2"/>
  <c r="T24" i="2"/>
  <c r="AC23" i="2"/>
  <c r="T23" i="2"/>
  <c r="T21" i="2"/>
  <c r="AA21" i="1"/>
  <c r="R7" i="25" l="1"/>
  <c r="Z7" i="25" s="1"/>
  <c r="P204" i="17" l="1"/>
  <c r="P203" i="17"/>
  <c r="P206" i="17"/>
  <c r="P205" i="17"/>
  <c r="P208" i="17"/>
  <c r="P207" i="17"/>
  <c r="P213" i="17"/>
  <c r="P211" i="17"/>
  <c r="P210" i="17"/>
  <c r="P209" i="17"/>
  <c r="P212" i="17"/>
  <c r="P219" i="17"/>
  <c r="P216" i="17"/>
  <c r="P217" i="17"/>
  <c r="P214" i="17"/>
  <c r="P218" i="17"/>
  <c r="P215" i="17"/>
  <c r="P4" i="17"/>
  <c r="P5" i="17"/>
  <c r="P6" i="17"/>
  <c r="P2" i="17"/>
  <c r="P3" i="17"/>
  <c r="P49" i="17"/>
  <c r="P50" i="17"/>
  <c r="P48" i="17"/>
  <c r="P51" i="17"/>
  <c r="P47" i="17"/>
  <c r="S6" i="17" l="1"/>
  <c r="S4" i="17"/>
  <c r="S5" i="17"/>
  <c r="S2" i="17"/>
  <c r="S3" i="17"/>
  <c r="P119" i="17"/>
  <c r="P118" i="17"/>
  <c r="P117" i="17"/>
  <c r="P120" i="17"/>
  <c r="P115" i="17"/>
  <c r="P116" i="17"/>
  <c r="P91" i="17"/>
  <c r="P93" i="17"/>
  <c r="P94" i="17"/>
  <c r="P92" i="17"/>
  <c r="P90" i="17"/>
  <c r="P83" i="17"/>
  <c r="P80" i="17"/>
  <c r="P81" i="17"/>
  <c r="P82" i="17"/>
  <c r="P84" i="17"/>
  <c r="P30" i="17"/>
  <c r="P31" i="17"/>
  <c r="P28" i="17"/>
  <c r="P27" i="17"/>
  <c r="P29" i="17"/>
  <c r="P202" i="17"/>
  <c r="P201" i="17"/>
  <c r="P198" i="17"/>
  <c r="P200" i="17"/>
  <c r="P199" i="17"/>
  <c r="R2" i="17"/>
  <c r="R3" i="17"/>
  <c r="R4" i="17"/>
  <c r="R6" i="17"/>
  <c r="R5" i="17"/>
  <c r="P71" i="17"/>
  <c r="P74" i="17"/>
  <c r="P72" i="17"/>
  <c r="P73" i="17"/>
  <c r="P70" i="17"/>
  <c r="P69" i="17"/>
  <c r="P192" i="17"/>
  <c r="P191" i="17"/>
  <c r="P188" i="17"/>
  <c r="P189" i="17"/>
  <c r="P190" i="17"/>
  <c r="P58" i="17"/>
  <c r="P59" i="17"/>
  <c r="P60" i="17"/>
  <c r="P61" i="17"/>
  <c r="P62" i="17"/>
  <c r="P63" i="17"/>
  <c r="P131" i="17"/>
  <c r="P133" i="17"/>
  <c r="P136" i="17"/>
  <c r="P134" i="17"/>
  <c r="P132" i="17"/>
  <c r="P135" i="17"/>
  <c r="P137" i="17"/>
  <c r="P221" i="17"/>
  <c r="P224" i="17"/>
  <c r="P223" i="17"/>
  <c r="P222" i="17"/>
  <c r="P220" i="17"/>
  <c r="P225" i="17"/>
  <c r="R204" i="17"/>
  <c r="AG204" i="17" s="1"/>
  <c r="AH204" i="17" s="1"/>
  <c r="R207" i="17"/>
  <c r="AG207" i="17" s="1"/>
  <c r="AH207" i="17" s="1"/>
  <c r="R203" i="17"/>
  <c r="AG203" i="17" s="1"/>
  <c r="AH203" i="17" s="1"/>
  <c r="R206" i="17"/>
  <c r="AG206" i="17" s="1"/>
  <c r="AH206" i="17" s="1"/>
  <c r="R205" i="17"/>
  <c r="AG205" i="17" s="1"/>
  <c r="AH205" i="17" s="1"/>
  <c r="R208" i="17"/>
  <c r="AG208" i="17" s="1"/>
  <c r="AH208" i="17" s="1"/>
  <c r="P25" i="17"/>
  <c r="P26" i="17"/>
  <c r="P22" i="17"/>
  <c r="P23" i="17"/>
  <c r="P24" i="17"/>
  <c r="P68" i="17"/>
  <c r="P67" i="17"/>
  <c r="P64" i="17"/>
  <c r="P65" i="17"/>
  <c r="P66" i="17"/>
  <c r="P171" i="17"/>
  <c r="P170" i="17"/>
  <c r="P167" i="17"/>
  <c r="P168" i="17"/>
  <c r="P169" i="17"/>
  <c r="P172" i="17"/>
  <c r="P177" i="17"/>
  <c r="P173" i="17"/>
  <c r="P174" i="17"/>
  <c r="P175" i="17"/>
  <c r="P176" i="17"/>
  <c r="R214" i="17"/>
  <c r="AG214" i="17" s="1"/>
  <c r="AH214" i="17" s="1"/>
  <c r="R219" i="17"/>
  <c r="AG219" i="17" s="1"/>
  <c r="AH219" i="17" s="1"/>
  <c r="R216" i="17"/>
  <c r="AG216" i="17" s="1"/>
  <c r="AH216" i="17" s="1"/>
  <c r="R215" i="17"/>
  <c r="AG215" i="17" s="1"/>
  <c r="AH215" i="17" s="1"/>
  <c r="R218" i="17"/>
  <c r="AG218" i="17" s="1"/>
  <c r="AH218" i="17" s="1"/>
  <c r="R217" i="17"/>
  <c r="AG217" i="17" s="1"/>
  <c r="AH217" i="17" s="1"/>
  <c r="R49" i="17"/>
  <c r="AG49" i="17" s="1"/>
  <c r="AH49" i="17" s="1"/>
  <c r="R51" i="17"/>
  <c r="AG51" i="17" s="1"/>
  <c r="AH51" i="17" s="1"/>
  <c r="R50" i="17"/>
  <c r="AG50" i="17" s="1"/>
  <c r="AH50" i="17" s="1"/>
  <c r="R47" i="17"/>
  <c r="AG47" i="17" s="1"/>
  <c r="AH47" i="17" s="1"/>
  <c r="R48" i="17"/>
  <c r="AG48" i="17" s="1"/>
  <c r="AH48" i="17" s="1"/>
  <c r="P103" i="17"/>
  <c r="P102" i="17"/>
  <c r="P104" i="17"/>
  <c r="P100" i="17"/>
  <c r="P101" i="17"/>
  <c r="P145" i="17"/>
  <c r="P144" i="17"/>
  <c r="P149" i="17"/>
  <c r="P148" i="17"/>
  <c r="P147" i="17"/>
  <c r="P146" i="17"/>
  <c r="P196" i="17"/>
  <c r="P194" i="17"/>
  <c r="P195" i="17"/>
  <c r="P197" i="17"/>
  <c r="P193" i="17"/>
  <c r="P75" i="17"/>
  <c r="P76" i="17"/>
  <c r="P78" i="17"/>
  <c r="P77" i="17"/>
  <c r="P79" i="17"/>
  <c r="P184" i="17"/>
  <c r="P185" i="17"/>
  <c r="P186" i="17"/>
  <c r="P187" i="17"/>
  <c r="P183" i="17"/>
  <c r="P40" i="17"/>
  <c r="P41" i="17"/>
  <c r="P39" i="17"/>
  <c r="P38" i="17"/>
  <c r="P37" i="17"/>
  <c r="P121" i="17"/>
  <c r="P128" i="17"/>
  <c r="P127" i="17"/>
  <c r="P122" i="17"/>
  <c r="P130" i="17"/>
  <c r="P126" i="17"/>
  <c r="P129" i="17"/>
  <c r="P125" i="17"/>
  <c r="P124" i="17"/>
  <c r="P123" i="17"/>
  <c r="P43" i="17"/>
  <c r="P44" i="17"/>
  <c r="P42" i="17"/>
  <c r="P46" i="17"/>
  <c r="P45" i="17"/>
  <c r="P52" i="17"/>
  <c r="P54" i="17"/>
  <c r="P53" i="17"/>
  <c r="P56" i="17"/>
  <c r="P55" i="17"/>
  <c r="P57" i="17"/>
  <c r="P89" i="17"/>
  <c r="P87" i="17"/>
  <c r="P88" i="17"/>
  <c r="P85" i="17"/>
  <c r="P86" i="17"/>
  <c r="R210" i="17"/>
  <c r="AG210" i="17" s="1"/>
  <c r="AH210" i="17" s="1"/>
  <c r="R209" i="17"/>
  <c r="AG209" i="17" s="1"/>
  <c r="AH209" i="17" s="1"/>
  <c r="R212" i="17"/>
  <c r="AG212" i="17" s="1"/>
  <c r="AH212" i="17" s="1"/>
  <c r="R213" i="17"/>
  <c r="AG213" i="17" s="1"/>
  <c r="AH213" i="17" s="1"/>
  <c r="R211" i="17"/>
  <c r="AG211" i="17" s="1"/>
  <c r="AH211" i="17" s="1"/>
  <c r="P17" i="17"/>
  <c r="P19" i="17"/>
  <c r="P18" i="17"/>
  <c r="P20" i="17"/>
  <c r="P21" i="17"/>
  <c r="P154" i="17"/>
  <c r="P155" i="17"/>
  <c r="P150" i="17"/>
  <c r="P151" i="17"/>
  <c r="P153" i="17"/>
  <c r="P152" i="17"/>
  <c r="P113" i="17"/>
  <c r="P114" i="17"/>
  <c r="P110" i="17"/>
  <c r="P111" i="17"/>
  <c r="P112" i="17"/>
  <c r="P16" i="17"/>
  <c r="P13" i="17"/>
  <c r="P12" i="17"/>
  <c r="P15" i="17"/>
  <c r="P14" i="17"/>
  <c r="P166" i="17"/>
  <c r="P161" i="17"/>
  <c r="P162" i="17"/>
  <c r="P163" i="17"/>
  <c r="P165" i="17"/>
  <c r="P164" i="17"/>
  <c r="P9" i="17"/>
  <c r="P10" i="17"/>
  <c r="P11" i="17"/>
  <c r="P7" i="17"/>
  <c r="P8" i="17"/>
  <c r="P138" i="17"/>
  <c r="P141" i="17"/>
  <c r="P140" i="17"/>
  <c r="P142" i="17"/>
  <c r="P143" i="17"/>
  <c r="P139" i="17"/>
  <c r="P98" i="17"/>
  <c r="P99" i="17"/>
  <c r="P97" i="17"/>
  <c r="P96" i="17"/>
  <c r="P95" i="17"/>
  <c r="P178" i="17"/>
  <c r="P179" i="17"/>
  <c r="P180" i="17"/>
  <c r="P181" i="17"/>
  <c r="P182" i="17"/>
  <c r="P33" i="17"/>
  <c r="P34" i="17"/>
  <c r="P35" i="17"/>
  <c r="P32" i="17"/>
  <c r="P36" i="17"/>
  <c r="P227" i="17"/>
  <c r="P231" i="17"/>
  <c r="P230" i="17"/>
  <c r="P228" i="17"/>
  <c r="P226" i="17"/>
  <c r="P229" i="17"/>
  <c r="P159" i="17"/>
  <c r="P157" i="17"/>
  <c r="P156" i="17"/>
  <c r="P158" i="17"/>
  <c r="P160" i="17"/>
  <c r="P108" i="17"/>
  <c r="P109" i="17"/>
  <c r="P105" i="17"/>
  <c r="P107" i="17"/>
  <c r="P106" i="17"/>
  <c r="R133" i="17" l="1"/>
  <c r="AG133" i="17" s="1"/>
  <c r="R132" i="17"/>
  <c r="AG132" i="17" s="1"/>
  <c r="AH132" i="17" s="1"/>
  <c r="R131" i="17"/>
  <c r="AG131" i="17" s="1"/>
  <c r="AH131" i="17" s="1"/>
  <c r="R137" i="17"/>
  <c r="R136" i="17"/>
  <c r="R135" i="17"/>
  <c r="AG135" i="17" s="1"/>
  <c r="AH135" i="17" s="1"/>
  <c r="R134" i="17"/>
  <c r="AG134" i="17" s="1"/>
  <c r="AH134" i="17" s="1"/>
  <c r="R92" i="17"/>
  <c r="AG92" i="17" s="1"/>
  <c r="AH92" i="17" s="1"/>
  <c r="R91" i="17"/>
  <c r="AG91" i="17" s="1"/>
  <c r="AH91" i="17" s="1"/>
  <c r="R93" i="17"/>
  <c r="AG93" i="17" s="1"/>
  <c r="AH93" i="17" s="1"/>
  <c r="R94" i="17"/>
  <c r="AG94" i="17" s="1"/>
  <c r="R90" i="17"/>
  <c r="AG90" i="17" s="1"/>
  <c r="R23" i="17"/>
  <c r="R24" i="17"/>
  <c r="R25" i="17"/>
  <c r="R26" i="17"/>
  <c r="R22" i="17"/>
  <c r="R117" i="17"/>
  <c r="AG117" i="17" s="1"/>
  <c r="AH117" i="17" s="1"/>
  <c r="R120" i="17"/>
  <c r="R116" i="17"/>
  <c r="AG116" i="17" s="1"/>
  <c r="AH116" i="17" s="1"/>
  <c r="R115" i="17"/>
  <c r="AG115" i="17" s="1"/>
  <c r="AH115" i="17" s="1"/>
  <c r="R118" i="17"/>
  <c r="AG118" i="17" s="1"/>
  <c r="AH118" i="17" s="1"/>
  <c r="R119" i="17"/>
  <c r="AG119" i="17" s="1"/>
  <c r="AH119" i="17" s="1"/>
  <c r="R40" i="17"/>
  <c r="AG40" i="17" s="1"/>
  <c r="AH40" i="17" s="1"/>
  <c r="R41" i="17"/>
  <c r="AG41" i="17" s="1"/>
  <c r="AH41" i="17" s="1"/>
  <c r="R38" i="17"/>
  <c r="AG38" i="17" s="1"/>
  <c r="AH38" i="17" s="1"/>
  <c r="R39" i="17"/>
  <c r="AG39" i="17" s="1"/>
  <c r="AH39" i="17" s="1"/>
  <c r="R37" i="17"/>
  <c r="AG37" i="17" s="1"/>
  <c r="AH37" i="17" s="1"/>
  <c r="R110" i="17"/>
  <c r="AG110" i="17" s="1"/>
  <c r="AH110" i="17" s="1"/>
  <c r="R111" i="17"/>
  <c r="AG111" i="17" s="1"/>
  <c r="AH111" i="17" s="1"/>
  <c r="R112" i="17"/>
  <c r="AG112" i="17" s="1"/>
  <c r="AH112" i="17" s="1"/>
  <c r="R113" i="17"/>
  <c r="AG113" i="17" s="1"/>
  <c r="AH113" i="17" s="1"/>
  <c r="R114" i="17"/>
  <c r="AG114" i="17" s="1"/>
  <c r="AH114" i="17" s="1"/>
  <c r="R108" i="17"/>
  <c r="AG108" i="17" s="1"/>
  <c r="AH108" i="17" s="1"/>
  <c r="R109" i="17"/>
  <c r="AG109" i="17" s="1"/>
  <c r="AH109" i="17" s="1"/>
  <c r="R105" i="17"/>
  <c r="AG105" i="17" s="1"/>
  <c r="AH105" i="17" s="1"/>
  <c r="R106" i="17"/>
  <c r="AG106" i="17" s="1"/>
  <c r="AH106" i="17" s="1"/>
  <c r="R107" i="17"/>
  <c r="AG107" i="17" s="1"/>
  <c r="AH107" i="17" s="1"/>
  <c r="R11" i="17"/>
  <c r="R7" i="17"/>
  <c r="R8" i="17"/>
  <c r="R9" i="17"/>
  <c r="R10" i="17"/>
  <c r="R225" i="17"/>
  <c r="AG225" i="17" s="1"/>
  <c r="R223" i="17"/>
  <c r="AG223" i="17" s="1"/>
  <c r="AH223" i="17" s="1"/>
  <c r="R221" i="17"/>
  <c r="AG221" i="17" s="1"/>
  <c r="AH221" i="17" s="1"/>
  <c r="R224" i="17"/>
  <c r="AG224" i="17" s="1"/>
  <c r="AH224" i="17" s="1"/>
  <c r="R222" i="17"/>
  <c r="AG222" i="17" s="1"/>
  <c r="AH222" i="17" s="1"/>
  <c r="R220" i="17"/>
  <c r="AG220" i="17" s="1"/>
  <c r="AH220" i="17" s="1"/>
  <c r="R76" i="17"/>
  <c r="AG76" i="17" s="1"/>
  <c r="AH76" i="17" s="1"/>
  <c r="R75" i="17"/>
  <c r="AG75" i="17" s="1"/>
  <c r="AH75" i="17" s="1"/>
  <c r="R78" i="17"/>
  <c r="AG78" i="17" s="1"/>
  <c r="AH78" i="17" s="1"/>
  <c r="R77" i="17"/>
  <c r="AG77" i="17" s="1"/>
  <c r="AH77" i="17" s="1"/>
  <c r="R79" i="17"/>
  <c r="AG79" i="17" s="1"/>
  <c r="AH79" i="17" s="1"/>
  <c r="R16" i="17"/>
  <c r="R15" i="17"/>
  <c r="R12" i="17"/>
  <c r="R13" i="17"/>
  <c r="R14" i="17"/>
  <c r="R73" i="17"/>
  <c r="AG73" i="17" s="1"/>
  <c r="AH73" i="17" s="1"/>
  <c r="R72" i="17"/>
  <c r="AG72" i="17" s="1"/>
  <c r="AH72" i="17" s="1"/>
  <c r="R70" i="17"/>
  <c r="AG70" i="17" s="1"/>
  <c r="AH70" i="17" s="1"/>
  <c r="R71" i="17"/>
  <c r="AG71" i="17" s="1"/>
  <c r="AH71" i="17" s="1"/>
  <c r="R69" i="17"/>
  <c r="AG69" i="17" s="1"/>
  <c r="R74" i="17"/>
  <c r="AG74" i="17" s="1"/>
  <c r="AH74" i="17" s="1"/>
  <c r="R27" i="17"/>
  <c r="AG27" i="17" s="1"/>
  <c r="AH27" i="17" s="1"/>
  <c r="R28" i="17"/>
  <c r="AG28" i="17" s="1"/>
  <c r="AH28" i="17" s="1"/>
  <c r="R29" i="17"/>
  <c r="AG29" i="17" s="1"/>
  <c r="AH29" i="17" s="1"/>
  <c r="R31" i="17"/>
  <c r="AG31" i="17" s="1"/>
  <c r="AH31" i="17" s="1"/>
  <c r="R30" i="17"/>
  <c r="AG30" i="17" s="1"/>
  <c r="AH30" i="17" s="1"/>
  <c r="R167" i="17"/>
  <c r="AG167" i="17" s="1"/>
  <c r="AH167" i="17" s="1"/>
  <c r="R168" i="17"/>
  <c r="AG168" i="17" s="1"/>
  <c r="AH168" i="17" s="1"/>
  <c r="R170" i="17"/>
  <c r="AG170" i="17" s="1"/>
  <c r="AH170" i="17" s="1"/>
  <c r="R169" i="17"/>
  <c r="AG169" i="17" s="1"/>
  <c r="AH169" i="17" s="1"/>
  <c r="R171" i="17"/>
  <c r="AG171" i="17" s="1"/>
  <c r="AH171" i="17" s="1"/>
  <c r="R55" i="17"/>
  <c r="AG55" i="17" s="1"/>
  <c r="AH55" i="17" s="1"/>
  <c r="R57" i="17"/>
  <c r="AG57" i="17" s="1"/>
  <c r="AH57" i="17" s="1"/>
  <c r="R52" i="17"/>
  <c r="AG52" i="17" s="1"/>
  <c r="AH52" i="17" s="1"/>
  <c r="R54" i="17"/>
  <c r="AG54" i="17" s="1"/>
  <c r="AH54" i="17" s="1"/>
  <c r="R53" i="17"/>
  <c r="AG53" i="17" s="1"/>
  <c r="AH53" i="17" s="1"/>
  <c r="R56" i="17"/>
  <c r="AG56" i="17" s="1"/>
  <c r="AH56" i="17" s="1"/>
  <c r="R182" i="17"/>
  <c r="AG182" i="17" s="1"/>
  <c r="AH182" i="17" s="1"/>
  <c r="R179" i="17"/>
  <c r="AG179" i="17" s="1"/>
  <c r="AH179" i="17" s="1"/>
  <c r="R181" i="17"/>
  <c r="AG181" i="17" s="1"/>
  <c r="AH181" i="17" s="1"/>
  <c r="R178" i="17"/>
  <c r="AG178" i="17" s="1"/>
  <c r="AH178" i="17" s="1"/>
  <c r="R180" i="17"/>
  <c r="AG180" i="17" s="1"/>
  <c r="AH180" i="17" s="1"/>
  <c r="R145" i="17"/>
  <c r="AG145" i="17" s="1"/>
  <c r="AH145" i="17" s="1"/>
  <c r="R144" i="17"/>
  <c r="AG144" i="17" s="1"/>
  <c r="AH144" i="17" s="1"/>
  <c r="R149" i="17"/>
  <c r="R148" i="17"/>
  <c r="AG148" i="17" s="1"/>
  <c r="AH148" i="17" s="1"/>
  <c r="R147" i="17"/>
  <c r="AG147" i="17" s="1"/>
  <c r="AH147" i="17" s="1"/>
  <c r="R146" i="17"/>
  <c r="AG146" i="17" s="1"/>
  <c r="AH146" i="17" s="1"/>
  <c r="Z212" i="17"/>
  <c r="Z211" i="17"/>
  <c r="Z213" i="17"/>
  <c r="Z210" i="17"/>
  <c r="O43" i="18"/>
  <c r="P43" i="18" s="1"/>
  <c r="Z209" i="17"/>
  <c r="R199" i="17"/>
  <c r="AG199" i="17" s="1"/>
  <c r="AH199" i="17" s="1"/>
  <c r="R202" i="17"/>
  <c r="AG202" i="17" s="1"/>
  <c r="AH202" i="17" s="1"/>
  <c r="R201" i="17"/>
  <c r="AG201" i="17" s="1"/>
  <c r="R198" i="17"/>
  <c r="AG198" i="17" s="1"/>
  <c r="AH198" i="17" s="1"/>
  <c r="R200" i="17"/>
  <c r="AG200" i="17" s="1"/>
  <c r="AH200" i="17" s="1"/>
  <c r="R150" i="17"/>
  <c r="AG150" i="17" s="1"/>
  <c r="AH150" i="17" s="1"/>
  <c r="R151" i="17"/>
  <c r="AG151" i="17" s="1"/>
  <c r="AH151" i="17" s="1"/>
  <c r="R152" i="17"/>
  <c r="AG152" i="17" s="1"/>
  <c r="AH152" i="17" s="1"/>
  <c r="R153" i="17"/>
  <c r="AG153" i="17" s="1"/>
  <c r="AH153" i="17" s="1"/>
  <c r="R154" i="17"/>
  <c r="AG154" i="17" s="1"/>
  <c r="AH154" i="17" s="1"/>
  <c r="R155" i="17"/>
  <c r="S47" i="17"/>
  <c r="S48" i="17"/>
  <c r="S50" i="17"/>
  <c r="S49" i="17"/>
  <c r="S51" i="17"/>
  <c r="Z216" i="17"/>
  <c r="Z215" i="17"/>
  <c r="Z218" i="17"/>
  <c r="Z217" i="17"/>
  <c r="Z219" i="17"/>
  <c r="O44" i="18"/>
  <c r="P44" i="18" s="1"/>
  <c r="Z214" i="17"/>
  <c r="Q209" i="17"/>
  <c r="Q212" i="17"/>
  <c r="Q211" i="17"/>
  <c r="Q213" i="17"/>
  <c r="Q210" i="17"/>
  <c r="R176" i="17"/>
  <c r="AG176" i="17" s="1"/>
  <c r="AH176" i="17" s="1"/>
  <c r="R177" i="17"/>
  <c r="AG177" i="17" s="1"/>
  <c r="AH177" i="17" s="1"/>
  <c r="R172" i="17"/>
  <c r="AG172" i="17" s="1"/>
  <c r="AH172" i="17" s="1"/>
  <c r="R173" i="17"/>
  <c r="AG173" i="17" s="1"/>
  <c r="AH173" i="17" s="1"/>
  <c r="R174" i="17"/>
  <c r="AG174" i="17" s="1"/>
  <c r="AH174" i="17" s="1"/>
  <c r="R175" i="17"/>
  <c r="AG175" i="17" s="1"/>
  <c r="AH175" i="17" s="1"/>
  <c r="Q6" i="17"/>
  <c r="Q3" i="17"/>
  <c r="Q5" i="17"/>
  <c r="Q4" i="17"/>
  <c r="Q2" i="17"/>
  <c r="S204" i="17"/>
  <c r="S203" i="17"/>
  <c r="S206" i="17"/>
  <c r="S205" i="17"/>
  <c r="S208" i="17"/>
  <c r="S207" i="17"/>
  <c r="S218" i="17"/>
  <c r="S217" i="17"/>
  <c r="S219" i="17"/>
  <c r="S214" i="17"/>
  <c r="S215" i="17"/>
  <c r="S216" i="17"/>
  <c r="O14" i="18"/>
  <c r="P14" i="18" s="1"/>
  <c r="R128" i="17"/>
  <c r="AG128" i="17" s="1"/>
  <c r="R126" i="17"/>
  <c r="AG126" i="17" s="1"/>
  <c r="AH126" i="17" s="1"/>
  <c r="R121" i="17"/>
  <c r="AG121" i="17" s="1"/>
  <c r="AH121" i="17" s="1"/>
  <c r="R125" i="17"/>
  <c r="AG125" i="17" s="1"/>
  <c r="AH125" i="17" s="1"/>
  <c r="R127" i="17"/>
  <c r="AG127" i="17" s="1"/>
  <c r="AH127" i="17" s="1"/>
  <c r="R124" i="17"/>
  <c r="AG124" i="17" s="1"/>
  <c r="AH124" i="17" s="1"/>
  <c r="R122" i="17"/>
  <c r="AG122" i="17" s="1"/>
  <c r="AH122" i="17" s="1"/>
  <c r="R123" i="17"/>
  <c r="AG123" i="17" s="1"/>
  <c r="AH123" i="17" s="1"/>
  <c r="R130" i="17"/>
  <c r="AG130" i="17" s="1"/>
  <c r="R129" i="17"/>
  <c r="AG129" i="17" s="1"/>
  <c r="S211" i="17"/>
  <c r="S213" i="17"/>
  <c r="S210" i="17"/>
  <c r="S209" i="17"/>
  <c r="S212" i="17"/>
  <c r="Q214" i="17"/>
  <c r="Q216" i="17"/>
  <c r="Q215" i="17"/>
  <c r="Q218" i="17"/>
  <c r="Q217" i="17"/>
  <c r="Q219" i="17"/>
  <c r="O5" i="18"/>
  <c r="P5" i="18" s="1"/>
  <c r="Z5" i="17"/>
  <c r="Z6" i="17"/>
  <c r="Z3" i="17"/>
  <c r="Z4" i="17"/>
  <c r="Z2" i="17"/>
  <c r="R88" i="17"/>
  <c r="AG88" i="17" s="1"/>
  <c r="R86" i="17"/>
  <c r="AG86" i="17" s="1"/>
  <c r="AH86" i="17" s="1"/>
  <c r="R85" i="17"/>
  <c r="AG85" i="17" s="1"/>
  <c r="AH85" i="17" s="1"/>
  <c r="R89" i="17"/>
  <c r="AG89" i="17" s="1"/>
  <c r="AH89" i="17" s="1"/>
  <c r="R87" i="17"/>
  <c r="AG87" i="17" s="1"/>
  <c r="AH87" i="17" s="1"/>
  <c r="R80" i="17"/>
  <c r="AG80" i="17" s="1"/>
  <c r="AH80" i="17" s="1"/>
  <c r="R81" i="17"/>
  <c r="AG81" i="17" s="1"/>
  <c r="AH81" i="17" s="1"/>
  <c r="R82" i="17"/>
  <c r="AG82" i="17" s="1"/>
  <c r="AH82" i="17" s="1"/>
  <c r="R84" i="17"/>
  <c r="AG84" i="17" s="1"/>
  <c r="R83" i="17"/>
  <c r="AG83" i="17" s="1"/>
  <c r="AH83" i="17" s="1"/>
  <c r="R66" i="17"/>
  <c r="AG66" i="17" s="1"/>
  <c r="AH66" i="17" s="1"/>
  <c r="R67" i="17"/>
  <c r="AG67" i="17" s="1"/>
  <c r="AH67" i="17" s="1"/>
  <c r="R68" i="17"/>
  <c r="AG68" i="17" s="1"/>
  <c r="AH68" i="17" s="1"/>
  <c r="R64" i="17"/>
  <c r="AG64" i="17" s="1"/>
  <c r="AH64" i="17" s="1"/>
  <c r="R65" i="17"/>
  <c r="AG65" i="17" s="1"/>
  <c r="AH65" i="17" s="1"/>
  <c r="R143" i="17"/>
  <c r="AG143" i="17" s="1"/>
  <c r="AH143" i="17" s="1"/>
  <c r="R139" i="17"/>
  <c r="AG139" i="17" s="1"/>
  <c r="AH139" i="17" s="1"/>
  <c r="R138" i="17"/>
  <c r="AG138" i="17" s="1"/>
  <c r="AH138" i="17" s="1"/>
  <c r="R142" i="17"/>
  <c r="AG142" i="17" s="1"/>
  <c r="AH142" i="17" s="1"/>
  <c r="R140" i="17"/>
  <c r="AG140" i="17" s="1"/>
  <c r="AH140" i="17" s="1"/>
  <c r="R141" i="17"/>
  <c r="AG141" i="17" s="1"/>
  <c r="AH141" i="17" s="1"/>
  <c r="Q50" i="17"/>
  <c r="Q47" i="17"/>
  <c r="Q48" i="17"/>
  <c r="Q51" i="17"/>
  <c r="Q49" i="17"/>
  <c r="O42" i="18"/>
  <c r="P42" i="18" s="1"/>
  <c r="Z204" i="17"/>
  <c r="Z203" i="17"/>
  <c r="Z206" i="17"/>
  <c r="Z205" i="17"/>
  <c r="Z208" i="17"/>
  <c r="Z207" i="17"/>
  <c r="R160" i="17"/>
  <c r="AG160" i="17" s="1"/>
  <c r="AH160" i="17" s="1"/>
  <c r="R158" i="17"/>
  <c r="AG158" i="17" s="1"/>
  <c r="AH158" i="17" s="1"/>
  <c r="R159" i="17"/>
  <c r="AG159" i="17" s="1"/>
  <c r="AH159" i="17" s="1"/>
  <c r="R157" i="17"/>
  <c r="AG157" i="17" s="1"/>
  <c r="AH157" i="17" s="1"/>
  <c r="R156" i="17"/>
  <c r="AG156" i="17" s="1"/>
  <c r="AH156" i="17" s="1"/>
  <c r="R42" i="17"/>
  <c r="AG42" i="17" s="1"/>
  <c r="AH42" i="17" s="1"/>
  <c r="R46" i="17"/>
  <c r="AG46" i="17" s="1"/>
  <c r="AH46" i="17" s="1"/>
  <c r="R45" i="17"/>
  <c r="AG45" i="17" s="1"/>
  <c r="AH45" i="17" s="1"/>
  <c r="R44" i="17"/>
  <c r="AG44" i="17" s="1"/>
  <c r="AH44" i="17" s="1"/>
  <c r="R43" i="17"/>
  <c r="AG43" i="17" s="1"/>
  <c r="AH43" i="17" s="1"/>
  <c r="R96" i="17"/>
  <c r="AG96" i="17" s="1"/>
  <c r="AH96" i="17" s="1"/>
  <c r="R95" i="17"/>
  <c r="AG95" i="17" s="1"/>
  <c r="AH95" i="17" s="1"/>
  <c r="R97" i="17"/>
  <c r="AG97" i="17" s="1"/>
  <c r="AH97" i="17" s="1"/>
  <c r="R98" i="17"/>
  <c r="AG98" i="17" s="1"/>
  <c r="R99" i="17"/>
  <c r="AG99" i="17" s="1"/>
  <c r="R184" i="17"/>
  <c r="AG184" i="17" s="1"/>
  <c r="AH184" i="17" s="1"/>
  <c r="R185" i="17"/>
  <c r="AG185" i="17" s="1"/>
  <c r="AH185" i="17" s="1"/>
  <c r="R186" i="17"/>
  <c r="AG186" i="17" s="1"/>
  <c r="R187" i="17"/>
  <c r="AG187" i="17" s="1"/>
  <c r="AH187" i="17" s="1"/>
  <c r="R183" i="17"/>
  <c r="AG183" i="17" s="1"/>
  <c r="AH183" i="17" s="1"/>
  <c r="Q204" i="17"/>
  <c r="Q203" i="17"/>
  <c r="Q206" i="17"/>
  <c r="Q205" i="17"/>
  <c r="Q208" i="17"/>
  <c r="Q207" i="17"/>
  <c r="R165" i="17"/>
  <c r="AG165" i="17" s="1"/>
  <c r="AH165" i="17" s="1"/>
  <c r="R164" i="17"/>
  <c r="AG164" i="17" s="1"/>
  <c r="AH164" i="17" s="1"/>
  <c r="R166" i="17"/>
  <c r="AG166" i="17" s="1"/>
  <c r="AH166" i="17" s="1"/>
  <c r="R161" i="17"/>
  <c r="AG161" i="17" s="1"/>
  <c r="AH161" i="17" s="1"/>
  <c r="R162" i="17"/>
  <c r="AG162" i="17" s="1"/>
  <c r="AH162" i="17" s="1"/>
  <c r="R163" i="17"/>
  <c r="AG163" i="17" s="1"/>
  <c r="AH163" i="17" s="1"/>
  <c r="R62" i="17"/>
  <c r="AG62" i="17" s="1"/>
  <c r="AH62" i="17" s="1"/>
  <c r="R61" i="17"/>
  <c r="AG61" i="17" s="1"/>
  <c r="AH61" i="17" s="1"/>
  <c r="R63" i="17"/>
  <c r="AG63" i="17" s="1"/>
  <c r="AH63" i="17" s="1"/>
  <c r="R58" i="17"/>
  <c r="AG58" i="17" s="1"/>
  <c r="AH58" i="17" s="1"/>
  <c r="R59" i="17"/>
  <c r="AG59" i="17" s="1"/>
  <c r="AH59" i="17" s="1"/>
  <c r="R60" i="17"/>
  <c r="AG60" i="17" s="1"/>
  <c r="AH60" i="17" s="1"/>
  <c r="R101" i="17"/>
  <c r="AG101" i="17" s="1"/>
  <c r="AH101" i="17" s="1"/>
  <c r="R102" i="17"/>
  <c r="AG102" i="17" s="1"/>
  <c r="R103" i="17"/>
  <c r="AG103" i="17" s="1"/>
  <c r="AH103" i="17" s="1"/>
  <c r="R104" i="17"/>
  <c r="AG104" i="17" s="1"/>
  <c r="R100" i="17"/>
  <c r="AG100" i="17" s="1"/>
  <c r="AH100" i="17" s="1"/>
  <c r="R228" i="17"/>
  <c r="AG228" i="17" s="1"/>
  <c r="AH228" i="17" s="1"/>
  <c r="R231" i="17"/>
  <c r="AG231" i="17" s="1"/>
  <c r="R229" i="17"/>
  <c r="AG229" i="17" s="1"/>
  <c r="AH229" i="17" s="1"/>
  <c r="R226" i="17"/>
  <c r="AG226" i="17" s="1"/>
  <c r="AH226" i="17" s="1"/>
  <c r="R227" i="17"/>
  <c r="AG227" i="17" s="1"/>
  <c r="AH227" i="17" s="1"/>
  <c r="R230" i="17"/>
  <c r="AG230" i="17" s="1"/>
  <c r="AH230" i="17" s="1"/>
  <c r="R19" i="17"/>
  <c r="R20" i="17"/>
  <c r="R21" i="17"/>
  <c r="R17" i="17"/>
  <c r="R18" i="17"/>
  <c r="R33" i="17"/>
  <c r="AG33" i="17" s="1"/>
  <c r="AH33" i="17" s="1"/>
  <c r="R34" i="17"/>
  <c r="AG34" i="17" s="1"/>
  <c r="AH34" i="17" s="1"/>
  <c r="R35" i="17"/>
  <c r="AG35" i="17" s="1"/>
  <c r="AH35" i="17" s="1"/>
  <c r="R36" i="17"/>
  <c r="AG36" i="17" s="1"/>
  <c r="AH36" i="17" s="1"/>
  <c r="R32" i="17"/>
  <c r="AG32" i="17" s="1"/>
  <c r="AH32" i="17" s="1"/>
  <c r="R189" i="17"/>
  <c r="AG189" i="17" s="1"/>
  <c r="AH189" i="17" s="1"/>
  <c r="R190" i="17"/>
  <c r="AG190" i="17" s="1"/>
  <c r="AH190" i="17" s="1"/>
  <c r="R192" i="17"/>
  <c r="AG192" i="17" s="1"/>
  <c r="AH192" i="17" s="1"/>
  <c r="R191" i="17"/>
  <c r="AG191" i="17" s="1"/>
  <c r="AH191" i="17" s="1"/>
  <c r="R188" i="17"/>
  <c r="AG188" i="17" s="1"/>
  <c r="AH188" i="17" s="1"/>
  <c r="R197" i="17"/>
  <c r="AG197" i="17" s="1"/>
  <c r="AH197" i="17" s="1"/>
  <c r="R193" i="17"/>
  <c r="AG193" i="17" s="1"/>
  <c r="AH193" i="17" s="1"/>
  <c r="R194" i="17"/>
  <c r="AG194" i="17" s="1"/>
  <c r="AH194" i="17" s="1"/>
  <c r="R196" i="17"/>
  <c r="AG196" i="17" s="1"/>
  <c r="R195" i="17"/>
  <c r="AG195" i="17" s="1"/>
  <c r="AH195" i="17" s="1"/>
  <c r="S30" i="17" l="1"/>
  <c r="S31" i="17"/>
  <c r="S28" i="17"/>
  <c r="S27" i="17"/>
  <c r="S29" i="17"/>
  <c r="S159" i="17"/>
  <c r="S158" i="17"/>
  <c r="S157" i="17"/>
  <c r="S156" i="17"/>
  <c r="S160" i="17"/>
  <c r="S64" i="17"/>
  <c r="S65" i="17"/>
  <c r="S66" i="17"/>
  <c r="S67" i="17"/>
  <c r="S68" i="17"/>
  <c r="S36" i="17"/>
  <c r="S32" i="17"/>
  <c r="S33" i="17"/>
  <c r="S34" i="17"/>
  <c r="S35" i="17"/>
  <c r="Q87" i="17"/>
  <c r="Q88" i="17"/>
  <c r="Q86" i="17"/>
  <c r="Q85" i="17"/>
  <c r="Q89" i="17"/>
  <c r="O46" i="18"/>
  <c r="P46" i="18" s="1"/>
  <c r="O25" i="18"/>
  <c r="P25" i="18" s="1"/>
  <c r="O37" i="18"/>
  <c r="P37" i="18" s="1"/>
  <c r="Z178" i="17"/>
  <c r="Z179" i="17"/>
  <c r="Z180" i="17"/>
  <c r="Z181" i="17"/>
  <c r="Z182" i="17"/>
  <c r="O18" i="18"/>
  <c r="P18" i="18" s="1"/>
  <c r="O30" i="18"/>
  <c r="P30" i="18" s="1"/>
  <c r="S114" i="17"/>
  <c r="S110" i="17"/>
  <c r="S111" i="17"/>
  <c r="S112" i="17"/>
  <c r="S113" i="17"/>
  <c r="S165" i="17"/>
  <c r="S164" i="17"/>
  <c r="S166" i="17"/>
  <c r="S161" i="17"/>
  <c r="S162" i="17"/>
  <c r="S163" i="17"/>
  <c r="S98" i="17"/>
  <c r="S99" i="17"/>
  <c r="S96" i="17"/>
  <c r="S95" i="17"/>
  <c r="S97" i="17"/>
  <c r="Q124" i="17"/>
  <c r="Q127" i="17"/>
  <c r="Q128" i="17"/>
  <c r="Q126" i="17"/>
  <c r="Q123" i="17"/>
  <c r="Q122" i="17"/>
  <c r="Q121" i="17"/>
  <c r="Q125" i="17"/>
  <c r="Q130" i="17"/>
  <c r="Q129" i="17"/>
  <c r="S11" i="17"/>
  <c r="S7" i="17"/>
  <c r="S8" i="17"/>
  <c r="S9" i="17"/>
  <c r="S10" i="17"/>
  <c r="O23" i="18"/>
  <c r="P23" i="18" s="1"/>
  <c r="O17" i="18"/>
  <c r="P17" i="18" s="1"/>
  <c r="O22" i="18"/>
  <c r="P22" i="18" s="1"/>
  <c r="Q230" i="17"/>
  <c r="Q228" i="17"/>
  <c r="Q231" i="17"/>
  <c r="Q229" i="17"/>
  <c r="Q226" i="17"/>
  <c r="Q227" i="17"/>
  <c r="Q108" i="17"/>
  <c r="Q109" i="17"/>
  <c r="Q105" i="17"/>
  <c r="Q106" i="17"/>
  <c r="Q107" i="17"/>
  <c r="Q182" i="17"/>
  <c r="Q178" i="17"/>
  <c r="Q179" i="17"/>
  <c r="Q180" i="17"/>
  <c r="Q181" i="17"/>
  <c r="Q69" i="17"/>
  <c r="Q72" i="17"/>
  <c r="Q71" i="17"/>
  <c r="Q74" i="17"/>
  <c r="Q73" i="17"/>
  <c r="Q70" i="17"/>
  <c r="O27" i="18"/>
  <c r="P27" i="18" s="1"/>
  <c r="Z115" i="17"/>
  <c r="Q10" i="17"/>
  <c r="Q11" i="17"/>
  <c r="Q8" i="17"/>
  <c r="Q7" i="17"/>
  <c r="Q9" i="17"/>
  <c r="S167" i="17"/>
  <c r="S168" i="17"/>
  <c r="S169" i="17"/>
  <c r="S171" i="17"/>
  <c r="S170" i="17"/>
  <c r="S225" i="17"/>
  <c r="S223" i="17"/>
  <c r="S221" i="17"/>
  <c r="S224" i="17"/>
  <c r="S222" i="17"/>
  <c r="S220" i="17"/>
  <c r="Q100" i="17"/>
  <c r="Q101" i="17"/>
  <c r="Q102" i="17"/>
  <c r="Q103" i="17"/>
  <c r="Q104" i="17"/>
  <c r="S94" i="17"/>
  <c r="S90" i="17"/>
  <c r="S92" i="17"/>
  <c r="S91" i="17"/>
  <c r="S93" i="17"/>
  <c r="S191" i="17"/>
  <c r="S188" i="17"/>
  <c r="S189" i="17"/>
  <c r="S190" i="17"/>
  <c r="S192" i="17"/>
  <c r="S63" i="17"/>
  <c r="S58" i="17"/>
  <c r="S59" i="17"/>
  <c r="S60" i="17"/>
  <c r="S61" i="17"/>
  <c r="S62" i="17"/>
  <c r="Q142" i="17"/>
  <c r="Q143" i="17"/>
  <c r="Q141" i="17"/>
  <c r="Q139" i="17"/>
  <c r="Q140" i="17"/>
  <c r="Q138" i="17"/>
  <c r="S88" i="17"/>
  <c r="S86" i="17"/>
  <c r="S85" i="17"/>
  <c r="S89" i="17"/>
  <c r="S87" i="17"/>
  <c r="S133" i="17"/>
  <c r="S132" i="17"/>
  <c r="S131" i="17"/>
  <c r="S137" i="17"/>
  <c r="S136" i="17"/>
  <c r="S135" i="17"/>
  <c r="S134" i="17"/>
  <c r="O13" i="18"/>
  <c r="P13" i="18" s="1"/>
  <c r="Q64" i="17"/>
  <c r="Q65" i="17"/>
  <c r="Q66" i="17"/>
  <c r="Q68" i="17"/>
  <c r="Q67" i="17"/>
  <c r="Q93" i="17"/>
  <c r="Q94" i="17"/>
  <c r="Q90" i="17"/>
  <c r="Q92" i="17"/>
  <c r="Q91" i="17"/>
  <c r="Z175" i="17"/>
  <c r="Z176" i="17"/>
  <c r="O36" i="18"/>
  <c r="P36" i="18" s="1"/>
  <c r="Z177" i="17"/>
  <c r="Z172" i="17"/>
  <c r="Z173" i="17"/>
  <c r="Z174" i="17"/>
  <c r="O12" i="18"/>
  <c r="P12" i="18" s="1"/>
  <c r="Z37" i="17"/>
  <c r="O15" i="18"/>
  <c r="P15" i="18" s="1"/>
  <c r="O7" i="18"/>
  <c r="P7" i="18" s="1"/>
  <c r="Z14" i="17"/>
  <c r="Z15" i="17"/>
  <c r="Z16" i="17"/>
  <c r="Z12" i="17"/>
  <c r="Z13" i="17"/>
  <c r="Q118" i="17"/>
  <c r="Q117" i="17"/>
  <c r="Q120" i="17"/>
  <c r="Q116" i="17"/>
  <c r="Q115" i="17"/>
  <c r="Q119" i="17"/>
  <c r="S75" i="17"/>
  <c r="S78" i="17"/>
  <c r="S77" i="17"/>
  <c r="S79" i="17"/>
  <c r="S76" i="17"/>
  <c r="Q97" i="17"/>
  <c r="Q98" i="17"/>
  <c r="Q99" i="17"/>
  <c r="Q96" i="17"/>
  <c r="Q95" i="17"/>
  <c r="S106" i="17"/>
  <c r="S107" i="17"/>
  <c r="S108" i="17"/>
  <c r="S109" i="17"/>
  <c r="S105" i="17"/>
  <c r="S102" i="17"/>
  <c r="S103" i="17"/>
  <c r="S104" i="17"/>
  <c r="S100" i="17"/>
  <c r="S101" i="17"/>
  <c r="Q155" i="17"/>
  <c r="Q150" i="17"/>
  <c r="Q151" i="17"/>
  <c r="Q152" i="17"/>
  <c r="Q153" i="17"/>
  <c r="Q154" i="17"/>
  <c r="Q133" i="17"/>
  <c r="Q136" i="17"/>
  <c r="Q132" i="17"/>
  <c r="Q131" i="17"/>
  <c r="Q134" i="17"/>
  <c r="Q137" i="17"/>
  <c r="Q135" i="17"/>
  <c r="S176" i="17"/>
  <c r="S177" i="17"/>
  <c r="S172" i="17"/>
  <c r="S173" i="17"/>
  <c r="S174" i="17"/>
  <c r="S175" i="17"/>
  <c r="S150" i="17"/>
  <c r="S151" i="17"/>
  <c r="S152" i="17"/>
  <c r="S153" i="17"/>
  <c r="S154" i="17"/>
  <c r="S155" i="17"/>
  <c r="Q43" i="17"/>
  <c r="Q42" i="17"/>
  <c r="Q46" i="17"/>
  <c r="Q45" i="17"/>
  <c r="Q44" i="17"/>
  <c r="O20" i="18"/>
  <c r="P20" i="18" s="1"/>
  <c r="Z193" i="17"/>
  <c r="Z194" i="17"/>
  <c r="Z196" i="17"/>
  <c r="Z195" i="17"/>
  <c r="O40" i="18"/>
  <c r="P40" i="18" s="1"/>
  <c r="Z197" i="17"/>
  <c r="Z192" i="17"/>
  <c r="Z191" i="17"/>
  <c r="Z188" i="17"/>
  <c r="O39" i="18"/>
  <c r="P39" i="18" s="1"/>
  <c r="Z189" i="17"/>
  <c r="Z190" i="17"/>
  <c r="Q39" i="17"/>
  <c r="Q40" i="17"/>
  <c r="Q41" i="17"/>
  <c r="Q38" i="17"/>
  <c r="Q37" i="17"/>
  <c r="Q52" i="17"/>
  <c r="Q54" i="17"/>
  <c r="Q53" i="17"/>
  <c r="Q56" i="17"/>
  <c r="Q55" i="17"/>
  <c r="Q57" i="17"/>
  <c r="Q12" i="17"/>
  <c r="Q13" i="17"/>
  <c r="Q14" i="17"/>
  <c r="Q15" i="17"/>
  <c r="Q16" i="17"/>
  <c r="Z24" i="17"/>
  <c r="O9" i="18"/>
  <c r="P9" i="18" s="1"/>
  <c r="Z25" i="17"/>
  <c r="Z26" i="17"/>
  <c r="Z22" i="17"/>
  <c r="Z23" i="17"/>
  <c r="O28" i="18"/>
  <c r="P28" i="18" s="1"/>
  <c r="Q177" i="17"/>
  <c r="Q172" i="17"/>
  <c r="Q173" i="17"/>
  <c r="Q174" i="17"/>
  <c r="Q175" i="17"/>
  <c r="Q176" i="17"/>
  <c r="S56" i="17"/>
  <c r="S55" i="17"/>
  <c r="S57" i="17"/>
  <c r="S53" i="17"/>
  <c r="S52" i="17"/>
  <c r="S54" i="17"/>
  <c r="Q185" i="17"/>
  <c r="Q186" i="17"/>
  <c r="Q187" i="17"/>
  <c r="Q183" i="17"/>
  <c r="Q184" i="17"/>
  <c r="S23" i="17"/>
  <c r="S24" i="17"/>
  <c r="S25" i="17"/>
  <c r="S26" i="17"/>
  <c r="S22" i="17"/>
  <c r="S194" i="17"/>
  <c r="S196" i="17"/>
  <c r="S195" i="17"/>
  <c r="S197" i="17"/>
  <c r="S193" i="17"/>
  <c r="S83" i="17"/>
  <c r="S80" i="17"/>
  <c r="S81" i="17"/>
  <c r="S82" i="17"/>
  <c r="S84" i="17"/>
  <c r="S185" i="17"/>
  <c r="S186" i="17"/>
  <c r="S187" i="17"/>
  <c r="S183" i="17"/>
  <c r="S184" i="17"/>
  <c r="S122" i="17"/>
  <c r="S125" i="17"/>
  <c r="S130" i="17"/>
  <c r="S123" i="17"/>
  <c r="S129" i="17"/>
  <c r="S126" i="17"/>
  <c r="S128" i="17"/>
  <c r="S121" i="17"/>
  <c r="S124" i="17"/>
  <c r="S127" i="17"/>
  <c r="Z20" i="17"/>
  <c r="Z21" i="17"/>
  <c r="O8" i="18"/>
  <c r="P8" i="18" s="1"/>
  <c r="Z17" i="17"/>
  <c r="Z18" i="17"/>
  <c r="Z19" i="17"/>
  <c r="Q84" i="17"/>
  <c r="Q83" i="17"/>
  <c r="Q80" i="17"/>
  <c r="Q81" i="17"/>
  <c r="Q82" i="17"/>
  <c r="Q193" i="17"/>
  <c r="Q194" i="17"/>
  <c r="Q196" i="17"/>
  <c r="Q195" i="17"/>
  <c r="Q197" i="17"/>
  <c r="Q189" i="17"/>
  <c r="Q190" i="17"/>
  <c r="Q191" i="17"/>
  <c r="Q192" i="17"/>
  <c r="Q188" i="17"/>
  <c r="Z165" i="17"/>
  <c r="Z164" i="17"/>
  <c r="Z166" i="17"/>
  <c r="Z161" i="17"/>
  <c r="Z162" i="17"/>
  <c r="O34" i="18"/>
  <c r="P34" i="18" s="1"/>
  <c r="Z163" i="17"/>
  <c r="Z167" i="17"/>
  <c r="Z168" i="17"/>
  <c r="Z169" i="17"/>
  <c r="Z171" i="17"/>
  <c r="Z170" i="17"/>
  <c r="O35" i="18"/>
  <c r="P35" i="18" s="1"/>
  <c r="O19" i="18"/>
  <c r="P19" i="18" s="1"/>
  <c r="Q22" i="17"/>
  <c r="Q23" i="17"/>
  <c r="Q24" i="17"/>
  <c r="Q25" i="17"/>
  <c r="Q26" i="17"/>
  <c r="S16" i="17"/>
  <c r="S15" i="17"/>
  <c r="S12" i="17"/>
  <c r="S13" i="17"/>
  <c r="S14" i="17"/>
  <c r="Q114" i="17"/>
  <c r="Q113" i="17"/>
  <c r="Q112" i="17"/>
  <c r="Q111" i="17"/>
  <c r="Q110" i="17"/>
  <c r="S228" i="17"/>
  <c r="S231" i="17"/>
  <c r="S229" i="17"/>
  <c r="S226" i="17"/>
  <c r="S227" i="17"/>
  <c r="S230" i="17"/>
  <c r="Q18" i="17"/>
  <c r="Q19" i="17"/>
  <c r="Q20" i="17"/>
  <c r="Q21" i="17"/>
  <c r="Q17" i="17"/>
  <c r="O33" i="18"/>
  <c r="P33" i="18" s="1"/>
  <c r="Z159" i="17"/>
  <c r="Z157" i="17"/>
  <c r="Z156" i="17"/>
  <c r="Z160" i="17"/>
  <c r="Z158" i="17"/>
  <c r="O32" i="18"/>
  <c r="P32" i="18" s="1"/>
  <c r="Q161" i="17"/>
  <c r="Q162" i="17"/>
  <c r="Q163" i="17"/>
  <c r="Q165" i="17"/>
  <c r="Q164" i="17"/>
  <c r="Q166" i="17"/>
  <c r="Q169" i="17"/>
  <c r="Q171" i="17"/>
  <c r="Q170" i="17"/>
  <c r="Q167" i="17"/>
  <c r="Q168" i="17"/>
  <c r="Q78" i="17"/>
  <c r="Q79" i="17"/>
  <c r="Q76" i="17"/>
  <c r="Q75" i="17"/>
  <c r="Q77" i="17"/>
  <c r="O29" i="18"/>
  <c r="P29" i="18" s="1"/>
  <c r="Z114" i="17"/>
  <c r="Z113" i="17"/>
  <c r="Z112" i="17"/>
  <c r="Z111" i="17"/>
  <c r="Z110" i="17"/>
  <c r="O26" i="18"/>
  <c r="P26" i="18" s="1"/>
  <c r="S120" i="17"/>
  <c r="S119" i="17"/>
  <c r="S118" i="17"/>
  <c r="S117" i="17"/>
  <c r="S116" i="17"/>
  <c r="S115" i="17"/>
  <c r="S200" i="17"/>
  <c r="S199" i="17"/>
  <c r="S202" i="17"/>
  <c r="S201" i="17"/>
  <c r="S198" i="17"/>
  <c r="S21" i="17"/>
  <c r="S17" i="17"/>
  <c r="S18" i="17"/>
  <c r="S19" i="17"/>
  <c r="S20" i="17"/>
  <c r="S139" i="17"/>
  <c r="S138" i="17"/>
  <c r="S141" i="17"/>
  <c r="S140" i="17"/>
  <c r="S143" i="17"/>
  <c r="S142" i="17"/>
  <c r="O16" i="18"/>
  <c r="P16" i="18" s="1"/>
  <c r="Q160" i="17"/>
  <c r="Q159" i="17"/>
  <c r="Q158" i="17"/>
  <c r="Q156" i="17"/>
  <c r="Q157" i="17"/>
  <c r="O11" i="18"/>
  <c r="P11" i="18" s="1"/>
  <c r="Z201" i="17"/>
  <c r="O41" i="18"/>
  <c r="P41" i="18" s="1"/>
  <c r="Z198" i="17"/>
  <c r="Z200" i="17"/>
  <c r="Z199" i="17"/>
  <c r="Z202" i="17"/>
  <c r="Z146" i="17"/>
  <c r="O31" i="18"/>
  <c r="P31" i="18" s="1"/>
  <c r="Z145" i="17"/>
  <c r="Z144" i="17"/>
  <c r="Z149" i="17"/>
  <c r="Z148" i="17"/>
  <c r="Z147" i="17"/>
  <c r="O10" i="18"/>
  <c r="P10" i="18" s="1"/>
  <c r="Z30" i="17"/>
  <c r="Z31" i="17"/>
  <c r="Z28" i="17"/>
  <c r="Z27" i="17"/>
  <c r="Z29" i="17"/>
  <c r="O45" i="18"/>
  <c r="P45" i="18" s="1"/>
  <c r="Z10" i="17"/>
  <c r="Z11" i="17"/>
  <c r="Z7" i="17"/>
  <c r="Z8" i="17"/>
  <c r="O6" i="18"/>
  <c r="P6" i="18" s="1"/>
  <c r="Z9" i="17"/>
  <c r="Z186" i="17"/>
  <c r="Z187" i="17"/>
  <c r="O38" i="18"/>
  <c r="P38" i="18" s="1"/>
  <c r="Z183" i="17"/>
  <c r="Z184" i="17"/>
  <c r="Z185" i="17"/>
  <c r="O24" i="18"/>
  <c r="P24" i="18" s="1"/>
  <c r="S180" i="17"/>
  <c r="S181" i="17"/>
  <c r="S182" i="17"/>
  <c r="S178" i="17"/>
  <c r="S179" i="17"/>
  <c r="S149" i="17"/>
  <c r="S148" i="17"/>
  <c r="S147" i="17"/>
  <c r="S146" i="17"/>
  <c r="S145" i="17"/>
  <c r="S144" i="17"/>
  <c r="S69" i="17"/>
  <c r="S72" i="17"/>
  <c r="S71" i="17"/>
  <c r="S74" i="17"/>
  <c r="S73" i="17"/>
  <c r="S70" i="17"/>
  <c r="S40" i="17"/>
  <c r="S41" i="17"/>
  <c r="S38" i="17"/>
  <c r="S37" i="17"/>
  <c r="S39" i="17"/>
  <c r="S42" i="17"/>
  <c r="S46" i="17"/>
  <c r="S45" i="17"/>
  <c r="S44" i="17"/>
  <c r="S43" i="17"/>
  <c r="Q62" i="17"/>
  <c r="Q63" i="17"/>
  <c r="Q58" i="17"/>
  <c r="Q59" i="17"/>
  <c r="Q61" i="17"/>
  <c r="Q60" i="17"/>
  <c r="O21" i="18"/>
  <c r="P21" i="18" s="1"/>
  <c r="Q34" i="17"/>
  <c r="Q35" i="17"/>
  <c r="Q36" i="17"/>
  <c r="Q32" i="17"/>
  <c r="Q33" i="17"/>
  <c r="Q202" i="17"/>
  <c r="Q201" i="17"/>
  <c r="Q198" i="17"/>
  <c r="Q200" i="17"/>
  <c r="Q199" i="17"/>
  <c r="Q145" i="17"/>
  <c r="Q144" i="17"/>
  <c r="Q149" i="17"/>
  <c r="Q148" i="17"/>
  <c r="Q147" i="17"/>
  <c r="Q146" i="17"/>
  <c r="Q27" i="17"/>
  <c r="Q29" i="17"/>
  <c r="Q30" i="17"/>
  <c r="Q31" i="17"/>
  <c r="Q28" i="17"/>
  <c r="Q221" i="17"/>
  <c r="Q224" i="17"/>
  <c r="Q222" i="17"/>
  <c r="Q220" i="17"/>
  <c r="Q225" i="17"/>
  <c r="Q223" i="17"/>
  <c r="D2" i="27" l="1"/>
  <c r="E2" i="27" s="1"/>
  <c r="D4" i="9"/>
  <c r="E4" i="9"/>
  <c r="F4" i="9"/>
  <c r="C4" i="9"/>
  <c r="G4" i="9"/>
  <c r="K4" i="9" l="1"/>
  <c r="BX35" i="16" l="1"/>
  <c r="F35" i="44" s="1"/>
  <c r="BX34" i="16"/>
  <c r="F34" i="44" s="1"/>
  <c r="BX33" i="16"/>
  <c r="F33" i="44" s="1"/>
  <c r="CM33" i="16" l="1"/>
  <c r="CM34" i="16"/>
  <c r="CM35" i="16"/>
  <c r="CN37" i="16"/>
  <c r="AZ45" i="16"/>
  <c r="AY45" i="16"/>
  <c r="AY47" i="16"/>
  <c r="AZ47" i="16"/>
  <c r="BB47" i="16" s="1"/>
  <c r="AY38" i="16"/>
  <c r="AZ38" i="16"/>
  <c r="AY41" i="16"/>
  <c r="AZ41" i="16"/>
  <c r="AY43" i="16"/>
  <c r="AZ43" i="16"/>
  <c r="AY40" i="16"/>
  <c r="AZ40" i="16"/>
  <c r="AY42" i="16"/>
  <c r="AZ42" i="16"/>
  <c r="AY39" i="16"/>
  <c r="AZ39" i="16"/>
  <c r="AZ44" i="16"/>
  <c r="AY44" i="16"/>
  <c r="AY46" i="16"/>
  <c r="AZ46" i="16"/>
  <c r="CN33" i="16" l="1"/>
  <c r="CN35" i="16"/>
  <c r="CN36" i="16"/>
  <c r="CN34" i="16"/>
  <c r="BB46" i="16"/>
  <c r="BA46" i="16"/>
  <c r="BC46" i="16" s="1"/>
  <c r="BB41" i="16"/>
  <c r="BA41" i="16"/>
  <c r="BC41" i="16" s="1"/>
  <c r="BA44" i="16"/>
  <c r="BC44" i="16" s="1"/>
  <c r="BB44" i="16"/>
  <c r="BB42" i="16"/>
  <c r="BA42" i="16"/>
  <c r="BC42" i="16" s="1"/>
  <c r="BA39" i="16"/>
  <c r="BC39" i="16" s="1"/>
  <c r="BB39" i="16"/>
  <c r="BB43" i="16"/>
  <c r="BA43" i="16"/>
  <c r="BC43" i="16" s="1"/>
  <c r="BA47" i="16"/>
  <c r="BC47" i="16" s="1"/>
  <c r="BD47" i="16"/>
  <c r="BA40" i="16"/>
  <c r="BC40" i="16" s="1"/>
  <c r="BB40" i="16"/>
  <c r="BB38" i="16"/>
  <c r="BA38" i="16"/>
  <c r="BC38" i="16" s="1"/>
  <c r="BA45" i="16"/>
  <c r="BC45" i="16" s="1"/>
  <c r="BB45" i="16"/>
  <c r="D45" i="44" l="1"/>
  <c r="BH45" i="16"/>
  <c r="D38" i="44"/>
  <c r="BH38" i="16"/>
  <c r="D39" i="44"/>
  <c r="BH39" i="16"/>
  <c r="D43" i="44"/>
  <c r="BH43" i="16"/>
  <c r="BR47" i="16"/>
  <c r="BH47" i="16"/>
  <c r="D47" i="44"/>
  <c r="E47" i="44"/>
  <c r="D44" i="44"/>
  <c r="BH44" i="16"/>
  <c r="BW42" i="16"/>
  <c r="D42" i="44"/>
  <c r="BH42" i="16"/>
  <c r="D40" i="44"/>
  <c r="BH40" i="16"/>
  <c r="BW41" i="16"/>
  <c r="D41" i="44"/>
  <c r="BH41" i="16"/>
  <c r="D46" i="44"/>
  <c r="BH46" i="16"/>
  <c r="AE43" i="16"/>
  <c r="AC43" i="16" s="1"/>
  <c r="BW43" i="16"/>
  <c r="D32" i="27"/>
  <c r="E32" i="27" s="1"/>
  <c r="H34" i="9"/>
  <c r="G33" i="9"/>
  <c r="H33" i="9"/>
  <c r="E33" i="9"/>
  <c r="D34" i="27"/>
  <c r="E34" i="27" s="1"/>
  <c r="H36" i="9"/>
  <c r="F35" i="9"/>
  <c r="H35" i="9"/>
  <c r="AE41" i="16"/>
  <c r="AC41" i="16" s="1"/>
  <c r="AE38" i="16"/>
  <c r="AC38" i="16" s="1"/>
  <c r="AE46" i="16"/>
  <c r="AC46" i="16" s="1"/>
  <c r="AE44" i="16"/>
  <c r="AC44" i="16" s="1"/>
  <c r="AE39" i="16"/>
  <c r="AC39" i="16" s="1"/>
  <c r="AE45" i="16"/>
  <c r="AC45" i="16" s="1"/>
  <c r="AE40" i="16"/>
  <c r="AC40" i="16" s="1"/>
  <c r="AE42" i="16"/>
  <c r="AE47" i="16"/>
  <c r="AC47" i="16" s="1"/>
  <c r="BD42" i="16"/>
  <c r="BD44" i="16"/>
  <c r="BD43" i="16"/>
  <c r="BD45" i="16"/>
  <c r="BD41" i="16"/>
  <c r="BD46" i="16"/>
  <c r="BD38" i="16"/>
  <c r="BD39" i="16"/>
  <c r="BD40" i="16"/>
  <c r="BF41" i="16"/>
  <c r="BK41" i="16" s="1"/>
  <c r="BL41" i="16" s="1"/>
  <c r="BF46" i="16"/>
  <c r="BG46" i="16" s="1"/>
  <c r="BF42" i="16"/>
  <c r="BG42" i="16" s="1"/>
  <c r="BF38" i="16"/>
  <c r="BK38" i="16" s="1"/>
  <c r="BL38" i="16" s="1"/>
  <c r="BF43" i="16"/>
  <c r="BG43" i="16" s="1"/>
  <c r="BX46" i="16"/>
  <c r="F46" i="44" s="1"/>
  <c r="BX38" i="16"/>
  <c r="F38" i="44" s="1"/>
  <c r="BX41" i="16"/>
  <c r="F41" i="44" s="1"/>
  <c r="BX42" i="16"/>
  <c r="F42" i="44" s="1"/>
  <c r="G36" i="9"/>
  <c r="E36" i="9"/>
  <c r="F36" i="9"/>
  <c r="C36" i="9"/>
  <c r="D36" i="9"/>
  <c r="D30" i="27"/>
  <c r="E30" i="27" s="1"/>
  <c r="BF47" i="16"/>
  <c r="BG47" i="16" s="1"/>
  <c r="F33" i="9"/>
  <c r="D35" i="9"/>
  <c r="C35" i="9"/>
  <c r="G35" i="9"/>
  <c r="E35" i="9"/>
  <c r="D33" i="27"/>
  <c r="E33" i="27" s="1"/>
  <c r="BF39" i="16"/>
  <c r="BK39" i="16" s="1"/>
  <c r="BL39" i="16" s="1"/>
  <c r="BF40" i="16"/>
  <c r="BG40" i="16" s="1"/>
  <c r="BF44" i="16"/>
  <c r="BF45" i="16"/>
  <c r="BG45" i="16" s="1"/>
  <c r="C33" i="9"/>
  <c r="D31" i="27"/>
  <c r="E31" i="27" s="1"/>
  <c r="D33" i="9"/>
  <c r="G34" i="9"/>
  <c r="C34" i="9"/>
  <c r="F34" i="9"/>
  <c r="E34" i="9"/>
  <c r="D34" i="9"/>
  <c r="AK35" i="55" l="1"/>
  <c r="AL35" i="55" s="1"/>
  <c r="AK35" i="57"/>
  <c r="AL35" i="57" s="1"/>
  <c r="AK34" i="55"/>
  <c r="AL34" i="55" s="1"/>
  <c r="AK34" i="57"/>
  <c r="AL34" i="57" s="1"/>
  <c r="AK36" i="55"/>
  <c r="AL36" i="55" s="1"/>
  <c r="AK36" i="57"/>
  <c r="AL36" i="57" s="1"/>
  <c r="CJ44" i="16"/>
  <c r="CK44" i="16" s="1"/>
  <c r="E39" i="44"/>
  <c r="CJ40" i="16"/>
  <c r="CK40" i="16" s="1"/>
  <c r="CJ46" i="16"/>
  <c r="CK46" i="16" s="1"/>
  <c r="CJ38" i="16"/>
  <c r="CK38" i="16" s="1"/>
  <c r="CJ42" i="16"/>
  <c r="CK42" i="16" s="1"/>
  <c r="CJ41" i="16"/>
  <c r="CK41" i="16" s="1"/>
  <c r="CJ45" i="16"/>
  <c r="CK45" i="16" s="1"/>
  <c r="E38" i="44"/>
  <c r="E41" i="44"/>
  <c r="E45" i="44"/>
  <c r="CJ39" i="16"/>
  <c r="CK39" i="16" s="1"/>
  <c r="E42" i="44"/>
  <c r="E44" i="44"/>
  <c r="E46" i="44"/>
  <c r="E40" i="44"/>
  <c r="H39" i="44"/>
  <c r="I39" i="44"/>
  <c r="H47" i="44"/>
  <c r="I47" i="44"/>
  <c r="H41" i="44"/>
  <c r="I41" i="44"/>
  <c r="I43" i="44"/>
  <c r="H43" i="44"/>
  <c r="H40" i="44"/>
  <c r="I40" i="44"/>
  <c r="H46" i="44"/>
  <c r="I46" i="44"/>
  <c r="H38" i="44"/>
  <c r="I38" i="44"/>
  <c r="H42" i="44"/>
  <c r="I42" i="44"/>
  <c r="H45" i="44"/>
  <c r="I45" i="44"/>
  <c r="H44" i="44"/>
  <c r="I44" i="44"/>
  <c r="CJ43" i="16"/>
  <c r="CK43" i="16" s="1"/>
  <c r="E43" i="44"/>
  <c r="F47" i="44"/>
  <c r="CF47" i="16"/>
  <c r="BK46" i="16"/>
  <c r="BL46" i="16" s="1"/>
  <c r="BG41" i="16"/>
  <c r="AC42" i="16"/>
  <c r="BK42" i="16"/>
  <c r="BL42" i="16" s="1"/>
  <c r="BG38" i="16"/>
  <c r="BK43" i="16"/>
  <c r="BL43" i="16" s="1"/>
  <c r="BX45" i="16"/>
  <c r="F45" i="44" s="1"/>
  <c r="BX39" i="16"/>
  <c r="F39" i="44" s="1"/>
  <c r="BX43" i="16"/>
  <c r="F43" i="44" s="1"/>
  <c r="CM38" i="16"/>
  <c r="BX40" i="16"/>
  <c r="F40" i="44" s="1"/>
  <c r="CM42" i="16"/>
  <c r="CM41" i="16"/>
  <c r="CM46" i="16"/>
  <c r="BX44" i="16"/>
  <c r="F44" i="44" s="1"/>
  <c r="K36" i="9"/>
  <c r="E57" i="9" s="1"/>
  <c r="K35" i="9"/>
  <c r="C56" i="9" s="1"/>
  <c r="BK45" i="16"/>
  <c r="BL45" i="16" s="1"/>
  <c r="BK40" i="16"/>
  <c r="BL40" i="16" s="1"/>
  <c r="BG39" i="16"/>
  <c r="K33" i="9"/>
  <c r="BG44" i="16"/>
  <c r="BK44" i="16"/>
  <c r="BL44" i="16" s="1"/>
  <c r="D32" i="4"/>
  <c r="K34" i="9"/>
  <c r="CM47" i="16" l="1"/>
  <c r="CN47" i="16" s="1"/>
  <c r="E32" i="4"/>
  <c r="CN46" i="16"/>
  <c r="CM39" i="16"/>
  <c r="CM40" i="16"/>
  <c r="CM45" i="16"/>
  <c r="CM44" i="16"/>
  <c r="CM43" i="16"/>
  <c r="CN42" i="16"/>
  <c r="D57" i="9"/>
  <c r="F57" i="9"/>
  <c r="J57" i="9" s="1"/>
  <c r="G57" i="9"/>
  <c r="C57" i="9"/>
  <c r="H57" i="9" s="1"/>
  <c r="H40" i="9"/>
  <c r="CN41" i="16"/>
  <c r="CN38" i="16"/>
  <c r="B44" i="27"/>
  <c r="G56" i="9"/>
  <c r="F56" i="9"/>
  <c r="D56" i="9"/>
  <c r="E56" i="9"/>
  <c r="G32" i="4"/>
  <c r="D30" i="13"/>
  <c r="J56" i="9" l="1"/>
  <c r="H56" i="9"/>
  <c r="I56" i="9"/>
  <c r="I57" i="9"/>
  <c r="D39" i="27"/>
  <c r="E39" i="27" s="1"/>
  <c r="H41" i="9"/>
  <c r="E37" i="9"/>
  <c r="H37" i="9"/>
  <c r="E45" i="9"/>
  <c r="H45" i="9"/>
  <c r="D41" i="9"/>
  <c r="F45" i="9"/>
  <c r="C45" i="9"/>
  <c r="D45" i="9"/>
  <c r="G45" i="9"/>
  <c r="D43" i="27"/>
  <c r="E43" i="27" s="1"/>
  <c r="C41" i="9"/>
  <c r="G41" i="9"/>
  <c r="E41" i="9"/>
  <c r="F41" i="9"/>
  <c r="E30" i="13"/>
  <c r="CN45" i="16"/>
  <c r="CN43" i="16"/>
  <c r="CN44" i="16"/>
  <c r="CN39" i="16"/>
  <c r="CN40" i="16"/>
  <c r="D44" i="27"/>
  <c r="F46" i="9"/>
  <c r="C46" i="9"/>
  <c r="D46" i="9"/>
  <c r="E46" i="9"/>
  <c r="G46" i="9"/>
  <c r="C37" i="9"/>
  <c r="D35" i="27"/>
  <c r="E35" i="27" s="1"/>
  <c r="D37" i="9"/>
  <c r="G37" i="9"/>
  <c r="F37" i="9"/>
  <c r="F40" i="9"/>
  <c r="C40" i="9"/>
  <c r="E40" i="9"/>
  <c r="G40" i="9"/>
  <c r="D38" i="27"/>
  <c r="E38" i="27" s="1"/>
  <c r="D40" i="9"/>
  <c r="K46" i="9" l="1"/>
  <c r="D47" i="4"/>
  <c r="G47" i="4" s="1"/>
  <c r="D33" i="4"/>
  <c r="D31" i="13" s="1"/>
  <c r="C38" i="9"/>
  <c r="E38" i="9"/>
  <c r="H38" i="9"/>
  <c r="D34" i="4" s="1"/>
  <c r="C42" i="9"/>
  <c r="H42" i="9"/>
  <c r="D42" i="27"/>
  <c r="E42" i="27" s="1"/>
  <c r="H44" i="9"/>
  <c r="G39" i="9"/>
  <c r="E39" i="9"/>
  <c r="H39" i="9"/>
  <c r="D41" i="27"/>
  <c r="E41" i="27" s="1"/>
  <c r="H43" i="9"/>
  <c r="F38" i="9"/>
  <c r="G38" i="9"/>
  <c r="E43" i="9"/>
  <c r="G43" i="9"/>
  <c r="D38" i="9"/>
  <c r="F39" i="9"/>
  <c r="K45" i="9"/>
  <c r="C66" i="9" s="1"/>
  <c r="G42" i="9"/>
  <c r="D42" i="9"/>
  <c r="F42" i="9"/>
  <c r="E42" i="9"/>
  <c r="D36" i="27"/>
  <c r="E36" i="27" s="1"/>
  <c r="D40" i="27"/>
  <c r="E40" i="27" s="1"/>
  <c r="D39" i="9"/>
  <c r="C39" i="9"/>
  <c r="D37" i="27"/>
  <c r="E37" i="27" s="1"/>
  <c r="K41" i="9"/>
  <c r="G62" i="9" s="1"/>
  <c r="F43" i="9"/>
  <c r="C43" i="9"/>
  <c r="D43" i="9"/>
  <c r="F44" i="9"/>
  <c r="D44" i="9"/>
  <c r="G44" i="9"/>
  <c r="E44" i="9"/>
  <c r="U40" i="4" s="1"/>
  <c r="C44" i="9"/>
  <c r="Q40" i="4" s="1"/>
  <c r="D44" i="4"/>
  <c r="K37" i="9"/>
  <c r="G58" i="9" s="1"/>
  <c r="K40" i="9"/>
  <c r="D45" i="4"/>
  <c r="D46" i="4"/>
  <c r="G67" i="9"/>
  <c r="E47" i="4" l="1"/>
  <c r="F67" i="9"/>
  <c r="J67" i="9" s="1"/>
  <c r="C67" i="9"/>
  <c r="D67" i="9"/>
  <c r="I67" i="9" s="1"/>
  <c r="E67" i="9"/>
  <c r="G33" i="4"/>
  <c r="S40" i="4"/>
  <c r="Y40" i="4"/>
  <c r="E33" i="4"/>
  <c r="E31" i="13" s="1"/>
  <c r="AA40" i="4"/>
  <c r="W40" i="4"/>
  <c r="G34" i="4"/>
  <c r="D37" i="4"/>
  <c r="D38" i="4"/>
  <c r="D39" i="4"/>
  <c r="E34" i="4"/>
  <c r="D32" i="13"/>
  <c r="D35" i="4"/>
  <c r="D42" i="13"/>
  <c r="D36" i="4"/>
  <c r="K38" i="9"/>
  <c r="E59" i="9" s="1"/>
  <c r="G66" i="9"/>
  <c r="F66" i="9"/>
  <c r="J66" i="9" s="1"/>
  <c r="E66" i="9"/>
  <c r="H66" i="9" s="1"/>
  <c r="D66" i="9"/>
  <c r="D40" i="4"/>
  <c r="K42" i="9"/>
  <c r="C63" i="9" s="1"/>
  <c r="K39" i="9"/>
  <c r="C60" i="9" s="1"/>
  <c r="F62" i="9"/>
  <c r="J62" i="9" s="1"/>
  <c r="C62" i="9"/>
  <c r="D62" i="9"/>
  <c r="I62" i="9" s="1"/>
  <c r="E62" i="9"/>
  <c r="K43" i="9"/>
  <c r="F64" i="9" s="1"/>
  <c r="J64" i="9" s="1"/>
  <c r="D41" i="4"/>
  <c r="D42" i="4"/>
  <c r="D43" i="4"/>
  <c r="K44" i="9"/>
  <c r="F65" i="9" s="1"/>
  <c r="J65" i="9" s="1"/>
  <c r="E44" i="4"/>
  <c r="G44" i="4"/>
  <c r="C58" i="9"/>
  <c r="E58" i="9"/>
  <c r="D58" i="9"/>
  <c r="F58" i="9"/>
  <c r="E61" i="9"/>
  <c r="D61" i="9"/>
  <c r="C61" i="9"/>
  <c r="G46" i="4"/>
  <c r="D44" i="13"/>
  <c r="E46" i="4"/>
  <c r="E44" i="13" s="1"/>
  <c r="G61" i="9"/>
  <c r="E45" i="4"/>
  <c r="G45" i="4"/>
  <c r="D43" i="13"/>
  <c r="F61" i="9"/>
  <c r="J61" i="9" s="1"/>
  <c r="J58" i="9" l="1"/>
  <c r="I58" i="9"/>
  <c r="H67" i="9"/>
  <c r="H61" i="9"/>
  <c r="AF40" i="4"/>
  <c r="H58" i="9"/>
  <c r="I61" i="9"/>
  <c r="I66" i="9"/>
  <c r="H62" i="9"/>
  <c r="D37" i="13"/>
  <c r="G38" i="4"/>
  <c r="G37" i="4"/>
  <c r="E32" i="13"/>
  <c r="E35" i="4"/>
  <c r="D35" i="13"/>
  <c r="E37" i="4"/>
  <c r="G39" i="4"/>
  <c r="E38" i="4"/>
  <c r="D36" i="13"/>
  <c r="E39" i="4"/>
  <c r="G35" i="4"/>
  <c r="D33" i="13"/>
  <c r="G60" i="9"/>
  <c r="E42" i="13"/>
  <c r="E43" i="13"/>
  <c r="D60" i="9"/>
  <c r="E60" i="9"/>
  <c r="H60" i="9" s="1"/>
  <c r="F60" i="9"/>
  <c r="J60" i="9" s="1"/>
  <c r="E36" i="4"/>
  <c r="G59" i="9"/>
  <c r="C59" i="9"/>
  <c r="H59" i="9" s="1"/>
  <c r="G36" i="4"/>
  <c r="D34" i="13"/>
  <c r="D59" i="9"/>
  <c r="F59" i="9"/>
  <c r="J59" i="9" s="1"/>
  <c r="F63" i="9"/>
  <c r="J63" i="9" s="1"/>
  <c r="E40" i="4"/>
  <c r="G63" i="9"/>
  <c r="D63" i="9"/>
  <c r="E63" i="9"/>
  <c r="H63" i="9" s="1"/>
  <c r="D38" i="13"/>
  <c r="G40" i="4"/>
  <c r="D41" i="13"/>
  <c r="G42" i="4"/>
  <c r="C65" i="9"/>
  <c r="D65" i="9"/>
  <c r="C64" i="9"/>
  <c r="D64" i="9"/>
  <c r="G64" i="9"/>
  <c r="E64" i="9"/>
  <c r="E65" i="9"/>
  <c r="G65" i="9"/>
  <c r="E41" i="4"/>
  <c r="D40" i="13"/>
  <c r="D39" i="13"/>
  <c r="G41" i="4"/>
  <c r="E42" i="4"/>
  <c r="E43" i="4"/>
  <c r="G43" i="4"/>
  <c r="D69" i="9" l="1"/>
  <c r="C69" i="9"/>
  <c r="E69" i="9"/>
  <c r="G69" i="9"/>
  <c r="F69" i="9"/>
  <c r="J69" i="9" s="1"/>
  <c r="L4" i="53"/>
  <c r="H64" i="9"/>
  <c r="I59" i="9"/>
  <c r="I60" i="9"/>
  <c r="I65" i="9"/>
  <c r="H65" i="9"/>
  <c r="I64" i="9"/>
  <c r="I63" i="9"/>
  <c r="E33" i="13"/>
  <c r="E37" i="13"/>
  <c r="E36" i="13"/>
  <c r="E35" i="13"/>
  <c r="E34" i="13"/>
  <c r="L5" i="28"/>
  <c r="E38" i="13"/>
  <c r="E40" i="13"/>
  <c r="E39" i="13"/>
  <c r="E41" i="13"/>
  <c r="L3" i="28"/>
  <c r="M3" i="28" s="1"/>
  <c r="I4" i="28" l="1"/>
  <c r="I4" i="53"/>
  <c r="H69" i="9"/>
  <c r="I69" i="9"/>
  <c r="I5" i="28" l="1"/>
  <c r="M5" i="28" s="1"/>
  <c r="I5" i="53"/>
  <c r="I6" i="28"/>
  <c r="I6" i="53"/>
  <c r="H27" i="9"/>
  <c r="D27" i="9"/>
  <c r="F27" i="9"/>
  <c r="C27" i="9"/>
  <c r="F27" i="30"/>
  <c r="C27" i="30"/>
  <c r="BM30" i="30" s="1"/>
  <c r="BN30" i="30" s="1"/>
  <c r="D27" i="30"/>
  <c r="H27" i="30"/>
  <c r="BJ27" i="30" s="1"/>
  <c r="BN27" i="30" s="1"/>
  <c r="N25" i="27"/>
  <c r="G27" i="9"/>
  <c r="G27" i="30"/>
  <c r="E27" i="9"/>
  <c r="E27" i="30"/>
  <c r="D24" i="4" l="1"/>
  <c r="D22" i="13" s="1"/>
  <c r="D23" i="4"/>
  <c r="D21" i="13" s="1"/>
  <c r="D26" i="4"/>
  <c r="D25" i="4"/>
  <c r="BL29" i="30"/>
  <c r="BN29" i="30" s="1"/>
  <c r="BK28" i="30"/>
  <c r="BN28" i="30" s="1"/>
  <c r="K27" i="9"/>
  <c r="E23" i="4" l="1"/>
  <c r="G24" i="4"/>
  <c r="E24" i="4"/>
  <c r="E22" i="13" s="1"/>
  <c r="G23" i="4"/>
  <c r="D24" i="13"/>
  <c r="G26" i="4"/>
  <c r="E26" i="4"/>
  <c r="S60" i="13"/>
  <c r="R60" i="13"/>
  <c r="Q60" i="13"/>
  <c r="P60" i="13"/>
  <c r="O60" i="13"/>
  <c r="S51" i="13"/>
  <c r="R51" i="13"/>
  <c r="Q51" i="13"/>
  <c r="P51" i="13"/>
  <c r="O51" i="13"/>
  <c r="D23" i="13"/>
  <c r="G25" i="4"/>
  <c r="E25" i="4"/>
  <c r="D32" i="9"/>
  <c r="C32" i="9"/>
  <c r="F32" i="9"/>
  <c r="H32" i="9"/>
  <c r="D32" i="30"/>
  <c r="H32" i="30"/>
  <c r="BJ32" i="30" s="1"/>
  <c r="BN32" i="30" s="1"/>
  <c r="C32" i="30"/>
  <c r="BM35" i="30" s="1"/>
  <c r="BN35" i="30" s="1"/>
  <c r="F32" i="30"/>
  <c r="G32" i="9"/>
  <c r="G32" i="30"/>
  <c r="N30" i="27"/>
  <c r="E32" i="9"/>
  <c r="E32" i="30"/>
  <c r="J4" i="53" l="1"/>
  <c r="E21" i="13"/>
  <c r="V51" i="13" s="1"/>
  <c r="E24" i="13"/>
  <c r="P17" i="13"/>
  <c r="S9" i="13"/>
  <c r="R9" i="13"/>
  <c r="Q9" i="13"/>
  <c r="P9" i="13"/>
  <c r="O9" i="13"/>
  <c r="S17" i="13"/>
  <c r="R17" i="13"/>
  <c r="Q17" i="13"/>
  <c r="E23" i="13"/>
  <c r="J5" i="28"/>
  <c r="K5" i="28" s="1"/>
  <c r="BK33" i="30"/>
  <c r="BN33" i="30" s="1"/>
  <c r="K32" i="9"/>
  <c r="BL34" i="30"/>
  <c r="BN34" i="30" s="1"/>
  <c r="D31" i="4"/>
  <c r="U51" i="13" l="1"/>
  <c r="X51" i="13"/>
  <c r="U60" i="13"/>
  <c r="T60" i="13"/>
  <c r="W60" i="13"/>
  <c r="X60" i="13"/>
  <c r="W51" i="13"/>
  <c r="T51" i="13"/>
  <c r="V60" i="13"/>
  <c r="U17" i="13"/>
  <c r="X9" i="13"/>
  <c r="W9" i="13"/>
  <c r="V9" i="13"/>
  <c r="U9" i="13"/>
  <c r="T9" i="13"/>
  <c r="X17" i="13"/>
  <c r="W17" i="13"/>
  <c r="V17" i="13"/>
  <c r="D29" i="13"/>
  <c r="G31" i="4"/>
  <c r="E31" i="4"/>
  <c r="E29" i="13" l="1"/>
  <c r="CC32" i="16"/>
  <c r="CF32" i="16" s="1"/>
  <c r="CH32" i="16" s="1"/>
  <c r="CI32" i="16" s="1"/>
  <c r="Y32" i="16"/>
  <c r="AD32" i="16" s="1"/>
  <c r="AU32" i="16"/>
  <c r="AZ32" i="16"/>
  <c r="AY32" i="16"/>
  <c r="AT32" i="16"/>
  <c r="AV32" i="16" s="1"/>
  <c r="W32" i="16"/>
  <c r="AH32" i="16"/>
  <c r="K151" i="17" l="1"/>
  <c r="Z151" i="17" s="1"/>
  <c r="K150" i="17"/>
  <c r="Z150" i="17" s="1"/>
  <c r="K155" i="17"/>
  <c r="Z155" i="17" s="1"/>
  <c r="K154" i="17"/>
  <c r="Z154" i="17" s="1"/>
  <c r="K152" i="17"/>
  <c r="Z152" i="17" s="1"/>
  <c r="K153" i="17"/>
  <c r="Z153" i="17" s="1"/>
  <c r="AE25" i="55"/>
  <c r="AF25" i="55" s="1"/>
  <c r="AE25" i="57"/>
  <c r="AF25" i="57" s="1"/>
  <c r="BX32" i="16"/>
  <c r="BW32" i="16"/>
  <c r="D32" i="44"/>
  <c r="AW32" i="16"/>
  <c r="G32" i="44" s="1"/>
  <c r="BH32" i="16"/>
  <c r="BA32" i="16"/>
  <c r="BC32" i="16" s="1"/>
  <c r="AE32" i="16"/>
  <c r="AC32" i="16" s="1"/>
  <c r="BI32" i="16"/>
  <c r="AK25" i="55" l="1"/>
  <c r="AL25" i="55" s="1"/>
  <c r="AK25" i="57"/>
  <c r="AL25" i="57" s="1"/>
  <c r="F32" i="44"/>
  <c r="CM32" i="16"/>
  <c r="CN32" i="16" s="1"/>
  <c r="E32" i="44"/>
  <c r="AX32" i="16"/>
  <c r="BB32" i="16"/>
  <c r="BD32" i="16" s="1"/>
  <c r="H32" i="44"/>
  <c r="BF32" i="16"/>
  <c r="BK32" i="16" s="1"/>
  <c r="BL32" i="16" s="1"/>
  <c r="I32" i="44"/>
  <c r="I48" i="44" s="1"/>
  <c r="J32" i="44"/>
  <c r="J48" i="44" s="1"/>
  <c r="CJ32" i="16"/>
  <c r="CK32" i="16" s="1"/>
  <c r="B29" i="27"/>
  <c r="BG32" i="16" l="1"/>
  <c r="D29" i="27"/>
  <c r="E29" i="27" s="1"/>
  <c r="E31" i="9"/>
  <c r="G31" i="9"/>
  <c r="C31" i="9"/>
  <c r="D31" i="9"/>
  <c r="H31" i="9"/>
  <c r="F31" i="9"/>
  <c r="D29" i="4" l="1"/>
  <c r="E29" i="4" s="1"/>
  <c r="D27" i="4"/>
  <c r="D25" i="13" s="1"/>
  <c r="D28" i="4"/>
  <c r="D26" i="13" s="1"/>
  <c r="K31" i="9"/>
  <c r="D30" i="4"/>
  <c r="G29" i="4" l="1"/>
  <c r="D27" i="13"/>
  <c r="S52" i="13" s="1"/>
  <c r="G27" i="4"/>
  <c r="G28" i="4"/>
  <c r="E28" i="4"/>
  <c r="E26" i="13" s="1"/>
  <c r="E27" i="4"/>
  <c r="E27" i="13"/>
  <c r="G30" i="4"/>
  <c r="D28" i="13"/>
  <c r="E30" i="4"/>
  <c r="L3" i="53" l="1"/>
  <c r="M3" i="53" s="1"/>
  <c r="L5" i="53"/>
  <c r="M5" i="53" s="1"/>
  <c r="J3" i="53"/>
  <c r="K3" i="53" s="1"/>
  <c r="J5" i="53"/>
  <c r="K5" i="53" s="1"/>
  <c r="E25" i="13"/>
  <c r="W61" i="13" s="1"/>
  <c r="J6" i="53"/>
  <c r="K6" i="53" s="1"/>
  <c r="K4" i="53"/>
  <c r="M4" i="53"/>
  <c r="L6" i="53"/>
  <c r="M6" i="53" s="1"/>
  <c r="P52" i="13"/>
  <c r="R38" i="13"/>
  <c r="P38" i="13"/>
  <c r="R52" i="13"/>
  <c r="P61" i="13"/>
  <c r="Q38" i="13"/>
  <c r="O30" i="13"/>
  <c r="Q30" i="13"/>
  <c r="R30" i="13"/>
  <c r="Q52" i="13"/>
  <c r="S30" i="13"/>
  <c r="O61" i="13"/>
  <c r="O38" i="13"/>
  <c r="O52" i="13"/>
  <c r="S38" i="13"/>
  <c r="Q61" i="13"/>
  <c r="P30" i="13"/>
  <c r="R61" i="13"/>
  <c r="S61" i="13"/>
  <c r="J3" i="28"/>
  <c r="K3" i="28" s="1"/>
  <c r="S31" i="13"/>
  <c r="P62" i="13"/>
  <c r="P63" i="13" s="1"/>
  <c r="O62" i="13"/>
  <c r="P53" i="13"/>
  <c r="P54" i="13" s="1"/>
  <c r="O53" i="13"/>
  <c r="Q62" i="13"/>
  <c r="Q63" i="13" s="1"/>
  <c r="R53" i="13"/>
  <c r="R54" i="13" s="1"/>
  <c r="Q53" i="13"/>
  <c r="Q54" i="13" s="1"/>
  <c r="S62" i="13"/>
  <c r="R62" i="13"/>
  <c r="R63" i="13" s="1"/>
  <c r="S53" i="13"/>
  <c r="S10" i="13"/>
  <c r="R10" i="13"/>
  <c r="R11" i="13" s="1"/>
  <c r="Q10" i="13"/>
  <c r="Q11" i="13" s="1"/>
  <c r="P10" i="13"/>
  <c r="P11" i="13" s="1"/>
  <c r="O10" i="13"/>
  <c r="S18" i="13"/>
  <c r="R18" i="13"/>
  <c r="R19" i="13" s="1"/>
  <c r="Q18" i="13"/>
  <c r="Q19" i="13" s="1"/>
  <c r="P18" i="13"/>
  <c r="P19" i="13" s="1"/>
  <c r="Q31" i="13"/>
  <c r="R31" i="13"/>
  <c r="O31" i="13"/>
  <c r="P31" i="13"/>
  <c r="R39" i="13"/>
  <c r="S39" i="13"/>
  <c r="P39" i="13"/>
  <c r="Q39" i="13"/>
  <c r="O39" i="13"/>
  <c r="J6" i="28"/>
  <c r="K6" i="28" s="1"/>
  <c r="L4" i="28"/>
  <c r="M4" i="28" s="1"/>
  <c r="E28" i="13"/>
  <c r="L6" i="28"/>
  <c r="M6" i="28" s="1"/>
  <c r="J4" i="28"/>
  <c r="K4" i="28" s="1"/>
  <c r="X30" i="13" l="1"/>
  <c r="V52" i="13"/>
  <c r="W52" i="13"/>
  <c r="X52" i="13"/>
  <c r="T61" i="13"/>
  <c r="T38" i="13"/>
  <c r="T30" i="13"/>
  <c r="X61" i="13"/>
  <c r="U38" i="13"/>
  <c r="U30" i="13"/>
  <c r="V38" i="13"/>
  <c r="U61" i="13"/>
  <c r="W38" i="13"/>
  <c r="V30" i="13"/>
  <c r="T52" i="13"/>
  <c r="V61" i="13"/>
  <c r="X38" i="13"/>
  <c r="W30" i="13"/>
  <c r="U52" i="13"/>
  <c r="K7" i="53"/>
  <c r="M7" i="53"/>
  <c r="M10" i="53" s="1"/>
  <c r="P40" i="13"/>
  <c r="Q40" i="13"/>
  <c r="R40" i="13"/>
  <c r="Q32" i="13"/>
  <c r="R32" i="13"/>
  <c r="P32" i="13"/>
  <c r="T10" i="13"/>
  <c r="X62" i="13"/>
  <c r="W62" i="13"/>
  <c r="W63" i="13" s="1"/>
  <c r="X53" i="13"/>
  <c r="V62" i="13"/>
  <c r="V63" i="13" s="1"/>
  <c r="W53" i="13"/>
  <c r="W54" i="13" s="1"/>
  <c r="U62" i="13"/>
  <c r="U63" i="13" s="1"/>
  <c r="V53" i="13"/>
  <c r="V54" i="13" s="1"/>
  <c r="T62" i="13"/>
  <c r="U53" i="13"/>
  <c r="U54" i="13" s="1"/>
  <c r="T53" i="13"/>
  <c r="X10" i="13"/>
  <c r="W10" i="13"/>
  <c r="W11" i="13" s="1"/>
  <c r="V10" i="13"/>
  <c r="V11" i="13" s="1"/>
  <c r="U10" i="13"/>
  <c r="U11" i="13" s="1"/>
  <c r="X31" i="13"/>
  <c r="V39" i="13"/>
  <c r="X18" i="13"/>
  <c r="W18" i="13"/>
  <c r="W19" i="13" s="1"/>
  <c r="V18" i="13"/>
  <c r="V19" i="13" s="1"/>
  <c r="U18" i="13"/>
  <c r="U19" i="13" s="1"/>
  <c r="V31" i="13"/>
  <c r="W31" i="13"/>
  <c r="T31" i="13"/>
  <c r="U31" i="13"/>
  <c r="W39" i="13"/>
  <c r="X39" i="13"/>
  <c r="U39" i="13"/>
  <c r="T39" i="13"/>
  <c r="K7" i="28"/>
  <c r="K10" i="28" s="1"/>
  <c r="M7" i="28"/>
  <c r="W32" i="13" l="1"/>
  <c r="W40" i="13"/>
  <c r="V32" i="13"/>
  <c r="M9" i="28"/>
  <c r="M10" i="28"/>
  <c r="M9" i="53"/>
  <c r="K10" i="53"/>
  <c r="U40" i="13"/>
  <c r="U32" i="13"/>
  <c r="V40" i="13"/>
  <c r="K9" i="53"/>
  <c r="K9" i="28"/>
  <c r="C7" i="4" l="1"/>
  <c r="C5" i="13" s="1"/>
  <c r="C5" i="4"/>
  <c r="C3" i="13" s="1"/>
  <c r="F7" i="10"/>
  <c r="C8" i="4"/>
  <c r="C6" i="13" s="1"/>
  <c r="C6" i="4"/>
  <c r="C4" i="13" s="1"/>
  <c r="F5" i="10"/>
  <c r="F8" i="10"/>
  <c r="F6" i="10"/>
  <c r="F4" i="10"/>
  <c r="C4" i="4"/>
  <c r="C2" i="13" s="1"/>
  <c r="E8" i="4" l="1"/>
  <c r="E6" i="1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Howard Stiff</author>
  </authors>
  <commentList>
    <comment ref="F6" authorId="0" shapeId="0" xr:uid="{75A5FC5C-8B8F-4026-B15D-A18E55E4489F}">
      <text>
        <r>
          <rPr>
            <b/>
            <sz val="9"/>
            <color indexed="81"/>
            <rFont val="Tahoma"/>
            <family val="2"/>
          </rPr>
          <t xml:space="preserve">Note about smolt estimates 1985-1997.
</t>
        </r>
        <r>
          <rPr>
            <sz val="9"/>
            <color indexed="81"/>
            <rFont val="Tahoma"/>
            <family val="2"/>
          </rPr>
          <t xml:space="preserve">From: Margot Stockwell &lt;margot.stockwell@gmail.com&gt; 
Sent: Friday, September 23, 2022 3:58 PM
To: Stiff, Howard &lt;Howard.Stiff@dfo-mpo.gc.ca&gt;
Cc: Ogden, Athena &lt;athena.ogden@dfo-mpo.gc.ca&gt;
Subject: Re: FWMT program
I'm not sure if this is going to be much help but ....
I did not spend a lot of time working with fry/smolt data. That was Paul and Kim's area (finally Athena, Howard and Don's area). But if Kim had a "thought" he would get me to look into different avenues for  potential analyses to see if a particular method could be pursued further. He was a really visual thinker (hence storyboards, etc.) so I would compile lots of graphs from various groups of data which he would carefully go over and then decide if anything more should be chased down. Hence, the hodge podge of files for Osoyoos juvenile stuff. 
On that spreadsheet you sent me Athena, make sure the Osoyoos smolt numbers (values from Osoyoos trawls) are the ones that you are using now for everything else. Kim's method of estimating smolt abundance from trawl surveys changed a couple of times over the years. Although the results from each survey should not have changed over the years, the estimating for final/total abundance has -  which causes some confusion when looking at old data sets. And of course, Don has his own way of doing things. Kim's preference was as per the CNAT sheet where the final smolt abundance was the mean of the fall and winter surveys. But now you also have Skaha, etc. juveniles to deal with.
McNary:
a) </t>
        </r>
        <r>
          <rPr>
            <b/>
            <sz val="9"/>
            <color indexed="81"/>
            <rFont val="Tahoma"/>
            <family val="2"/>
          </rPr>
          <t>The smolt estimates for sea entry years 1985-97 were "subjectively" or perhaps even "haphazardly" derived from McNary Dam passage in the spring of each year.</t>
        </r>
        <r>
          <rPr>
            <sz val="9"/>
            <color indexed="81"/>
            <rFont val="Tahoma"/>
            <family val="2"/>
          </rPr>
          <t xml:space="preserve"> NB: the US dam counts were never designed to or meant to collect true abundance data but rather migration timing such that flows over the dams could be altered if/when necessary. There will be a large number that miss the bypasses and are not counted each year (not to mention mortalities at each dam along the way). However, Kim and a few scientists down south (different organizations) believed that the passage results could reasonably be used as a proxy for abundance*. McNary smolts were both Wenatchee and Osoyoos and had to somehow be separated.
* </t>
        </r>
        <r>
          <rPr>
            <b/>
            <i/>
            <sz val="9"/>
            <color indexed="81"/>
            <rFont val="Tahoma"/>
            <family val="2"/>
          </rPr>
          <t>see Williams et al. 2014 p. 213-214 for a method of calculating McNary total smolts</t>
        </r>
        <r>
          <rPr>
            <i/>
            <sz val="9"/>
            <color indexed="81"/>
            <rFont val="Tahoma"/>
            <family val="2"/>
          </rPr>
          <t xml:space="preserve"> (hs 2022-09-28)</t>
        </r>
        <r>
          <rPr>
            <b/>
            <sz val="9"/>
            <color indexed="81"/>
            <rFont val="Tahoma"/>
            <family val="2"/>
          </rPr>
          <t xml:space="preserve">
</t>
        </r>
        <r>
          <rPr>
            <sz val="9"/>
            <color indexed="81"/>
            <rFont val="Tahoma"/>
            <family val="2"/>
          </rPr>
          <t xml:space="preserve">
b) When Jeff Fryer was doing his thesis (you'll have to read the section for details), he assumed that Wenatchee smolts went through McNary earlier than Osoyoos (and there are many reasons and observations that prove this to be true). He used a cutoff date of May 16 (or 18?) such that all those counted prior to the 16th were Wenatchee and all those afterwards were Osoyoos. Note daily counts are/were available from D.A.R.T. or the Fish Passage Center. It looks like I reassessed that separation date to be May 10th (I would have had many more years of data than Jeff to work with) by looking at "peaks and troughs" from daily counts and I believe, using timing data from smolt traps on the Wenatchee River. I can hardly remember what I did as it was so long ago (prior to me moving into the office with Rick so well before 2011 and in excel97!). I can't find my notes on how I did things on the computer so I'm assuming I have the notes hand written in one of my books (if I didn't throw it out). 
c) The "results" are very simply the sum of daily counts after the May 10th cut-off to the end of the migration. See: McNarysplit_Wen_Okan.xls (summary) and McNary Smolt Index.xls (each year individually) and McNary Smolt Index [charts].xls. No analysis of any kind, no error checking, etc. -- all very basic. But Kim was happy with it for a starting point and he used the final results in ppts, etc. where methods to obtain those counts didn't really have to be explained to anyone. 
d) Finally, the results from above were regressed against known Osoyoos estimates to come up with a calibration equation to convert McNary smolts to Osoyoos McNary vs Osoyoos.xls. All super basic but good enough for what Kim was aiming for at the time. This could be updated if anyone wanted to try as there are certainly many more years of data now.
e) Kim was happy enough with the basic results but he knew he would have to dive in (or get someone else to) to do some heavy lifting in order to provide clear and defensible estimates before we went much farther. I think Scott Akenhead started out on this but things were a lot more complex than initially anticipated. 
</t>
        </r>
      </text>
    </comment>
    <comment ref="C10" authorId="0" shapeId="0" xr:uid="{CDD65CE7-D107-4083-9C0D-818435AC2720}">
      <text>
        <r>
          <rPr>
            <b/>
            <sz val="9"/>
            <color indexed="81"/>
            <rFont val="Tahoma"/>
            <family val="2"/>
          </rPr>
          <t xml:space="preserve">HS: </t>
        </r>
        <r>
          <rPr>
            <sz val="9"/>
            <color indexed="81"/>
            <rFont val="Tahoma"/>
            <family val="2"/>
          </rPr>
          <t xml:space="preserve">Willliams et al. use multi-stock (combined Wenatchee &amp; Okanagan) Sockeye smolts and adults as variables for SAR estimation. Smolts are estimated at McNary Dam. Adults are collated from Bonneville Dam + downstream harvest. IOW, theirs is a 'truer' estimate of 'marine survival' than ours since it uses downstream smolt estimates (whereas we're using Okanagan pre-smolt estimates), however their SAR is aggregated across Ok &amp; Wen stocks, so annual totals of smolts and adults (by smolt mig. year) are quite different, leading to very different annual SARs. Take-away is that our survival estimates are necessarily biased downwards due to unspecified juvenile mortality not accounted for in our data. Would it be useful to somehow relate our pre-smolt data See Williams et al tab in this workbook.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HS</author>
    <author>tc={8DB5EA0A-E5F8-405B-AD03-B8635DBBDA4C}</author>
    <author xml:space="preserve">[hs] </author>
    <author>Howard Stiff</author>
    <author>Howard Stiff (DFO)</author>
    <author>DFO</author>
  </authors>
  <commentList>
    <comment ref="A1" authorId="0" shapeId="0" xr:uid="{00000000-0006-0000-0100-000001000000}">
      <text>
        <r>
          <rPr>
            <sz val="9"/>
            <color indexed="81"/>
            <rFont val="Tahoma"/>
            <family val="2"/>
          </rPr>
          <t>Sockeye population (CU) name</t>
        </r>
      </text>
    </comment>
    <comment ref="B1" authorId="0" shapeId="0" xr:uid="{00000000-0006-0000-0100-000002000000}">
      <text>
        <r>
          <rPr>
            <sz val="9"/>
            <color indexed="81"/>
            <rFont val="Tahoma"/>
            <family val="2"/>
          </rPr>
          <t>Year of seaward migration</t>
        </r>
      </text>
    </comment>
    <comment ref="AB1" authorId="0" shapeId="0" xr:uid="{00000000-0006-0000-0100-000003000000}">
      <text>
        <r>
          <rPr>
            <sz val="9"/>
            <color indexed="81"/>
            <rFont val="Tahoma"/>
            <family val="2"/>
          </rPr>
          <t>For in-lake fry abundance and biometric data, if available</t>
        </r>
      </text>
    </comment>
    <comment ref="AJ1" authorId="0" shapeId="0" xr:uid="{00000000-0006-0000-0100-000004000000}">
      <text>
        <r>
          <rPr>
            <sz val="9"/>
            <color indexed="81"/>
            <rFont val="Tahoma"/>
            <family val="2"/>
          </rPr>
          <t>Comment on environmental conditions or events potentially impacting fish, rearing locations or migration routes, e.g. floods, droughts, temperature anomalies, fish mortalities, fish conditions, etc.</t>
        </r>
      </text>
    </comment>
    <comment ref="AK1" authorId="0" shapeId="0" xr:uid="{00000000-0006-0000-0100-000005000000}">
      <text>
        <r>
          <rPr>
            <sz val="9"/>
            <color indexed="81"/>
            <rFont val="Tahoma"/>
            <family val="2"/>
          </rPr>
          <t>General notes and considerations for this year's data. Also please indicate if any changes have been made to this year's data relative to previous submissions, and why.</t>
        </r>
      </text>
    </comment>
    <comment ref="AL1" authorId="0" shapeId="0" xr:uid="{00000000-0006-0000-0100-000006000000}">
      <text>
        <r>
          <rPr>
            <sz val="9"/>
            <color indexed="81"/>
            <rFont val="Tahoma"/>
            <family val="2"/>
          </rPr>
          <t xml:space="preserve">Contact information for this year's data. Example: initials, email, phone, date
</t>
        </r>
      </text>
    </comment>
    <comment ref="G2" authorId="0" shapeId="0" xr:uid="{00000000-0006-0000-0100-000007000000}">
      <text>
        <r>
          <rPr>
            <sz val="9"/>
            <color indexed="81"/>
            <rFont val="Tahoma"/>
            <family val="2"/>
          </rPr>
          <t>Please include notes on smolt abundance methods employed, data issues, or data changes.</t>
        </r>
      </text>
    </comment>
    <comment ref="Q2" authorId="0" shapeId="0" xr:uid="{00000000-0006-0000-0100-000008000000}">
      <text>
        <r>
          <rPr>
            <b/>
            <sz val="9"/>
            <color indexed="81"/>
            <rFont val="Tahoma"/>
            <family val="2"/>
          </rPr>
          <t>Length Type</t>
        </r>
        <r>
          <rPr>
            <sz val="9"/>
            <color indexed="81"/>
            <rFont val="Tahoma"/>
            <family val="2"/>
          </rPr>
          <t xml:space="preserve"> 
Refers to length measurement method
  SL - Std Length
  TL - Total Length
  FL - Fork Length 
  PO - PO-Hypural</t>
        </r>
      </text>
    </comment>
    <comment ref="U2" authorId="0" shapeId="0" xr:uid="{00000000-0006-0000-0100-000009000000}">
      <text>
        <r>
          <rPr>
            <sz val="9"/>
            <color indexed="81"/>
            <rFont val="Tahoma"/>
            <family val="2"/>
          </rPr>
          <t>Please include notes on smolt biosample methods employed, data issues, or data changes.</t>
        </r>
      </text>
    </comment>
    <comment ref="V2" authorId="0" shapeId="0" xr:uid="{00000000-0006-0000-0100-00000A000000}">
      <text>
        <r>
          <rPr>
            <b/>
            <sz val="9"/>
            <color indexed="81"/>
            <rFont val="Tahoma"/>
            <family val="2"/>
          </rPr>
          <t xml:space="preserve">Use either date format:
</t>
        </r>
        <r>
          <rPr>
            <sz val="9"/>
            <color indexed="81"/>
            <rFont val="Tahoma"/>
            <family val="2"/>
          </rPr>
          <t xml:space="preserve">(1) </t>
        </r>
        <r>
          <rPr>
            <b/>
            <sz val="9"/>
            <color indexed="81"/>
            <rFont val="Tahoma"/>
            <family val="2"/>
          </rPr>
          <t>d-mmm-yy</t>
        </r>
        <r>
          <rPr>
            <sz val="9"/>
            <color indexed="81"/>
            <rFont val="Tahoma"/>
            <family val="2"/>
          </rPr>
          <t xml:space="preserve"> (e.g. 11-Apr-21)
(2) </t>
        </r>
        <r>
          <rPr>
            <b/>
            <sz val="9"/>
            <color indexed="81"/>
            <rFont val="Tahoma"/>
            <family val="2"/>
          </rPr>
          <t>yy-mm-dd</t>
        </r>
        <r>
          <rPr>
            <sz val="9"/>
            <color indexed="81"/>
            <rFont val="Tahoma"/>
            <family val="2"/>
          </rPr>
          <t xml:space="preserve"> (e.g. 21-4-11)</t>
        </r>
      </text>
    </comment>
    <comment ref="X2" authorId="0" shapeId="0" xr:uid="{00000000-0006-0000-0100-00000B000000}">
      <text>
        <r>
          <rPr>
            <b/>
            <sz val="9"/>
            <color indexed="81"/>
            <rFont val="Tahoma"/>
            <family val="2"/>
          </rPr>
          <t xml:space="preserve">Use either date format:
</t>
        </r>
        <r>
          <rPr>
            <sz val="9"/>
            <color indexed="81"/>
            <rFont val="Tahoma"/>
            <family val="2"/>
          </rPr>
          <t xml:space="preserve">(1) </t>
        </r>
        <r>
          <rPr>
            <b/>
            <sz val="9"/>
            <color indexed="81"/>
            <rFont val="Tahoma"/>
            <family val="2"/>
          </rPr>
          <t>d-mmm-yy</t>
        </r>
        <r>
          <rPr>
            <sz val="9"/>
            <color indexed="81"/>
            <rFont val="Tahoma"/>
            <family val="2"/>
          </rPr>
          <t xml:space="preserve"> (e.g. 11-Apr-21)
(2) </t>
        </r>
        <r>
          <rPr>
            <b/>
            <sz val="9"/>
            <color indexed="81"/>
            <rFont val="Tahoma"/>
            <family val="2"/>
          </rPr>
          <t>yy-mm-dd</t>
        </r>
        <r>
          <rPr>
            <sz val="9"/>
            <color indexed="81"/>
            <rFont val="Tahoma"/>
            <family val="2"/>
          </rPr>
          <t xml:space="preserve"> (e.g. 21-4-11)</t>
        </r>
      </text>
    </comment>
    <comment ref="Y2" authorId="0" shapeId="0" xr:uid="{00000000-0006-0000-0100-00000C000000}">
      <text>
        <r>
          <rPr>
            <b/>
            <sz val="9"/>
            <color indexed="81"/>
            <rFont val="Tahoma"/>
            <family val="2"/>
          </rPr>
          <t xml:space="preserve">Use either date format:
</t>
        </r>
        <r>
          <rPr>
            <sz val="9"/>
            <color indexed="81"/>
            <rFont val="Tahoma"/>
            <family val="2"/>
          </rPr>
          <t xml:space="preserve">(1) </t>
        </r>
        <r>
          <rPr>
            <b/>
            <sz val="9"/>
            <color indexed="81"/>
            <rFont val="Tahoma"/>
            <family val="2"/>
          </rPr>
          <t>d-mmm-yy</t>
        </r>
        <r>
          <rPr>
            <sz val="9"/>
            <color indexed="81"/>
            <rFont val="Tahoma"/>
            <family val="2"/>
          </rPr>
          <t xml:space="preserve"> (e.g. 11-Apr-21)
(2) </t>
        </r>
        <r>
          <rPr>
            <b/>
            <sz val="9"/>
            <color indexed="81"/>
            <rFont val="Tahoma"/>
            <family val="2"/>
          </rPr>
          <t>yy-mm-dd</t>
        </r>
        <r>
          <rPr>
            <sz val="9"/>
            <color indexed="81"/>
            <rFont val="Tahoma"/>
            <family val="2"/>
          </rPr>
          <t xml:space="preserve"> (e.g. 21-4-11)</t>
        </r>
      </text>
    </comment>
    <comment ref="Z2" authorId="0" shapeId="0" xr:uid="{00000000-0006-0000-0100-00000D000000}">
      <text>
        <r>
          <rPr>
            <b/>
            <sz val="9"/>
            <color indexed="81"/>
            <rFont val="Tahoma"/>
            <family val="2"/>
          </rPr>
          <t xml:space="preserve">Use either date format:
</t>
        </r>
        <r>
          <rPr>
            <sz val="9"/>
            <color indexed="81"/>
            <rFont val="Tahoma"/>
            <family val="2"/>
          </rPr>
          <t xml:space="preserve">(1) </t>
        </r>
        <r>
          <rPr>
            <b/>
            <sz val="9"/>
            <color indexed="81"/>
            <rFont val="Tahoma"/>
            <family val="2"/>
          </rPr>
          <t>d-mmm-yy</t>
        </r>
        <r>
          <rPr>
            <sz val="9"/>
            <color indexed="81"/>
            <rFont val="Tahoma"/>
            <family val="2"/>
          </rPr>
          <t xml:space="preserve"> (e.g. 11-Apr-21)
(2) </t>
        </r>
        <r>
          <rPr>
            <b/>
            <sz val="9"/>
            <color indexed="81"/>
            <rFont val="Tahoma"/>
            <family val="2"/>
          </rPr>
          <t>yy-mm-dd</t>
        </r>
        <r>
          <rPr>
            <sz val="9"/>
            <color indexed="81"/>
            <rFont val="Tahoma"/>
            <family val="2"/>
          </rPr>
          <t xml:space="preserve"> (e.g. 21-4-11)</t>
        </r>
      </text>
    </comment>
    <comment ref="AA2" authorId="0" shapeId="0" xr:uid="{00000000-0006-0000-0100-00000E000000}">
      <text>
        <r>
          <rPr>
            <sz val="9"/>
            <color indexed="81"/>
            <rFont val="Tahoma"/>
            <family val="2"/>
          </rPr>
          <t xml:space="preserve">Please include notes on migration timing methods employed, data issues, or data changes.
Do you have migration timing data by </t>
        </r>
        <r>
          <rPr>
            <b/>
            <sz val="9"/>
            <color indexed="81"/>
            <rFont val="Tahoma"/>
            <family val="2"/>
          </rPr>
          <t>Quartiles</t>
        </r>
        <r>
          <rPr>
            <sz val="9"/>
            <color indexed="81"/>
            <rFont val="Tahoma"/>
            <family val="2"/>
          </rPr>
          <t xml:space="preserve"> (i.e. 25th and 75th percentiles)? If so, unhide the columns on either side of </t>
        </r>
        <r>
          <rPr>
            <b/>
            <sz val="9"/>
            <color indexed="81"/>
            <rFont val="Tahoma"/>
            <family val="2"/>
          </rPr>
          <t>Median or Peak Date</t>
        </r>
        <r>
          <rPr>
            <sz val="9"/>
            <color indexed="81"/>
            <rFont val="Tahoma"/>
            <family val="2"/>
          </rPr>
          <t xml:space="preserve"> column. (You will have to unprotect the worksheet first - see READ ME - and don't forget to re-protect the worksheet to prevent errant data entry events.)</t>
        </r>
      </text>
    </comment>
    <comment ref="AB2" authorId="1" shapeId="0" xr:uid="{8DB5EA0A-E5F8-405B-AD03-B8635DBBDA4C}">
      <text>
        <t>[Threaded comment]
Your version of Excel allows you to read this threaded comment; however, any edits to it will get removed if the file is opened in a newer version of Excel. Learn more: https://go.microsoft.com/fwlink/?linkid=870924
Comment:
    Based on TOTAL LIMNETIC FISH estimates from ATS
Reply:
    SY 2011, 2013, 2014 also contain H-O fish
Reply:
    Estimated H-O numbers to deduct are listed in Hatchery Survivors</t>
      </text>
    </comment>
    <comment ref="AC2" authorId="0" shapeId="0" xr:uid="{00000000-0006-0000-0100-00000F000000}">
      <text>
        <r>
          <rPr>
            <b/>
            <sz val="9"/>
            <color indexed="81"/>
            <rFont val="Tahoma"/>
            <family val="2"/>
          </rPr>
          <t>Identify lake survey date associated with Abundance estimate.</t>
        </r>
        <r>
          <rPr>
            <sz val="9"/>
            <color indexed="81"/>
            <rFont val="Tahoma"/>
            <family val="2"/>
          </rPr>
          <t xml:space="preserve">   Usually the most recent late-winter or fall survey date, but may be the "best" survey date, or the mean of multiple survey dates (in which case, identify latest date and note method of averaging in Methods column).</t>
        </r>
      </text>
    </comment>
    <comment ref="AD2" authorId="2" shapeId="0" xr:uid="{41BD9FE0-528C-4C4E-ACBE-8C0DAA728EF4}">
      <text>
        <r>
          <rPr>
            <b/>
            <sz val="9"/>
            <color indexed="81"/>
            <rFont val="Tahoma"/>
            <family val="2"/>
          </rPr>
          <t>[hs] :</t>
        </r>
        <r>
          <rPr>
            <sz val="9"/>
            <color indexed="81"/>
            <rFont val="Tahoma"/>
            <family val="2"/>
          </rPr>
          <t xml:space="preserve">
Hatchery releases into Osoyoos Lake occur in spring (see tab Hatchery Releases and Pivot) but experience mortality to presmolt stage, so </t>
        </r>
        <r>
          <rPr>
            <b/>
            <sz val="9"/>
            <color indexed="81"/>
            <rFont val="Tahoma"/>
            <family val="2"/>
          </rPr>
          <t>estimated H-O survivors</t>
        </r>
        <r>
          <rPr>
            <sz val="9"/>
            <color indexed="81"/>
            <rFont val="Tahoma"/>
            <family val="2"/>
          </rPr>
          <t xml:space="preserve"> entered in this column from CNAT_nuOkanagan_Juveniles to BY 2018 -22.12.12.xlsx COLUMN K (which is mean of H-O est from winter surveys).
[2023-02-04]</t>
        </r>
      </text>
    </comment>
    <comment ref="AI2" authorId="0" shapeId="0" xr:uid="{00000000-0006-0000-0100-000010000000}">
      <text>
        <r>
          <rPr>
            <sz val="9"/>
            <color indexed="81"/>
            <rFont val="Tahoma"/>
            <family val="2"/>
          </rPr>
          <t>Please include notes on  fry abundance &amp; sampling methods, data issues, or data changes.</t>
        </r>
      </text>
    </comment>
    <comment ref="AE3" authorId="0" shapeId="0" xr:uid="{00000000-0006-0000-0100-000011000000}">
      <text>
        <r>
          <rPr>
            <sz val="9"/>
            <color indexed="81"/>
            <rFont val="Tahoma"/>
            <family val="2"/>
          </rPr>
          <t>Sample size (N)</t>
        </r>
      </text>
    </comment>
    <comment ref="AH3" authorId="0" shapeId="0" xr:uid="{A55E25B9-EB33-43C5-A125-16EEBBC6DCD0}">
      <text>
        <r>
          <rPr>
            <b/>
            <sz val="9"/>
            <color indexed="81"/>
            <rFont val="Tahoma"/>
            <family val="2"/>
          </rPr>
          <t>Length Type</t>
        </r>
        <r>
          <rPr>
            <sz val="9"/>
            <color indexed="81"/>
            <rFont val="Tahoma"/>
            <family val="2"/>
          </rPr>
          <t xml:space="preserve"> 
Refers to length measurement method
  SL - Std Length
  TL - Total Length
  FL - Fork Length 
  PO - PO-Hypural</t>
        </r>
      </text>
    </comment>
    <comment ref="G8" authorId="2" shapeId="0" xr:uid="{F56EE096-C7C5-459D-89EF-58C379358859}">
      <text>
        <r>
          <rPr>
            <b/>
            <sz val="9"/>
            <color indexed="81"/>
            <rFont val="Tahoma"/>
            <family val="2"/>
          </rPr>
          <t xml:space="preserve">[hs] : Total "Smolt" Abundance </t>
        </r>
        <r>
          <rPr>
            <sz val="9"/>
            <color indexed="81"/>
            <rFont val="Tahoma"/>
            <family val="2"/>
          </rPr>
          <t>is just duplicated from total pre-smolt abundance column, since Osoyoos smolts are not actually tallied.</t>
        </r>
      </text>
    </comment>
    <comment ref="AB9" authorId="3" shapeId="0" xr:uid="{04FDD994-E60C-47BE-8F83-722F836DA497}">
      <text>
        <r>
          <rPr>
            <b/>
            <sz val="9"/>
            <color indexed="81"/>
            <rFont val="Tahoma"/>
            <family val="2"/>
          </rPr>
          <t>Red years are 'ATS equivalents' based on post-1998 regression relationship between 'best' Okanagan 'smolt' estimates (actually, pre-smolts from Acoustic-Trawl-Surveys (ATS)) as a function of total annual McNary smolt estimates (Margot Stockwell, pers. comm.)</t>
        </r>
      </text>
    </comment>
    <comment ref="AC9" authorId="4" shapeId="0" xr:uid="{8C833744-5F70-4812-8CB6-BDCCF8200CAC}">
      <text>
        <r>
          <rPr>
            <sz val="9"/>
            <color indexed="81"/>
            <rFont val="Tahoma"/>
            <family val="2"/>
          </rPr>
          <t>No ATS available</t>
        </r>
      </text>
    </comment>
    <comment ref="AC10" authorId="4" shapeId="0" xr:uid="{BFEF28D2-C2BD-40BB-B0CB-34CD3870AD18}">
      <text>
        <r>
          <rPr>
            <sz val="9"/>
            <color indexed="81"/>
            <rFont val="Tahoma"/>
            <family val="2"/>
          </rPr>
          <t>No ATS available</t>
        </r>
      </text>
    </comment>
    <comment ref="AC11" authorId="4" shapeId="0" xr:uid="{54238630-548C-4025-A2E2-401E370D6F28}">
      <text>
        <r>
          <rPr>
            <sz val="9"/>
            <color indexed="81"/>
            <rFont val="Tahoma"/>
            <family val="2"/>
          </rPr>
          <t>No ATS available</t>
        </r>
      </text>
    </comment>
    <comment ref="AC12" authorId="4" shapeId="0" xr:uid="{970AA132-7E37-415D-A422-2768B826B152}">
      <text>
        <r>
          <rPr>
            <sz val="9"/>
            <color indexed="81"/>
            <rFont val="Tahoma"/>
            <family val="2"/>
          </rPr>
          <t>No ATS available</t>
        </r>
      </text>
    </comment>
    <comment ref="AC13" authorId="4" shapeId="0" xr:uid="{DB81D32C-4A49-4CCB-93C6-F311E525E982}">
      <text>
        <r>
          <rPr>
            <sz val="9"/>
            <color indexed="81"/>
            <rFont val="Tahoma"/>
            <family val="2"/>
          </rPr>
          <t>No ATS available</t>
        </r>
      </text>
    </comment>
    <comment ref="AC14" authorId="4" shapeId="0" xr:uid="{574CF3A2-B812-4C9F-8572-27DD877EBA32}">
      <text>
        <r>
          <rPr>
            <sz val="9"/>
            <color indexed="81"/>
            <rFont val="Tahoma"/>
            <family val="2"/>
          </rPr>
          <t>No ATS available</t>
        </r>
      </text>
    </comment>
    <comment ref="AC15" authorId="4" shapeId="0" xr:uid="{D5E36A80-418C-4446-B8C2-391489702007}">
      <text>
        <r>
          <rPr>
            <sz val="9"/>
            <color indexed="81"/>
            <rFont val="Tahoma"/>
            <family val="2"/>
          </rPr>
          <t>No ATS available</t>
        </r>
      </text>
    </comment>
    <comment ref="AC16" authorId="4" shapeId="0" xr:uid="{DE3A7101-D182-415C-B0D5-AECEE205F0DA}">
      <text>
        <r>
          <rPr>
            <sz val="9"/>
            <color indexed="81"/>
            <rFont val="Tahoma"/>
            <family val="2"/>
          </rPr>
          <t>No ATS available</t>
        </r>
      </text>
    </comment>
    <comment ref="AC17" authorId="4" shapeId="0" xr:uid="{C97D0E1D-BE56-4A4C-98C3-05AD1A26111A}">
      <text>
        <r>
          <rPr>
            <sz val="9"/>
            <color indexed="81"/>
            <rFont val="Tahoma"/>
            <family val="2"/>
          </rPr>
          <t>No ATS available</t>
        </r>
      </text>
    </comment>
    <comment ref="AC18" authorId="4" shapeId="0" xr:uid="{754DC603-8A04-4F2C-9CF6-58F620983CEC}">
      <text>
        <r>
          <rPr>
            <sz val="9"/>
            <color indexed="81"/>
            <rFont val="Tahoma"/>
            <family val="2"/>
          </rPr>
          <t>No ATS available</t>
        </r>
      </text>
    </comment>
    <comment ref="AC19" authorId="4" shapeId="0" xr:uid="{888A215D-6D9C-4D41-A03F-A3FA623D7E41}">
      <text>
        <r>
          <rPr>
            <sz val="9"/>
            <color indexed="81"/>
            <rFont val="Tahoma"/>
            <family val="2"/>
          </rPr>
          <t>No ATS available</t>
        </r>
      </text>
    </comment>
    <comment ref="AC20" authorId="4" shapeId="0" xr:uid="{62402CF3-5B7C-4350-BD05-3DB456B47540}">
      <text>
        <r>
          <rPr>
            <sz val="9"/>
            <color indexed="81"/>
            <rFont val="Tahoma"/>
            <family val="2"/>
          </rPr>
          <t>No ATS available</t>
        </r>
      </text>
    </comment>
    <comment ref="AC21" authorId="4" shapeId="0" xr:uid="{21191117-C878-4818-B74E-8E2DE53F663B}">
      <text>
        <r>
          <rPr>
            <sz val="9"/>
            <color indexed="81"/>
            <rFont val="Tahoma"/>
            <family val="2"/>
          </rPr>
          <t>No ATS available</t>
        </r>
      </text>
    </comment>
    <comment ref="F22" authorId="5" shapeId="0" xr:uid="{E188AFDE-A806-468C-97B7-6972D2ADB914}">
      <text>
        <r>
          <rPr>
            <b/>
            <sz val="9"/>
            <color indexed="81"/>
            <rFont val="Tahoma"/>
            <family val="2"/>
          </rPr>
          <t>DFO: Update</t>
        </r>
        <r>
          <rPr>
            <sz val="9"/>
            <color indexed="81"/>
            <rFont val="Tahoma"/>
            <family val="2"/>
          </rPr>
          <t xml:space="preserve">
</t>
        </r>
        <r>
          <rPr>
            <b/>
            <sz val="10"/>
            <color indexed="81"/>
            <rFont val="Tahoma"/>
            <family val="2"/>
          </rPr>
          <t xml:space="preserve">Was 937,685 (winter ATS survey only), but changed to 1,209,167 (mean of all ATS surveys)  [19.04.10]
</t>
        </r>
        <r>
          <rPr>
            <sz val="9"/>
            <color indexed="81"/>
            <rFont val="Tahoma"/>
            <family val="2"/>
          </rPr>
          <t xml:space="preserve">
See CNAT_nuOkanagan_Juveniles.xlsx [19.04.10]</t>
        </r>
      </text>
    </comment>
    <comment ref="AB22" authorId="5" shapeId="0" xr:uid="{E0257751-D02B-42F4-95A3-DE9F7234F0E1}">
      <text>
        <r>
          <rPr>
            <b/>
            <sz val="9"/>
            <color indexed="81"/>
            <rFont val="Tahoma"/>
            <family val="2"/>
          </rPr>
          <t>DFO: Update</t>
        </r>
        <r>
          <rPr>
            <sz val="9"/>
            <color indexed="81"/>
            <rFont val="Tahoma"/>
            <family val="2"/>
          </rPr>
          <t xml:space="preserve">
</t>
        </r>
        <r>
          <rPr>
            <b/>
            <sz val="10"/>
            <color indexed="81"/>
            <rFont val="Tahoma"/>
            <family val="2"/>
          </rPr>
          <t xml:space="preserve">Was 937,685 (winter ATS survey only), but changed to 1,209,167 (mean of all ATS surveys)  [19.04.10]
</t>
        </r>
        <r>
          <rPr>
            <sz val="9"/>
            <color indexed="81"/>
            <rFont val="Tahoma"/>
            <family val="2"/>
          </rPr>
          <t xml:space="preserve">
See CNAT_nuOkanagan_Juveniles.xlsx [19.04.10]</t>
        </r>
      </text>
    </comment>
    <comment ref="AC22" authorId="2" shapeId="0" xr:uid="{D67FEE2F-41B2-4A1B-A3A5-89FD9DC5E621}">
      <text>
        <r>
          <rPr>
            <b/>
            <sz val="9"/>
            <color indexed="81"/>
            <rFont val="Tahoma"/>
            <family val="2"/>
          </rPr>
          <t>[hs] : Last ATS survey date</t>
        </r>
      </text>
    </comment>
    <comment ref="F23" authorId="5" shapeId="0" xr:uid="{64B9182A-FF26-4DC4-9D94-47EDB3D5A662}">
      <text>
        <r>
          <rPr>
            <b/>
            <sz val="9"/>
            <color indexed="81"/>
            <rFont val="Tahoma"/>
            <family val="2"/>
          </rPr>
          <t>DFO:</t>
        </r>
        <r>
          <rPr>
            <sz val="9"/>
            <color indexed="81"/>
            <rFont val="Tahoma"/>
            <family val="2"/>
          </rPr>
          <t xml:space="preserve">
mean of all surveys
CNAT_nuOkanagan_Juveniles.xlsx</t>
        </r>
      </text>
    </comment>
    <comment ref="AB23" authorId="5" shapeId="0" xr:uid="{D618AD1A-DC20-4008-840D-604924E5E4A9}">
      <text>
        <r>
          <rPr>
            <b/>
            <sz val="9"/>
            <color indexed="81"/>
            <rFont val="Tahoma"/>
            <family val="2"/>
          </rPr>
          <t>DFO:</t>
        </r>
        <r>
          <rPr>
            <sz val="9"/>
            <color indexed="81"/>
            <rFont val="Tahoma"/>
            <family val="2"/>
          </rPr>
          <t xml:space="preserve">
mean of all surveys
CNAT_nuOkanagan_Juveniles.xlsx</t>
        </r>
      </text>
    </comment>
    <comment ref="AC23" authorId="2" shapeId="0" xr:uid="{473C037B-C926-445D-8A4F-77285894EDB2}">
      <text>
        <r>
          <rPr>
            <b/>
            <sz val="9"/>
            <color indexed="81"/>
            <rFont val="Tahoma"/>
            <family val="2"/>
          </rPr>
          <t>[hs] : Last ATS survey date</t>
        </r>
      </text>
    </comment>
    <comment ref="F24" authorId="5" shapeId="0" xr:uid="{ED754EA2-D8B2-4A42-9A2C-4914385E20AD}">
      <text>
        <r>
          <rPr>
            <b/>
            <sz val="9"/>
            <color indexed="81"/>
            <rFont val="Tahoma"/>
            <family val="2"/>
          </rPr>
          <t>DFO:</t>
        </r>
        <r>
          <rPr>
            <sz val="9"/>
            <color indexed="81"/>
            <rFont val="Tahoma"/>
            <family val="2"/>
          </rPr>
          <t xml:space="preserve">
mean of all surveys
CNAT_nuOkanagan_Juveniles.xlsx</t>
        </r>
      </text>
    </comment>
    <comment ref="AB24" authorId="5" shapeId="0" xr:uid="{AD87B7D9-1534-43C0-B650-F802D591EDAF}">
      <text>
        <r>
          <rPr>
            <b/>
            <sz val="9"/>
            <color indexed="81"/>
            <rFont val="Tahoma"/>
            <family val="2"/>
          </rPr>
          <t>DFO:</t>
        </r>
        <r>
          <rPr>
            <sz val="9"/>
            <color indexed="81"/>
            <rFont val="Tahoma"/>
            <family val="2"/>
          </rPr>
          <t xml:space="preserve">
mean of all surveys
CNAT_nuOkanagan_Juveniles.xlsx</t>
        </r>
      </text>
    </comment>
    <comment ref="AC24" authorId="2" shapeId="0" xr:uid="{EED378ED-DCFF-4568-B3B6-086ECE71C5CC}">
      <text>
        <r>
          <rPr>
            <b/>
            <sz val="9"/>
            <color indexed="81"/>
            <rFont val="Tahoma"/>
            <family val="2"/>
          </rPr>
          <t>[hs] : Last ATS survey date</t>
        </r>
      </text>
    </comment>
    <comment ref="F25" authorId="5" shapeId="0" xr:uid="{9B4670E1-546C-41B0-827A-E30729CD9CC2}">
      <text>
        <r>
          <rPr>
            <b/>
            <sz val="9"/>
            <color indexed="81"/>
            <rFont val="Tahoma"/>
            <family val="2"/>
          </rPr>
          <t>DFO:</t>
        </r>
        <r>
          <rPr>
            <sz val="9"/>
            <color indexed="81"/>
            <rFont val="Tahoma"/>
            <family val="2"/>
          </rPr>
          <t xml:space="preserve">
mean of all surveys
CNAT_nuOkanagan_Juveniles.xlsx</t>
        </r>
      </text>
    </comment>
    <comment ref="AB25" authorId="5" shapeId="0" xr:uid="{8972E1D4-4774-4822-A0EC-98459A8997C0}">
      <text>
        <r>
          <rPr>
            <b/>
            <sz val="9"/>
            <color indexed="81"/>
            <rFont val="Tahoma"/>
            <family val="2"/>
          </rPr>
          <t>DFO:</t>
        </r>
        <r>
          <rPr>
            <sz val="9"/>
            <color indexed="81"/>
            <rFont val="Tahoma"/>
            <family val="2"/>
          </rPr>
          <t xml:space="preserve">
mean of all surveys
CNAT_nuOkanagan_Juveniles.xlsx</t>
        </r>
      </text>
    </comment>
    <comment ref="AC25" authorId="2" shapeId="0" xr:uid="{93E1651C-F008-4B29-BEA4-5BA4B80EA10A}">
      <text>
        <r>
          <rPr>
            <b/>
            <sz val="9"/>
            <color indexed="81"/>
            <rFont val="Tahoma"/>
            <family val="2"/>
          </rPr>
          <t>[hs] : Last ATS survey date</t>
        </r>
      </text>
    </comment>
    <comment ref="F26" authorId="5" shapeId="0" xr:uid="{169444CC-450A-4083-ACBC-E7C61639EE81}">
      <text>
        <r>
          <rPr>
            <b/>
            <sz val="9"/>
            <color indexed="81"/>
            <rFont val="Tahoma"/>
            <family val="2"/>
          </rPr>
          <t>DFO:</t>
        </r>
        <r>
          <rPr>
            <sz val="9"/>
            <color indexed="81"/>
            <rFont val="Tahoma"/>
            <family val="2"/>
          </rPr>
          <t xml:space="preserve">
winter survey only
CNAT_nuOkanagan_Juveniles.xlsx</t>
        </r>
      </text>
    </comment>
    <comment ref="AB26" authorId="5" shapeId="0" xr:uid="{1BF8AB32-DBD1-4119-B375-0705CC103D41}">
      <text>
        <r>
          <rPr>
            <b/>
            <sz val="9"/>
            <color indexed="81"/>
            <rFont val="Tahoma"/>
            <family val="2"/>
          </rPr>
          <t>DFO:</t>
        </r>
        <r>
          <rPr>
            <sz val="9"/>
            <color indexed="81"/>
            <rFont val="Tahoma"/>
            <family val="2"/>
          </rPr>
          <t xml:space="preserve">
winter survey only
CNAT_nuOkanagan_Juveniles.xlsx</t>
        </r>
      </text>
    </comment>
    <comment ref="AC26" authorId="2" shapeId="0" xr:uid="{023F4597-8FA0-45C8-BB73-95430122CB5E}">
      <text>
        <r>
          <rPr>
            <b/>
            <sz val="9"/>
            <color indexed="81"/>
            <rFont val="Tahoma"/>
            <family val="2"/>
          </rPr>
          <t>[hs] : Last ATS survey date</t>
        </r>
      </text>
    </comment>
    <comment ref="F27" authorId="5" shapeId="0" xr:uid="{298146D0-3D5D-4812-A561-FEB2C0D83BC0}">
      <text>
        <r>
          <rPr>
            <b/>
            <sz val="9"/>
            <color indexed="81"/>
            <rFont val="Tahoma"/>
            <family val="2"/>
          </rPr>
          <t>DFO:</t>
        </r>
        <r>
          <rPr>
            <sz val="9"/>
            <color indexed="81"/>
            <rFont val="Tahoma"/>
            <family val="2"/>
          </rPr>
          <t xml:space="preserve">
mean of 2 winter  surveys only
CNAT_nuOkanagan_Juveniles.xlsx</t>
        </r>
      </text>
    </comment>
    <comment ref="AB27" authorId="5" shapeId="0" xr:uid="{44803A47-B9C8-4A6E-98E5-512A219217B8}">
      <text>
        <r>
          <rPr>
            <b/>
            <sz val="9"/>
            <color indexed="81"/>
            <rFont val="Tahoma"/>
            <family val="2"/>
          </rPr>
          <t>DFO:</t>
        </r>
        <r>
          <rPr>
            <sz val="9"/>
            <color indexed="81"/>
            <rFont val="Tahoma"/>
            <family val="2"/>
          </rPr>
          <t xml:space="preserve">
mean of 2 winter  surveys only
CNAT_nuOkanagan_Juveniles.xlsx</t>
        </r>
      </text>
    </comment>
    <comment ref="AC27" authorId="2" shapeId="0" xr:uid="{5ED798A9-BAE2-42DC-AA6D-41210C4A232C}">
      <text>
        <r>
          <rPr>
            <b/>
            <sz val="9"/>
            <color indexed="81"/>
            <rFont val="Tahoma"/>
            <family val="2"/>
          </rPr>
          <t>[hs] : Last ATS survey date</t>
        </r>
      </text>
    </comment>
    <comment ref="F28" authorId="5" shapeId="0" xr:uid="{394B26E7-B0F3-472A-A6B6-E8D6B9D7153D}">
      <text>
        <r>
          <rPr>
            <b/>
            <sz val="9"/>
            <color indexed="81"/>
            <rFont val="Tahoma"/>
            <family val="2"/>
          </rPr>
          <t>DFO:</t>
        </r>
        <r>
          <rPr>
            <sz val="9"/>
            <color indexed="81"/>
            <rFont val="Tahoma"/>
            <family val="2"/>
          </rPr>
          <t xml:space="preserve">
fall-winter surveys only
CNAT_nuOkanagan_Juveniles.xlsx</t>
        </r>
      </text>
    </comment>
    <comment ref="AB28" authorId="5" shapeId="0" xr:uid="{A2FF0038-C66A-42C9-8502-6281B39590F2}">
      <text>
        <r>
          <rPr>
            <b/>
            <sz val="9"/>
            <color indexed="81"/>
            <rFont val="Tahoma"/>
            <family val="2"/>
          </rPr>
          <t>DFO:</t>
        </r>
        <r>
          <rPr>
            <sz val="9"/>
            <color indexed="81"/>
            <rFont val="Tahoma"/>
            <family val="2"/>
          </rPr>
          <t xml:space="preserve">
fall-winter surveys only
CNAT_nuOkanagan_Juveniles.xlsx</t>
        </r>
      </text>
    </comment>
    <comment ref="AC28" authorId="2" shapeId="0" xr:uid="{A0753FAE-3100-4924-83CF-2AC3AAD03ECE}">
      <text>
        <r>
          <rPr>
            <b/>
            <sz val="9"/>
            <color indexed="81"/>
            <rFont val="Tahoma"/>
            <family val="2"/>
          </rPr>
          <t>[hs] : Last ATS survey date</t>
        </r>
      </text>
    </comment>
    <comment ref="F29" authorId="5" shapeId="0" xr:uid="{71F50A1F-DF90-47AD-80A6-0CFB9FC4833B}">
      <text>
        <r>
          <rPr>
            <b/>
            <sz val="9"/>
            <color indexed="81"/>
            <rFont val="Tahoma"/>
            <family val="2"/>
          </rPr>
          <t>DFO:</t>
        </r>
        <r>
          <rPr>
            <sz val="9"/>
            <color indexed="81"/>
            <rFont val="Tahoma"/>
            <family val="2"/>
          </rPr>
          <t xml:space="preserve">
mean of 2 winter  surveys only
CNAT_nuOkanagan_Juveniles.xlsx</t>
        </r>
      </text>
    </comment>
    <comment ref="AB29" authorId="5" shapeId="0" xr:uid="{214F6B66-A6D1-4934-A0F2-01E07EB8D4CB}">
      <text>
        <r>
          <rPr>
            <b/>
            <sz val="9"/>
            <color indexed="81"/>
            <rFont val="Tahoma"/>
            <family val="2"/>
          </rPr>
          <t>DFO:</t>
        </r>
        <r>
          <rPr>
            <sz val="9"/>
            <color indexed="81"/>
            <rFont val="Tahoma"/>
            <family val="2"/>
          </rPr>
          <t xml:space="preserve">
mean of 2 winter  surveys only
CNAT_nuOkanagan_Juveniles.xlsx</t>
        </r>
      </text>
    </comment>
    <comment ref="AC29" authorId="2" shapeId="0" xr:uid="{108128DA-8DD1-48C0-BD45-38DAB6D305E0}">
      <text>
        <r>
          <rPr>
            <b/>
            <sz val="9"/>
            <color indexed="81"/>
            <rFont val="Tahoma"/>
            <family val="2"/>
          </rPr>
          <t>[hs] : Last ATS survey date</t>
        </r>
      </text>
    </comment>
    <comment ref="F30" authorId="5" shapeId="0" xr:uid="{FBC333F5-31BA-48BD-8524-2711D415BB87}">
      <text>
        <r>
          <rPr>
            <b/>
            <sz val="9"/>
            <color indexed="81"/>
            <rFont val="Tahoma"/>
            <family val="2"/>
          </rPr>
          <t>DFO:</t>
        </r>
        <r>
          <rPr>
            <sz val="9"/>
            <color indexed="81"/>
            <rFont val="Tahoma"/>
            <family val="2"/>
          </rPr>
          <t xml:space="preserve">
mean of 2 winter  surveys only
CNAT_nuOkanagan_Juveniles.xlsx</t>
        </r>
      </text>
    </comment>
    <comment ref="AB30" authorId="5" shapeId="0" xr:uid="{4F0AAE56-C526-46CC-9CE0-19D0E652A29B}">
      <text>
        <r>
          <rPr>
            <b/>
            <sz val="9"/>
            <color indexed="81"/>
            <rFont val="Tahoma"/>
            <family val="2"/>
          </rPr>
          <t>DFO:</t>
        </r>
        <r>
          <rPr>
            <sz val="9"/>
            <color indexed="81"/>
            <rFont val="Tahoma"/>
            <family val="2"/>
          </rPr>
          <t xml:space="preserve">
mean of 2 winter  surveys only
CNAT_nuOkanagan_Juveniles.xlsx</t>
        </r>
      </text>
    </comment>
    <comment ref="AC30" authorId="2" shapeId="0" xr:uid="{B50989F1-BBA5-4FAE-B5B3-9007A1DE286D}">
      <text>
        <r>
          <rPr>
            <b/>
            <sz val="9"/>
            <color indexed="81"/>
            <rFont val="Tahoma"/>
            <family val="2"/>
          </rPr>
          <t>[hs] : Last ATS survey date</t>
        </r>
      </text>
    </comment>
    <comment ref="F31" authorId="5" shapeId="0" xr:uid="{BCEDE730-F235-4894-9B6B-647C51D9B407}">
      <text>
        <r>
          <rPr>
            <b/>
            <sz val="9"/>
            <color indexed="81"/>
            <rFont val="Tahoma"/>
            <family val="2"/>
          </rPr>
          <t>DFO:</t>
        </r>
        <r>
          <rPr>
            <sz val="9"/>
            <color indexed="81"/>
            <rFont val="Tahoma"/>
            <family val="2"/>
          </rPr>
          <t xml:space="preserve">
mean of 4 winter  surveys only
CNAT_nuOkanagan_Juveniles.xlsx</t>
        </r>
      </text>
    </comment>
    <comment ref="AB31" authorId="5" shapeId="0" xr:uid="{5A655FD4-D3CE-4E88-B5C0-4F6C801BF5FC}">
      <text>
        <r>
          <rPr>
            <b/>
            <sz val="9"/>
            <color indexed="81"/>
            <rFont val="Tahoma"/>
            <family val="2"/>
          </rPr>
          <t>DFO:</t>
        </r>
        <r>
          <rPr>
            <sz val="9"/>
            <color indexed="81"/>
            <rFont val="Tahoma"/>
            <family val="2"/>
          </rPr>
          <t xml:space="preserve">
mean of 4 winter  surveys only
CNAT_nuOkanagan_Juveniles.xlsx</t>
        </r>
      </text>
    </comment>
    <comment ref="AC31" authorId="2" shapeId="0" xr:uid="{25F75800-EF7C-4D68-B1C1-01CF224FA568}">
      <text>
        <r>
          <rPr>
            <b/>
            <sz val="9"/>
            <color indexed="81"/>
            <rFont val="Tahoma"/>
            <family val="2"/>
          </rPr>
          <t>[hs] : Last ATS survey date</t>
        </r>
      </text>
    </comment>
    <comment ref="F32" authorId="5" shapeId="0" xr:uid="{552ADD1C-E6EF-4190-BE64-32022D39C6FD}">
      <text>
        <r>
          <rPr>
            <b/>
            <sz val="9"/>
            <color indexed="81"/>
            <rFont val="Tahoma"/>
            <family val="2"/>
          </rPr>
          <t>DFO:</t>
        </r>
        <r>
          <rPr>
            <sz val="9"/>
            <color indexed="81"/>
            <rFont val="Tahoma"/>
            <family val="2"/>
          </rPr>
          <t xml:space="preserve">
fall-winter surveys only
CNAT_nuOkanagan_Juveniles.xlsx</t>
        </r>
      </text>
    </comment>
    <comment ref="AB32" authorId="5" shapeId="0" xr:uid="{FD21A665-7071-4D8F-B093-A1C7BAAB94B5}">
      <text>
        <r>
          <rPr>
            <b/>
            <sz val="9"/>
            <color indexed="81"/>
            <rFont val="Tahoma"/>
            <family val="2"/>
          </rPr>
          <t>DFO:</t>
        </r>
        <r>
          <rPr>
            <sz val="9"/>
            <color indexed="81"/>
            <rFont val="Tahoma"/>
            <family val="2"/>
          </rPr>
          <t xml:space="preserve">
fall-winter surveys only
CNAT_nuOkanagan_Juveniles.xlsx</t>
        </r>
      </text>
    </comment>
    <comment ref="AC32" authorId="2" shapeId="0" xr:uid="{B0B0AFA6-C6F5-4DD3-837D-853C35394986}">
      <text>
        <r>
          <rPr>
            <b/>
            <sz val="9"/>
            <color indexed="81"/>
            <rFont val="Tahoma"/>
            <family val="2"/>
          </rPr>
          <t>[hs] : Last ATS survey date</t>
        </r>
      </text>
    </comment>
    <comment ref="F33" authorId="5" shapeId="0" xr:uid="{9F0B14DF-5CE7-459E-8B41-F2312D29DE05}">
      <text>
        <r>
          <rPr>
            <b/>
            <sz val="9"/>
            <color indexed="81"/>
            <rFont val="Tahoma"/>
            <family val="2"/>
          </rPr>
          <t xml:space="preserve">DFO:
</t>
        </r>
        <r>
          <rPr>
            <sz val="9"/>
            <color indexed="81"/>
            <rFont val="Tahoma"/>
            <family val="2"/>
          </rPr>
          <t>winter surveys only
CNAT_nuOkanagan_Juveniles.xlsx</t>
        </r>
      </text>
    </comment>
    <comment ref="AB33" authorId="5" shapeId="0" xr:uid="{CEF17625-2DA6-4EAE-AFE7-FF7786411201}">
      <text>
        <r>
          <rPr>
            <b/>
            <sz val="9"/>
            <color indexed="81"/>
            <rFont val="Tahoma"/>
            <family val="2"/>
          </rPr>
          <t xml:space="preserve">DFO:
</t>
        </r>
        <r>
          <rPr>
            <sz val="9"/>
            <color indexed="81"/>
            <rFont val="Tahoma"/>
            <family val="2"/>
          </rPr>
          <t>winter surveys only
CNAT_nuOkanagan_Juveniles.xlsx</t>
        </r>
      </text>
    </comment>
    <comment ref="AC33" authorId="2" shapeId="0" xr:uid="{0D3FF5E7-E5A7-4219-A9DD-33D50733FD1A}">
      <text>
        <r>
          <rPr>
            <b/>
            <sz val="9"/>
            <color indexed="81"/>
            <rFont val="Tahoma"/>
            <family val="2"/>
          </rPr>
          <t>[hs] : Last ATS survey date</t>
        </r>
      </text>
    </comment>
    <comment ref="F34" authorId="5" shapeId="0" xr:uid="{104788C4-89A8-40C5-B10A-BC349EAD00E8}">
      <text>
        <r>
          <rPr>
            <b/>
            <sz val="9"/>
            <color indexed="81"/>
            <rFont val="Tahoma"/>
            <family val="2"/>
          </rPr>
          <t xml:space="preserve">DFO:
</t>
        </r>
        <r>
          <rPr>
            <sz val="9"/>
            <color indexed="81"/>
            <rFont val="Tahoma"/>
            <family val="2"/>
          </rPr>
          <t>winter surveys only
CNAT_nuOkanagan_Juveniles.xlsx</t>
        </r>
      </text>
    </comment>
    <comment ref="AB34" authorId="5" shapeId="0" xr:uid="{9D4CE92E-0A65-48CB-BEC4-1B609CC499D3}">
      <text>
        <r>
          <rPr>
            <b/>
            <sz val="9"/>
            <color indexed="81"/>
            <rFont val="Tahoma"/>
            <family val="2"/>
          </rPr>
          <t xml:space="preserve">DFO:
</t>
        </r>
        <r>
          <rPr>
            <sz val="9"/>
            <color indexed="81"/>
            <rFont val="Tahoma"/>
            <family val="2"/>
          </rPr>
          <t>winter surveys only
CNAT_nuOkanagan_Juveniles.xlsx</t>
        </r>
      </text>
    </comment>
    <comment ref="AC34" authorId="2" shapeId="0" xr:uid="{69C6425F-29D7-4B78-928D-9C0DF82ECBB5}">
      <text>
        <r>
          <rPr>
            <b/>
            <sz val="9"/>
            <color indexed="81"/>
            <rFont val="Tahoma"/>
            <family val="2"/>
          </rPr>
          <t>[hs] : Last ATS survey date</t>
        </r>
      </text>
    </comment>
    <comment ref="F35" authorId="5" shapeId="0" xr:uid="{70303C87-DFC0-4042-99B5-2BEB3D3EC966}">
      <text>
        <r>
          <rPr>
            <b/>
            <sz val="9"/>
            <color indexed="81"/>
            <rFont val="Tahoma"/>
            <family val="2"/>
          </rPr>
          <t xml:space="preserve">DFO:
</t>
        </r>
        <r>
          <rPr>
            <sz val="9"/>
            <color indexed="81"/>
            <rFont val="Tahoma"/>
            <family val="2"/>
          </rPr>
          <t>winter surveys only
CNAT_nuOkanagan_Juveniles.xlsx</t>
        </r>
      </text>
    </comment>
    <comment ref="AB35" authorId="5" shapeId="0" xr:uid="{EC747306-99C0-43A8-8BCF-112D79191276}">
      <text>
        <r>
          <rPr>
            <b/>
            <sz val="9"/>
            <color indexed="81"/>
            <rFont val="Tahoma"/>
            <family val="2"/>
          </rPr>
          <t xml:space="preserve">DFO:
</t>
        </r>
        <r>
          <rPr>
            <sz val="9"/>
            <color indexed="81"/>
            <rFont val="Tahoma"/>
            <family val="2"/>
          </rPr>
          <t xml:space="preserve">winter surveys only
CNAT_nuOkanagan_Juveniles.xlsx
</t>
        </r>
        <r>
          <rPr>
            <b/>
            <sz val="9"/>
            <color indexed="81"/>
            <rFont val="Tahoma"/>
            <family val="2"/>
          </rPr>
          <t>NOTE:</t>
        </r>
        <r>
          <rPr>
            <sz val="9"/>
            <color indexed="81"/>
            <rFont val="Tahoma"/>
            <family val="2"/>
          </rPr>
          <t xml:space="preserve"> H-O fry added to Osoyoos Lake in previous spring (see CNAT file).  H-O survivors to presmolt no longer automatically subtracted from total limnetic abund estimate, but can be optionally deducted; see Hatchery-Release Survivors column [2023-02-09]</t>
        </r>
      </text>
    </comment>
    <comment ref="AC35" authorId="2" shapeId="0" xr:uid="{D5C60B44-DF8E-4FFA-B2D6-4CCA9160016D}">
      <text>
        <r>
          <rPr>
            <b/>
            <sz val="9"/>
            <color indexed="81"/>
            <rFont val="Tahoma"/>
            <family val="2"/>
          </rPr>
          <t>[hs] : Last ATS survey date</t>
        </r>
      </text>
    </comment>
    <comment ref="AD35" authorId="2" shapeId="0" xr:uid="{858A398D-E221-4A89-B9C6-F286652B1DA8}">
      <text>
        <r>
          <rPr>
            <b/>
            <sz val="9"/>
            <color indexed="81"/>
            <rFont val="Tahoma"/>
            <family val="2"/>
          </rPr>
          <t>[hs] :</t>
        </r>
        <r>
          <rPr>
            <sz val="9"/>
            <color indexed="81"/>
            <rFont val="Tahoma"/>
            <family val="2"/>
          </rPr>
          <t xml:space="preserve">
Hatchery releases into Osoyoos Lake occur in spring (see tab Hatchery Releases and Pivot) but experience mortality to presmolt stage, so estimated H-O survivors entered in this column.
[2023-02-04]</t>
        </r>
      </text>
    </comment>
    <comment ref="F36" authorId="5" shapeId="0" xr:uid="{D2C06543-BA78-460F-A56E-97768030272A}">
      <text>
        <r>
          <rPr>
            <b/>
            <sz val="9"/>
            <color indexed="81"/>
            <rFont val="Tahoma"/>
            <family val="2"/>
          </rPr>
          <t xml:space="preserve">DFO:
</t>
        </r>
        <r>
          <rPr>
            <sz val="9"/>
            <color indexed="81"/>
            <rFont val="Tahoma"/>
            <family val="2"/>
          </rPr>
          <t>winter surveys only
CNAT_nuOkanagan_Juveniles.xlsx</t>
        </r>
      </text>
    </comment>
    <comment ref="AB36" authorId="5" shapeId="0" xr:uid="{8E7326FB-3891-4CEE-BBF6-244338911AD1}">
      <text>
        <r>
          <rPr>
            <b/>
            <sz val="9"/>
            <color indexed="81"/>
            <rFont val="Tahoma"/>
            <family val="2"/>
          </rPr>
          <t xml:space="preserve">DFO:
</t>
        </r>
        <r>
          <rPr>
            <sz val="9"/>
            <color indexed="81"/>
            <rFont val="Tahoma"/>
            <family val="2"/>
          </rPr>
          <t>winter surveys only
CNAT_nuOkanagan_Juveniles.xlsx</t>
        </r>
      </text>
    </comment>
    <comment ref="AC36" authorId="2" shapeId="0" xr:uid="{2AED37AC-08A6-4C78-BD21-EFEA8B1FA399}">
      <text>
        <r>
          <rPr>
            <b/>
            <sz val="9"/>
            <color indexed="81"/>
            <rFont val="Tahoma"/>
            <family val="2"/>
          </rPr>
          <t>[hs] : Last ATS survey date</t>
        </r>
      </text>
    </comment>
    <comment ref="F37" authorId="5" shapeId="0" xr:uid="{54E5B24B-5D32-47BA-BCCB-C65AC433FABA}">
      <text>
        <r>
          <rPr>
            <b/>
            <sz val="9"/>
            <color indexed="81"/>
            <rFont val="Tahoma"/>
            <family val="2"/>
          </rPr>
          <t xml:space="preserve">DFO:
</t>
        </r>
        <r>
          <rPr>
            <sz val="9"/>
            <color indexed="81"/>
            <rFont val="Tahoma"/>
            <family val="2"/>
          </rPr>
          <t>winter surveys only
CNAT_nuOkanagan_Juveniles.xlsx</t>
        </r>
      </text>
    </comment>
    <comment ref="AB37" authorId="5" shapeId="0" xr:uid="{3B780433-0FE9-4ADE-B671-F855C6AAE715}">
      <text>
        <r>
          <rPr>
            <b/>
            <sz val="9"/>
            <color indexed="81"/>
            <rFont val="Tahoma"/>
            <family val="2"/>
          </rPr>
          <t xml:space="preserve">DFO:
</t>
        </r>
        <r>
          <rPr>
            <sz val="9"/>
            <color indexed="81"/>
            <rFont val="Tahoma"/>
            <family val="2"/>
          </rPr>
          <t xml:space="preserve">winter surveys only
CNAT_nuOkanagan_Juveniles.xlsx
</t>
        </r>
        <r>
          <rPr>
            <b/>
            <sz val="9"/>
            <color indexed="81"/>
            <rFont val="Tahoma"/>
            <family val="2"/>
          </rPr>
          <t>NOTE:</t>
        </r>
        <r>
          <rPr>
            <sz val="9"/>
            <color indexed="81"/>
            <rFont val="Tahoma"/>
            <family val="2"/>
          </rPr>
          <t xml:space="preserve"> H-O fry added to Osoyoos Lake in previous spring (see CNAT file).  H-O survivors to presmolt no longer automatically subtracted from total limnetic abund estimate, but can be optionally deducted; see Hatchery-Release Survivors column [2023-02-09]</t>
        </r>
      </text>
    </comment>
    <comment ref="AC37" authorId="2" shapeId="0" xr:uid="{ED690397-D892-47B6-BD75-AC56EF27A945}">
      <text>
        <r>
          <rPr>
            <b/>
            <sz val="9"/>
            <color indexed="81"/>
            <rFont val="Tahoma"/>
            <family val="2"/>
          </rPr>
          <t>[hs] : Last ATS survey date</t>
        </r>
      </text>
    </comment>
    <comment ref="AD37" authorId="2" shapeId="0" xr:uid="{FDDE501F-C49E-4E9B-BF7C-8FD2362CECBE}">
      <text>
        <r>
          <rPr>
            <b/>
            <sz val="9"/>
            <color indexed="81"/>
            <rFont val="Tahoma"/>
            <family val="2"/>
          </rPr>
          <t>[hs] :</t>
        </r>
        <r>
          <rPr>
            <sz val="9"/>
            <color indexed="81"/>
            <rFont val="Tahoma"/>
            <family val="2"/>
          </rPr>
          <t xml:space="preserve">
Hatchery releases into Osoyoos Lake occur in spring (see tab Hatchery Releases and Pivot) but experience mortality to presmolt stage, so estimated H-O survivors entered in this column.
[2023-02-04]</t>
        </r>
      </text>
    </comment>
    <comment ref="F38" authorId="5" shapeId="0" xr:uid="{3CA743ED-20E9-46CF-A678-C139214CF169}">
      <text>
        <r>
          <rPr>
            <b/>
            <sz val="9"/>
            <color indexed="81"/>
            <rFont val="Tahoma"/>
            <family val="2"/>
          </rPr>
          <t xml:space="preserve">DFO:
</t>
        </r>
        <r>
          <rPr>
            <sz val="9"/>
            <color indexed="81"/>
            <rFont val="Tahoma"/>
            <family val="2"/>
          </rPr>
          <t>winter surveys only
CNAT_nuOkanagan_Juveniles.xlsx</t>
        </r>
      </text>
    </comment>
    <comment ref="AB38" authorId="5" shapeId="0" xr:uid="{DB72D8AD-F103-4011-83D2-6147B5E86427}">
      <text>
        <r>
          <rPr>
            <b/>
            <sz val="9"/>
            <color indexed="81"/>
            <rFont val="Tahoma"/>
            <family val="2"/>
          </rPr>
          <t xml:space="preserve">DFO:
</t>
        </r>
        <r>
          <rPr>
            <sz val="9"/>
            <color indexed="81"/>
            <rFont val="Tahoma"/>
            <family val="2"/>
          </rPr>
          <t xml:space="preserve">winter surveys only
CNAT_nuOkanagan_Juveniles.xlsx
</t>
        </r>
        <r>
          <rPr>
            <b/>
            <sz val="9"/>
            <color indexed="81"/>
            <rFont val="Tahoma"/>
            <family val="2"/>
          </rPr>
          <t xml:space="preserve">NOTE: </t>
        </r>
        <r>
          <rPr>
            <sz val="9"/>
            <color indexed="81"/>
            <rFont val="Tahoma"/>
            <family val="2"/>
          </rPr>
          <t>H-O fry added to Osoyoos Lake in previous spring (see CNAT file).  H-O survivors to presmolt no longer automatically subtracted from total limnetic abund estimate, but can be optionally deducted; see Hatchery-Release Survivors column [2023-02-09]</t>
        </r>
      </text>
    </comment>
    <comment ref="AC38" authorId="2" shapeId="0" xr:uid="{FB1838FC-2BCA-46E7-A366-A61E475E7A2A}">
      <text>
        <r>
          <rPr>
            <b/>
            <sz val="9"/>
            <color indexed="81"/>
            <rFont val="Tahoma"/>
            <family val="2"/>
          </rPr>
          <t>[hs] : Last ATS survey date</t>
        </r>
      </text>
    </comment>
    <comment ref="AD38" authorId="2" shapeId="0" xr:uid="{E57E9870-73BB-4303-AC79-83A712175F13}">
      <text>
        <r>
          <rPr>
            <b/>
            <sz val="9"/>
            <color indexed="81"/>
            <rFont val="Tahoma"/>
            <family val="2"/>
          </rPr>
          <t>[hs] :</t>
        </r>
        <r>
          <rPr>
            <sz val="9"/>
            <color indexed="81"/>
            <rFont val="Tahoma"/>
            <family val="2"/>
          </rPr>
          <t xml:space="preserve">
Hatchery releases into Osoyoos Lake occur in spring (see tab Hatchery Releases and Pivot) but experience mortality to presmolt stage, so estimated H-O survivors entered in this column.
[2023-02-04]</t>
        </r>
      </text>
    </comment>
    <comment ref="F39" authorId="5" shapeId="0" xr:uid="{66E15A22-598D-4704-BEF6-2EED500F9DBD}">
      <text>
        <r>
          <rPr>
            <b/>
            <sz val="9"/>
            <color indexed="81"/>
            <rFont val="Tahoma"/>
            <family val="2"/>
          </rPr>
          <t xml:space="preserve">DFO:
</t>
        </r>
        <r>
          <rPr>
            <sz val="9"/>
            <color indexed="81"/>
            <rFont val="Tahoma"/>
            <family val="2"/>
          </rPr>
          <t>winter surveys only
CNAT_nuOkanagan_Juveniles.xlsx</t>
        </r>
      </text>
    </comment>
    <comment ref="AB39" authorId="5" shapeId="0" xr:uid="{6EFA6296-1269-4931-A6A5-B4DC91F8070B}">
      <text>
        <r>
          <rPr>
            <b/>
            <sz val="9"/>
            <color indexed="81"/>
            <rFont val="Tahoma"/>
            <family val="2"/>
          </rPr>
          <t xml:space="preserve">DFO:
</t>
        </r>
        <r>
          <rPr>
            <sz val="9"/>
            <color indexed="81"/>
            <rFont val="Tahoma"/>
            <family val="2"/>
          </rPr>
          <t>winter surveys only
CNAT_nuOkanagan_Juveniles.xlsx</t>
        </r>
      </text>
    </comment>
    <comment ref="AC39" authorId="2" shapeId="0" xr:uid="{70C052EE-92AA-460B-9B0F-20E0102A3D38}">
      <text>
        <r>
          <rPr>
            <b/>
            <sz val="9"/>
            <color indexed="81"/>
            <rFont val="Tahoma"/>
            <family val="2"/>
          </rPr>
          <t>[hs] : Last ATS survey date</t>
        </r>
      </text>
    </comment>
    <comment ref="F40" authorId="5" shapeId="0" xr:uid="{C4212A1E-39EB-45D5-86E6-3AECFECEC3BB}">
      <text>
        <r>
          <rPr>
            <b/>
            <sz val="9"/>
            <color indexed="81"/>
            <rFont val="Tahoma"/>
            <family val="2"/>
          </rPr>
          <t xml:space="preserve">DFO:
</t>
        </r>
        <r>
          <rPr>
            <sz val="9"/>
            <color indexed="81"/>
            <rFont val="Tahoma"/>
            <family val="2"/>
          </rPr>
          <t>winter surveys only
CNAT_nuOkanagan_Juveniles.xlsx</t>
        </r>
      </text>
    </comment>
    <comment ref="AB40" authorId="5" shapeId="0" xr:uid="{2F72FA1C-FF42-44F5-8B77-75F84DF7D2F9}">
      <text>
        <r>
          <rPr>
            <b/>
            <sz val="9"/>
            <color indexed="81"/>
            <rFont val="Tahoma"/>
            <family val="2"/>
          </rPr>
          <t xml:space="preserve">DFO:
</t>
        </r>
        <r>
          <rPr>
            <sz val="9"/>
            <color indexed="81"/>
            <rFont val="Tahoma"/>
            <family val="2"/>
          </rPr>
          <t>winter surveys only
CNAT_nuOkanagan_Juveniles.xlsx</t>
        </r>
      </text>
    </comment>
    <comment ref="AC40" authorId="2" shapeId="0" xr:uid="{2E2041F3-B048-4262-AEFF-20418DC777FD}">
      <text>
        <r>
          <rPr>
            <b/>
            <sz val="9"/>
            <color indexed="81"/>
            <rFont val="Tahoma"/>
            <family val="2"/>
          </rPr>
          <t>[hs] : Last ATS survey date</t>
        </r>
      </text>
    </comment>
    <comment ref="F41" authorId="5" shapeId="0" xr:uid="{26513D03-DB4A-4C8E-9C09-5FF9CF418596}">
      <text>
        <r>
          <rPr>
            <b/>
            <sz val="9"/>
            <color indexed="81"/>
            <rFont val="Tahoma"/>
            <family val="2"/>
          </rPr>
          <t xml:space="preserve">DFO:
</t>
        </r>
        <r>
          <rPr>
            <sz val="9"/>
            <color indexed="81"/>
            <rFont val="Tahoma"/>
            <family val="2"/>
          </rPr>
          <t>winter surveys only
CNAT_nuOkanagan_Juveniles.xlsx</t>
        </r>
      </text>
    </comment>
    <comment ref="AB41" authorId="5" shapeId="0" xr:uid="{464AE10F-E13C-4215-ABCA-510307FEDC8E}">
      <text>
        <r>
          <rPr>
            <b/>
            <sz val="9"/>
            <color indexed="81"/>
            <rFont val="Tahoma"/>
            <family val="2"/>
          </rPr>
          <t xml:space="preserve">DFO:
</t>
        </r>
        <r>
          <rPr>
            <sz val="9"/>
            <color indexed="81"/>
            <rFont val="Tahoma"/>
            <family val="2"/>
          </rPr>
          <t>winter surveys only
CNAT_nuOkanagan_Juveniles.xlsx</t>
        </r>
      </text>
    </comment>
    <comment ref="AC41" authorId="2" shapeId="0" xr:uid="{0765EB10-3125-49D0-9F3D-8467F20DEE78}">
      <text>
        <r>
          <rPr>
            <b/>
            <sz val="9"/>
            <color indexed="81"/>
            <rFont val="Tahoma"/>
            <family val="2"/>
          </rPr>
          <t>[hs] : Last ATS survey date</t>
        </r>
      </text>
    </comment>
    <comment ref="F42" authorId="5" shapeId="0" xr:uid="{943F63A5-24AD-4200-A176-8B2923B5585B}">
      <text>
        <r>
          <rPr>
            <b/>
            <sz val="9"/>
            <color indexed="81"/>
            <rFont val="Tahoma"/>
            <family val="2"/>
          </rPr>
          <t xml:space="preserve">DFO:
</t>
        </r>
        <r>
          <rPr>
            <sz val="9"/>
            <color indexed="81"/>
            <rFont val="Tahoma"/>
            <family val="2"/>
          </rPr>
          <t>winter surveys only
CNAT_nuOkanagan_Juveniles.xlsx</t>
        </r>
      </text>
    </comment>
    <comment ref="AB42" authorId="5" shapeId="0" xr:uid="{0942286C-F4EA-4C3B-92F8-A16179C95B05}">
      <text>
        <r>
          <rPr>
            <b/>
            <sz val="9"/>
            <color indexed="81"/>
            <rFont val="Tahoma"/>
            <family val="2"/>
          </rPr>
          <t xml:space="preserve">DFO:
</t>
        </r>
        <r>
          <rPr>
            <sz val="9"/>
            <color indexed="81"/>
            <rFont val="Tahoma"/>
            <family val="2"/>
          </rPr>
          <t>winter surveys only
CNAT_nuOkanagan_Juveniles.xlsx</t>
        </r>
      </text>
    </comment>
    <comment ref="AC42" authorId="2" shapeId="0" xr:uid="{BEC66C5C-F81A-4C76-B137-8415ABC8F820}">
      <text>
        <r>
          <rPr>
            <b/>
            <sz val="9"/>
            <color indexed="81"/>
            <rFont val="Tahoma"/>
            <family val="2"/>
          </rPr>
          <t>[hs] : Last ATS survey date</t>
        </r>
      </text>
    </comment>
    <comment ref="F43" authorId="0" shapeId="0" xr:uid="{3008A2E0-D05F-4C5C-9853-F634DC45564E}">
      <text>
        <r>
          <rPr>
            <sz val="9"/>
            <color indexed="81"/>
            <rFont val="Tahoma"/>
            <family val="2"/>
          </rPr>
          <t>Mean of survey 15-Oct-2018 and spring estimate (Athena O 10/19/2020]
See
CNAT_nuOkanagan_Juveniles.xlsx 20.10.14.xlsx</t>
        </r>
      </text>
    </comment>
    <comment ref="AB43" authorId="0" shapeId="0" xr:uid="{6DDA803B-984F-4E4A-82F6-8B71DE457812}">
      <text>
        <r>
          <rPr>
            <sz val="9"/>
            <color indexed="81"/>
            <rFont val="Tahoma"/>
            <family val="2"/>
          </rPr>
          <t>[hs 2022-12-12] Was 912,588, which DOES NOT MATCH UP WITH EXPERT OPINION ESTIMATE based on survey 15-Oct-2018 and spring estimate (Athena O 10/19/2020]
See CNAT_nuOkanagan_Juveniles.xlsx 20.10.14.xlsx</t>
        </r>
      </text>
    </comment>
    <comment ref="AC43" authorId="2" shapeId="0" xr:uid="{704EA71C-95C5-4B29-8A80-29869038BF2B}">
      <text>
        <r>
          <rPr>
            <b/>
            <sz val="9"/>
            <color indexed="81"/>
            <rFont val="Tahoma"/>
            <family val="2"/>
          </rPr>
          <t>[hs] : Last ATS survey date</t>
        </r>
      </text>
    </comment>
    <comment ref="F44" authorId="5" shapeId="0" xr:uid="{885F142E-288F-42F2-BD88-C87159726469}">
      <text>
        <r>
          <rPr>
            <b/>
            <sz val="9"/>
            <color indexed="81"/>
            <rFont val="Tahoma"/>
            <family val="2"/>
          </rPr>
          <t xml:space="preserve">DFO:
</t>
        </r>
        <r>
          <rPr>
            <sz val="9"/>
            <color indexed="81"/>
            <rFont val="Tahoma"/>
            <family val="2"/>
          </rPr>
          <t>winter surveys only
CNAT_nuOkanagan_Juveniles.xlsx</t>
        </r>
      </text>
    </comment>
    <comment ref="AB44" authorId="5" shapeId="0" xr:uid="{287D0F8D-70DC-4A35-ACB2-EC67215C1CFD}">
      <text>
        <r>
          <rPr>
            <b/>
            <sz val="9"/>
            <color indexed="81"/>
            <rFont val="Tahoma"/>
            <family val="2"/>
          </rPr>
          <t xml:space="preserve">DFO:
</t>
        </r>
        <r>
          <rPr>
            <sz val="9"/>
            <color indexed="81"/>
            <rFont val="Tahoma"/>
            <family val="2"/>
          </rPr>
          <t>winter surveys only
CNAT_nuOkanagan_Juveniles.xlsx</t>
        </r>
      </text>
    </comment>
    <comment ref="AC44" authorId="2" shapeId="0" xr:uid="{15E702AE-097E-401C-A138-1D38147413D7}">
      <text>
        <r>
          <rPr>
            <b/>
            <sz val="9"/>
            <color indexed="81"/>
            <rFont val="Tahoma"/>
            <family val="2"/>
          </rPr>
          <t>[hs] : Last ATS survey date</t>
        </r>
      </text>
    </comment>
    <comment ref="AC45" authorId="2" shapeId="0" xr:uid="{47C3A5DD-0D36-4DA7-91A3-170CD5F8F320}">
      <text>
        <r>
          <rPr>
            <b/>
            <sz val="9"/>
            <color indexed="81"/>
            <rFont val="Tahoma"/>
            <family val="2"/>
          </rPr>
          <t>[hs] : Last ATS survey date</t>
        </r>
      </text>
    </comment>
    <comment ref="AB47" authorId="2" shapeId="0" xr:uid="{7B493FA5-6F82-491F-BA92-2BABBAE3DE5B}">
      <text>
        <r>
          <rPr>
            <b/>
            <sz val="9"/>
            <color indexed="81"/>
            <rFont val="Tahoma"/>
            <family val="2"/>
          </rPr>
          <t>Mean of NOV and MAR surveys</t>
        </r>
        <r>
          <rPr>
            <sz val="9"/>
            <color indexed="81"/>
            <rFont val="Tahoma"/>
            <family val="2"/>
          </rPr>
          <t xml:space="preserve">
[HS/AO 2024-01-15]</t>
        </r>
      </text>
    </comment>
    <comment ref="AD59" authorId="2" shapeId="0" xr:uid="{DC6FD0F6-8228-41EA-BF47-9961E18275C6}">
      <text>
        <r>
          <rPr>
            <b/>
            <sz val="9"/>
            <color indexed="81"/>
            <rFont val="Tahoma"/>
            <family val="2"/>
          </rPr>
          <t xml:space="preserve">Note: to change this value, the worksheet must be 'unprotected'. </t>
        </r>
        <r>
          <rPr>
            <sz val="9"/>
            <color indexed="81"/>
            <rFont val="Tahoma"/>
            <family val="2"/>
          </rPr>
          <t xml:space="preserve">
To unprotect the worksheet, right-click on the tab name at bottom, and select Unprotect Sheet from the pop-up menu.</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xml:space="preserve">[hs] </author>
  </authors>
  <commentList>
    <comment ref="B1" authorId="0" shapeId="0" xr:uid="{754FB20F-11AF-4E51-860F-1EE42E728B3B}">
      <text>
        <r>
          <rPr>
            <b/>
            <sz val="9"/>
            <color indexed="81"/>
            <rFont val="Tahoma"/>
            <charset val="1"/>
          </rPr>
          <t>[hs] :</t>
        </r>
        <r>
          <rPr>
            <sz val="9"/>
            <color indexed="81"/>
            <rFont val="Tahoma"/>
            <charset val="1"/>
          </rPr>
          <t xml:space="preserve">
No. of juveniles PIT-tagged in the Ok basin that were detected upon return to Columbia</t>
        </r>
      </text>
    </comment>
    <comment ref="H1" authorId="0" shapeId="0" xr:uid="{208B5A12-6FEE-41A5-B8E1-53EBC917F9F3}">
      <text>
        <r>
          <rPr>
            <b/>
            <sz val="9"/>
            <color indexed="81"/>
            <rFont val="Tahoma"/>
            <charset val="1"/>
          </rPr>
          <t>[hs] :</t>
        </r>
        <r>
          <rPr>
            <sz val="9"/>
            <color indexed="81"/>
            <rFont val="Tahoma"/>
            <charset val="1"/>
          </rPr>
          <t xml:space="preserve">
No. of adult returns tagged at Bonneville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HS</author>
  </authors>
  <commentList>
    <comment ref="A1" authorId="0" shapeId="0" xr:uid="{00000000-0006-0000-0200-000001000000}">
      <text>
        <r>
          <rPr>
            <sz val="9"/>
            <color indexed="81"/>
            <rFont val="Tahoma"/>
            <family val="2"/>
          </rPr>
          <t>Sockeye population (CU) name</t>
        </r>
      </text>
    </comment>
    <comment ref="B1" authorId="0" shapeId="0" xr:uid="{00000000-0006-0000-0200-000002000000}">
      <text>
        <r>
          <rPr>
            <sz val="9"/>
            <color indexed="81"/>
            <rFont val="Tahoma"/>
            <family val="2"/>
          </rPr>
          <t>Conservation Unit Index number 
See: https://open.canada.ca/data/en/dataset/39aa4ce0-7185-448a-be87-9b69a87854a4</t>
        </r>
      </text>
    </comment>
    <comment ref="C1" authorId="0" shapeId="0" xr:uid="{00000000-0006-0000-0200-000003000000}">
      <text>
        <r>
          <rPr>
            <sz val="9"/>
            <color indexed="81"/>
            <rFont val="Tahoma"/>
            <family val="2"/>
          </rPr>
          <t>Year of seaward migration</t>
        </r>
      </text>
    </comment>
    <comment ref="D1" authorId="0" shapeId="0" xr:uid="{00000000-0006-0000-0200-000004000000}">
      <text>
        <r>
          <rPr>
            <sz val="9"/>
            <color indexed="81"/>
            <rFont val="Tahoma"/>
            <family val="2"/>
          </rPr>
          <t>For in-lake fry abundance and biometric data, if available</t>
        </r>
      </text>
    </comment>
    <comment ref="AF1" authorId="0" shapeId="0" xr:uid="{00000000-0006-0000-0200-000005000000}">
      <text>
        <r>
          <rPr>
            <sz val="9"/>
            <color indexed="81"/>
            <rFont val="Tahoma"/>
            <family val="2"/>
          </rPr>
          <t>Comment on environmental conditions or events potentially impacting fish, rearing locations or migration routes, e.g. floods, droughts, temperature anomalies, fish mortalities, fish conditions, etc.</t>
        </r>
      </text>
    </comment>
    <comment ref="AG1" authorId="0" shapeId="0" xr:uid="{00000000-0006-0000-0200-000006000000}">
      <text>
        <r>
          <rPr>
            <sz val="9"/>
            <color indexed="81"/>
            <rFont val="Tahoma"/>
            <family val="2"/>
          </rPr>
          <t>Also please indicate if any changes have been made to historic data and why.</t>
        </r>
      </text>
    </comment>
    <comment ref="Q2" authorId="0" shapeId="0" xr:uid="{00000000-0006-0000-0200-000007000000}">
      <text>
        <r>
          <rPr>
            <sz val="9"/>
            <color indexed="81"/>
            <rFont val="Tahoma"/>
            <family val="2"/>
          </rPr>
          <t>Please include notes on methods employed, data issues, or data changes.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HS</author>
  </authors>
  <commentList>
    <comment ref="A1" authorId="0" shapeId="0" xr:uid="{00000000-0006-0000-0300-000001000000}">
      <text>
        <r>
          <rPr>
            <sz val="9"/>
            <color indexed="81"/>
            <rFont val="Tahoma"/>
            <family val="2"/>
          </rPr>
          <t>Sockeye population (CU) name</t>
        </r>
      </text>
    </comment>
    <comment ref="B1" authorId="0" shapeId="0" xr:uid="{00000000-0006-0000-0300-000002000000}">
      <text>
        <r>
          <rPr>
            <sz val="9"/>
            <color indexed="81"/>
            <rFont val="Tahoma"/>
            <family val="2"/>
          </rPr>
          <t>Conservation Unit Index number 
See: https://open.canada.ca/data/en/dataset/39aa4ce0-7185-448a-be87-9b69a87854a4</t>
        </r>
      </text>
    </comment>
    <comment ref="C1" authorId="0" shapeId="0" xr:uid="{00000000-0006-0000-0300-000003000000}">
      <text>
        <r>
          <rPr>
            <sz val="9"/>
            <color indexed="81"/>
            <rFont val="Tahoma"/>
            <family val="2"/>
          </rPr>
          <t>Year of seaward migration</t>
        </r>
      </text>
    </comment>
    <comment ref="L2" authorId="0" shapeId="0" xr:uid="{00000000-0006-0000-0300-000004000000}">
      <text>
        <r>
          <rPr>
            <b/>
            <sz val="9"/>
            <color indexed="81"/>
            <rFont val="Tahoma"/>
            <family val="2"/>
          </rPr>
          <t>HS:</t>
        </r>
        <r>
          <rPr>
            <sz val="9"/>
            <color indexed="81"/>
            <rFont val="Tahoma"/>
            <family val="2"/>
          </rPr>
          <t xml:space="preserve">
notes about whether constant percentages or annual biosamples</t>
        </r>
      </text>
    </comment>
    <comment ref="T2" authorId="0" shapeId="0" xr:uid="{00000000-0006-0000-0300-000005000000}">
      <text>
        <r>
          <rPr>
            <sz val="9"/>
            <color indexed="81"/>
            <rFont val="Tahoma"/>
            <family val="2"/>
          </rPr>
          <t>Weighted by returns at age</t>
        </r>
      </text>
    </comment>
    <comment ref="AC2" authorId="0" shapeId="0" xr:uid="{00000000-0006-0000-0300-000006000000}">
      <text>
        <r>
          <rPr>
            <sz val="9"/>
            <color indexed="81"/>
            <rFont val="Tahoma"/>
            <family val="2"/>
          </rPr>
          <t>Weighted by returns at age</t>
        </r>
      </text>
    </comment>
    <comment ref="AL2" authorId="0" shapeId="0" xr:uid="{00000000-0006-0000-0300-000007000000}">
      <text>
        <r>
          <rPr>
            <sz val="9"/>
            <color indexed="81"/>
            <rFont val="Tahoma"/>
            <family val="2"/>
          </rPr>
          <t>Weighted by returns at age</t>
        </r>
      </text>
    </comment>
    <comment ref="AK9" authorId="0" shapeId="0" xr:uid="{00000000-0006-0000-0300-000008000000}">
      <text>
        <r>
          <rPr>
            <sz val="9"/>
            <color indexed="81"/>
            <rFont val="Tahoma"/>
            <family val="2"/>
          </rPr>
          <t>Age 7 fish</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HS</author>
    <author xml:space="preserve">[hs] </author>
    <author>Howard Stiff</author>
  </authors>
  <commentList>
    <comment ref="A1" authorId="0" shapeId="0" xr:uid="{00000000-0006-0000-0400-000001000000}">
      <text>
        <r>
          <rPr>
            <sz val="9"/>
            <color indexed="81"/>
            <rFont val="Tahoma"/>
            <family val="2"/>
          </rPr>
          <t>Sockeye population (CU) name</t>
        </r>
      </text>
    </comment>
    <comment ref="B1" authorId="0" shapeId="0" xr:uid="{00000000-0006-0000-0400-000002000000}">
      <text>
        <r>
          <rPr>
            <sz val="9"/>
            <color indexed="81"/>
            <rFont val="Tahoma"/>
            <family val="2"/>
          </rPr>
          <t>Year of seaward migration</t>
        </r>
      </text>
    </comment>
    <comment ref="C1" authorId="0" shapeId="0" xr:uid="{00000000-0006-0000-0400-000003000000}">
      <text>
        <r>
          <rPr>
            <sz val="9"/>
            <color indexed="81"/>
            <rFont val="Tahoma"/>
            <family val="2"/>
          </rPr>
          <t xml:space="preserve">Total Returns generally consist of (C+H+E+M): </t>
        </r>
        <r>
          <rPr>
            <b/>
            <sz val="9"/>
            <color indexed="81"/>
            <rFont val="Tahoma"/>
            <family val="2"/>
          </rPr>
          <t>C</t>
        </r>
        <r>
          <rPr>
            <sz val="9"/>
            <color indexed="81"/>
            <rFont val="Tahoma"/>
            <family val="2"/>
          </rPr>
          <t xml:space="preserve">atch, </t>
        </r>
        <r>
          <rPr>
            <b/>
            <sz val="9"/>
            <color indexed="81"/>
            <rFont val="Tahoma"/>
            <family val="2"/>
          </rPr>
          <t>H</t>
        </r>
        <r>
          <rPr>
            <sz val="9"/>
            <color indexed="81"/>
            <rFont val="Tahoma"/>
            <family val="2"/>
          </rPr>
          <t xml:space="preserve">atchery (removals), </t>
        </r>
        <r>
          <rPr>
            <b/>
            <sz val="9"/>
            <color indexed="81"/>
            <rFont val="Tahoma"/>
            <family val="2"/>
          </rPr>
          <t>E</t>
        </r>
        <r>
          <rPr>
            <sz val="9"/>
            <color indexed="81"/>
            <rFont val="Tahoma"/>
            <family val="2"/>
          </rPr>
          <t xml:space="preserve">scapement, and </t>
        </r>
        <r>
          <rPr>
            <b/>
            <sz val="9"/>
            <color indexed="81"/>
            <rFont val="Tahoma"/>
            <family val="2"/>
          </rPr>
          <t>M</t>
        </r>
        <r>
          <rPr>
            <sz val="9"/>
            <color indexed="81"/>
            <rFont val="Tahoma"/>
            <family val="2"/>
          </rPr>
          <t xml:space="preserve">ortality (natural)
</t>
        </r>
      </text>
    </comment>
    <comment ref="AV1" authorId="0" shapeId="0" xr:uid="{00000000-0006-0000-0400-000004000000}">
      <text>
        <r>
          <rPr>
            <sz val="9"/>
            <color indexed="81"/>
            <rFont val="Tahoma"/>
            <family val="2"/>
          </rPr>
          <t>Comment on environmental conditions or events potentially impacting fish, rearing locations or migration routes, e.g. floods, droughts, temperature anomalies, fish mortalities, fish conditions, etc.</t>
        </r>
      </text>
    </comment>
    <comment ref="AW1" authorId="0" shapeId="0" xr:uid="{00000000-0006-0000-0400-000005000000}">
      <text>
        <r>
          <rPr>
            <sz val="9"/>
            <color indexed="81"/>
            <rFont val="Tahoma"/>
            <family val="2"/>
          </rPr>
          <t>Include any notes and considerations for this year's data. Indicate if any changes have been made to this year's data relative to previous submissions, and why.</t>
        </r>
      </text>
    </comment>
    <comment ref="AX1" authorId="0" shapeId="0" xr:uid="{00000000-0006-0000-0400-000006000000}">
      <text>
        <r>
          <rPr>
            <sz val="9"/>
            <color indexed="81"/>
            <rFont val="Tahoma"/>
            <family val="2"/>
          </rPr>
          <t xml:space="preserve">Contact information for this year's data. Example: initials, email, phone, date
</t>
        </r>
      </text>
    </comment>
    <comment ref="K2" authorId="1" shapeId="0" xr:uid="{B23D4F86-A5ED-40D7-AC9C-4799A81F56AB}">
      <text>
        <r>
          <rPr>
            <b/>
            <sz val="9"/>
            <color indexed="81"/>
            <rFont val="Tahoma"/>
            <family val="2"/>
          </rPr>
          <t xml:space="preserve">[hs 2022-12-12]
</t>
        </r>
        <r>
          <rPr>
            <sz val="9"/>
            <color indexed="81"/>
            <rFont val="Tahoma"/>
            <family val="2"/>
          </rPr>
          <t>This column now equals CB's updated adult returns in column B of Adult Age Composition 221126</t>
        </r>
      </text>
    </comment>
    <comment ref="L2" authorId="0" shapeId="0" xr:uid="{00000000-0006-0000-0400-000007000000}">
      <text>
        <r>
          <rPr>
            <sz val="9"/>
            <color indexed="81"/>
            <rFont val="Tahoma"/>
            <family val="2"/>
          </rPr>
          <t>Please note source of  age composition estimates (i.e., assumed annual percent at age, or based on annual biosampling)</t>
        </r>
      </text>
    </comment>
    <comment ref="AH2" authorId="0" shapeId="0" xr:uid="{00000000-0006-0000-0400-000008000000}">
      <text>
        <r>
          <rPr>
            <sz val="9"/>
            <color indexed="81"/>
            <rFont val="Tahoma"/>
            <family val="2"/>
          </rPr>
          <t xml:space="preserve">Replace </t>
        </r>
        <r>
          <rPr>
            <b/>
            <sz val="9"/>
            <color indexed="81"/>
            <rFont val="Tahoma"/>
            <family val="2"/>
          </rPr>
          <t>OTHER</t>
        </r>
        <r>
          <rPr>
            <sz val="9"/>
            <color indexed="81"/>
            <rFont val="Tahoma"/>
            <family val="2"/>
          </rPr>
          <t xml:space="preserve"> with additional age in </t>
        </r>
        <r>
          <rPr>
            <b/>
            <sz val="9"/>
            <color indexed="81"/>
            <rFont val="Tahoma"/>
            <family val="2"/>
          </rPr>
          <t>X.Y</t>
        </r>
        <r>
          <rPr>
            <sz val="9"/>
            <color indexed="81"/>
            <rFont val="Tahoma"/>
            <family val="2"/>
          </rPr>
          <t xml:space="preserve"> format</t>
        </r>
      </text>
    </comment>
    <comment ref="AN2" authorId="0" shapeId="0" xr:uid="{00000000-0006-0000-0400-000009000000}">
      <text>
        <r>
          <rPr>
            <b/>
            <sz val="9"/>
            <color indexed="81"/>
            <rFont val="Tahoma"/>
            <family val="2"/>
          </rPr>
          <t>Length Type</t>
        </r>
        <r>
          <rPr>
            <sz val="9"/>
            <color indexed="81"/>
            <rFont val="Tahoma"/>
            <family val="2"/>
          </rPr>
          <t xml:space="preserve"> 
Refers to length measurement method
  SL - Std Length
  TL - Total Length
  FL - Fork Length 
  PO - PO-Hypural</t>
        </r>
      </text>
    </comment>
    <comment ref="AO2" authorId="0" shapeId="0" xr:uid="{00000000-0006-0000-0400-00000A000000}">
      <text>
        <r>
          <rPr>
            <sz val="9"/>
            <color indexed="81"/>
            <rFont val="Tahoma"/>
            <family val="2"/>
          </rPr>
          <t>Please note biosampling methods, issues, or data changes.</t>
        </r>
      </text>
    </comment>
    <comment ref="AP2" authorId="0" shapeId="0" xr:uid="{00000000-0006-0000-0400-00000B000000}">
      <text>
        <r>
          <rPr>
            <b/>
            <sz val="9"/>
            <color indexed="81"/>
            <rFont val="Tahoma"/>
            <family val="2"/>
          </rPr>
          <t xml:space="preserve">Use either date format:
</t>
        </r>
        <r>
          <rPr>
            <sz val="9"/>
            <color indexed="81"/>
            <rFont val="Tahoma"/>
            <family val="2"/>
          </rPr>
          <t xml:space="preserve">(1) </t>
        </r>
        <r>
          <rPr>
            <b/>
            <sz val="9"/>
            <color indexed="81"/>
            <rFont val="Tahoma"/>
            <family val="2"/>
          </rPr>
          <t>d-mmm-yy</t>
        </r>
        <r>
          <rPr>
            <sz val="9"/>
            <color indexed="81"/>
            <rFont val="Tahoma"/>
            <family val="2"/>
          </rPr>
          <t xml:space="preserve"> (e.g. 11-Apr-21)
(2) </t>
        </r>
        <r>
          <rPr>
            <b/>
            <sz val="9"/>
            <color indexed="81"/>
            <rFont val="Tahoma"/>
            <family val="2"/>
          </rPr>
          <t>yy-mm-dd</t>
        </r>
        <r>
          <rPr>
            <sz val="9"/>
            <color indexed="81"/>
            <rFont val="Tahoma"/>
            <family val="2"/>
          </rPr>
          <t xml:space="preserve"> (e.g. 21-4-11)</t>
        </r>
      </text>
    </comment>
    <comment ref="AQ2" authorId="0" shapeId="0" xr:uid="{00000000-0006-0000-0400-00000C000000}">
      <text>
        <r>
          <rPr>
            <b/>
            <sz val="9"/>
            <color indexed="81"/>
            <rFont val="Tahoma"/>
            <family val="2"/>
          </rPr>
          <t xml:space="preserve">Use either date format:
</t>
        </r>
        <r>
          <rPr>
            <sz val="9"/>
            <color indexed="81"/>
            <rFont val="Tahoma"/>
            <family val="2"/>
          </rPr>
          <t xml:space="preserve">(1) </t>
        </r>
        <r>
          <rPr>
            <b/>
            <sz val="9"/>
            <color indexed="81"/>
            <rFont val="Tahoma"/>
            <family val="2"/>
          </rPr>
          <t>d-mmm-yy</t>
        </r>
        <r>
          <rPr>
            <sz val="9"/>
            <color indexed="81"/>
            <rFont val="Tahoma"/>
            <family val="2"/>
          </rPr>
          <t xml:space="preserve"> (e.g. 11-Apr-21)
(2) </t>
        </r>
        <r>
          <rPr>
            <b/>
            <sz val="9"/>
            <color indexed="81"/>
            <rFont val="Tahoma"/>
            <family val="2"/>
          </rPr>
          <t>yy-mm-dd</t>
        </r>
        <r>
          <rPr>
            <sz val="9"/>
            <color indexed="81"/>
            <rFont val="Tahoma"/>
            <family val="2"/>
          </rPr>
          <t xml:space="preserve"> (e.g. 21-4-11)</t>
        </r>
      </text>
    </comment>
    <comment ref="AR2" authorId="0" shapeId="0" xr:uid="{00000000-0006-0000-0400-00000D000000}">
      <text>
        <r>
          <rPr>
            <b/>
            <sz val="9"/>
            <color indexed="81"/>
            <rFont val="Tahoma"/>
            <family val="2"/>
          </rPr>
          <t xml:space="preserve">Use either date format:
</t>
        </r>
        <r>
          <rPr>
            <sz val="9"/>
            <color indexed="81"/>
            <rFont val="Tahoma"/>
            <family val="2"/>
          </rPr>
          <t xml:space="preserve">(1) </t>
        </r>
        <r>
          <rPr>
            <b/>
            <sz val="9"/>
            <color indexed="81"/>
            <rFont val="Tahoma"/>
            <family val="2"/>
          </rPr>
          <t>d-mmm-yy</t>
        </r>
        <r>
          <rPr>
            <sz val="9"/>
            <color indexed="81"/>
            <rFont val="Tahoma"/>
            <family val="2"/>
          </rPr>
          <t xml:space="preserve"> (e.g. 11-Apr-21)
(2) </t>
        </r>
        <r>
          <rPr>
            <b/>
            <sz val="9"/>
            <color indexed="81"/>
            <rFont val="Tahoma"/>
            <family val="2"/>
          </rPr>
          <t>yy-mm-dd</t>
        </r>
        <r>
          <rPr>
            <sz val="9"/>
            <color indexed="81"/>
            <rFont val="Tahoma"/>
            <family val="2"/>
          </rPr>
          <t xml:space="preserve"> (e.g. 21-4-11)</t>
        </r>
      </text>
    </comment>
    <comment ref="AS2" authorId="0" shapeId="0" xr:uid="{00000000-0006-0000-0400-00000E000000}">
      <text>
        <r>
          <rPr>
            <b/>
            <sz val="9"/>
            <color indexed="81"/>
            <rFont val="Tahoma"/>
            <family val="2"/>
          </rPr>
          <t xml:space="preserve">Use either date format:
</t>
        </r>
        <r>
          <rPr>
            <sz val="9"/>
            <color indexed="81"/>
            <rFont val="Tahoma"/>
            <family val="2"/>
          </rPr>
          <t xml:space="preserve">(1) </t>
        </r>
        <r>
          <rPr>
            <b/>
            <sz val="9"/>
            <color indexed="81"/>
            <rFont val="Tahoma"/>
            <family val="2"/>
          </rPr>
          <t>d-mmm-yy</t>
        </r>
        <r>
          <rPr>
            <sz val="9"/>
            <color indexed="81"/>
            <rFont val="Tahoma"/>
            <family val="2"/>
          </rPr>
          <t xml:space="preserve"> (e.g. 11-Apr-21)
(2) </t>
        </r>
        <r>
          <rPr>
            <b/>
            <sz val="9"/>
            <color indexed="81"/>
            <rFont val="Tahoma"/>
            <family val="2"/>
          </rPr>
          <t>yy-mm-dd</t>
        </r>
        <r>
          <rPr>
            <sz val="9"/>
            <color indexed="81"/>
            <rFont val="Tahoma"/>
            <family val="2"/>
          </rPr>
          <t xml:space="preserve"> (e.g. 21-4-11)</t>
        </r>
      </text>
    </comment>
    <comment ref="AT2" authorId="0" shapeId="0" xr:uid="{00000000-0006-0000-0400-00000F000000}">
      <text>
        <r>
          <rPr>
            <b/>
            <sz val="9"/>
            <color indexed="81"/>
            <rFont val="Tahoma"/>
            <family val="2"/>
          </rPr>
          <t xml:space="preserve">Use either date format:
</t>
        </r>
        <r>
          <rPr>
            <sz val="9"/>
            <color indexed="81"/>
            <rFont val="Tahoma"/>
            <family val="2"/>
          </rPr>
          <t xml:space="preserve">(1) </t>
        </r>
        <r>
          <rPr>
            <b/>
            <sz val="9"/>
            <color indexed="81"/>
            <rFont val="Tahoma"/>
            <family val="2"/>
          </rPr>
          <t>d-mmm-yy</t>
        </r>
        <r>
          <rPr>
            <sz val="9"/>
            <color indexed="81"/>
            <rFont val="Tahoma"/>
            <family val="2"/>
          </rPr>
          <t xml:space="preserve"> (e.g. 11-Apr-21)
(2) </t>
        </r>
        <r>
          <rPr>
            <b/>
            <sz val="9"/>
            <color indexed="81"/>
            <rFont val="Tahoma"/>
            <family val="2"/>
          </rPr>
          <t>yy-mm-dd</t>
        </r>
        <r>
          <rPr>
            <sz val="9"/>
            <color indexed="81"/>
            <rFont val="Tahoma"/>
            <family val="2"/>
          </rPr>
          <t xml:space="preserve"> (e.g. 21-4-11)</t>
        </r>
      </text>
    </comment>
    <comment ref="AU2" authorId="0" shapeId="0" xr:uid="{00000000-0006-0000-0400-000010000000}">
      <text>
        <r>
          <rPr>
            <sz val="9"/>
            <color indexed="81"/>
            <rFont val="Tahoma"/>
            <family val="2"/>
          </rPr>
          <t xml:space="preserve">Please note migration timing estimation methods, data issues, or data changes.
Do you have migration timing data by </t>
        </r>
        <r>
          <rPr>
            <b/>
            <sz val="9"/>
            <color indexed="81"/>
            <rFont val="Tahoma"/>
            <family val="2"/>
          </rPr>
          <t>Quartiles</t>
        </r>
        <r>
          <rPr>
            <sz val="9"/>
            <color indexed="81"/>
            <rFont val="Tahoma"/>
            <family val="2"/>
          </rPr>
          <t xml:space="preserve"> (i.e. 25th and 75th percentiles)? If so, unhide the columns on either side of </t>
        </r>
        <r>
          <rPr>
            <b/>
            <sz val="9"/>
            <color indexed="81"/>
            <rFont val="Tahoma"/>
            <family val="2"/>
          </rPr>
          <t>Median or Peak Date</t>
        </r>
        <r>
          <rPr>
            <sz val="9"/>
            <color indexed="81"/>
            <rFont val="Tahoma"/>
            <family val="2"/>
          </rPr>
          <t xml:space="preserve"> column. (You will have to unprotect the worksheet first - see READ ME - and don't forget to re-protect the worksheet to prevent errant data entry events.)</t>
        </r>
      </text>
    </comment>
    <comment ref="J3" authorId="0" shapeId="0" xr:uid="{00000000-0006-0000-0400-000011000000}">
      <text>
        <r>
          <rPr>
            <sz val="9"/>
            <color indexed="81"/>
            <rFont val="Tahoma"/>
            <family val="2"/>
          </rPr>
          <t xml:space="preserve">Replace </t>
        </r>
        <r>
          <rPr>
            <b/>
            <sz val="9"/>
            <color indexed="81"/>
            <rFont val="Tahoma"/>
            <family val="2"/>
          </rPr>
          <t>0.0</t>
        </r>
        <r>
          <rPr>
            <sz val="9"/>
            <color indexed="81"/>
            <rFont val="Tahoma"/>
            <family val="2"/>
          </rPr>
          <t xml:space="preserve"> with additional age in </t>
        </r>
        <r>
          <rPr>
            <b/>
            <sz val="9"/>
            <color indexed="81"/>
            <rFont val="Tahoma"/>
            <family val="2"/>
          </rPr>
          <t>X.Y</t>
        </r>
        <r>
          <rPr>
            <sz val="9"/>
            <color indexed="81"/>
            <rFont val="Tahoma"/>
            <family val="2"/>
          </rPr>
          <t xml:space="preserve"> format</t>
        </r>
      </text>
    </comment>
    <comment ref="J27" authorId="2" shapeId="0" xr:uid="{599CFC90-9B18-47AB-B058-0CDE1573531E}">
      <text>
        <r>
          <rPr>
            <sz val="9"/>
            <color indexed="81"/>
            <rFont val="Tahoma"/>
            <family val="2"/>
          </rPr>
          <t>This year had 3,684 3.x fish, according to J Fryer:
2,605 x 3.1s
1,042 x 3.2s
37      x  3.3s
and
1,786  x 4.1s (not included in this column)</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HS</author>
    <author xml:space="preserve">[hs] </author>
  </authors>
  <commentList>
    <comment ref="A2" authorId="0" shapeId="0" xr:uid="{00000000-0006-0000-0500-000001000000}">
      <text>
        <r>
          <rPr>
            <sz val="9"/>
            <color indexed="81"/>
            <rFont val="Tahoma"/>
            <family val="2"/>
          </rPr>
          <t>Sockeye population (CU) name</t>
        </r>
      </text>
    </comment>
    <comment ref="B2" authorId="0" shapeId="0" xr:uid="{00000000-0006-0000-0500-000002000000}">
      <text>
        <r>
          <rPr>
            <sz val="9"/>
            <color indexed="81"/>
            <rFont val="Tahoma"/>
            <family val="2"/>
          </rPr>
          <t>Year of seaward migration</t>
        </r>
      </text>
    </comment>
    <comment ref="C2" authorId="0" shapeId="0" xr:uid="{00000000-0006-0000-0500-000003000000}">
      <text>
        <r>
          <rPr>
            <sz val="9"/>
            <color indexed="81"/>
            <rFont val="Tahoma"/>
            <family val="2"/>
          </rPr>
          <t>Total smolts (all ages)</t>
        </r>
      </text>
    </comment>
    <comment ref="D2" authorId="0" shapeId="0" xr:uid="{00000000-0006-0000-0500-000004000000}">
      <text>
        <r>
          <rPr>
            <sz val="9"/>
            <color indexed="81"/>
            <rFont val="Tahoma"/>
            <family val="2"/>
          </rPr>
          <t>Total adult returns (all ages), including harvest, escapement, hatchery broodstock, in-river mortality estimates.</t>
        </r>
      </text>
    </comment>
    <comment ref="E2" authorId="0" shapeId="0" xr:uid="{00000000-0006-0000-0500-000005000000}">
      <text>
        <r>
          <rPr>
            <sz val="9"/>
            <color indexed="81"/>
            <rFont val="Tahoma"/>
            <family val="2"/>
          </rPr>
          <t>Marine survival - calculated field</t>
        </r>
      </text>
    </comment>
    <comment ref="F3" authorId="0" shapeId="0" xr:uid="{00000000-0006-0000-0500-000006000000}">
      <text>
        <r>
          <rPr>
            <sz val="9"/>
            <color indexed="81"/>
            <rFont val="Tahoma"/>
            <family val="2"/>
          </rPr>
          <t>Include meta-data regarding smolt production sampling methods, estimation methods, data issues, and source documents where available.</t>
        </r>
      </text>
    </comment>
    <comment ref="G3" authorId="0" shapeId="0" xr:uid="{00000000-0006-0000-0500-000007000000}">
      <text>
        <r>
          <rPr>
            <sz val="9"/>
            <color indexed="81"/>
            <rFont val="Tahoma"/>
            <family val="2"/>
          </rPr>
          <t xml:space="preserve">Include meta-data regarding adult returns sampling and estimation methods, data issues, and source documents where available. 
</t>
        </r>
      </text>
    </comment>
    <comment ref="H3" authorId="0" shapeId="0" xr:uid="{00000000-0006-0000-0500-000008000000}">
      <text>
        <r>
          <rPr>
            <sz val="9"/>
            <color indexed="81"/>
            <rFont val="Tahoma"/>
            <family val="2"/>
          </rPr>
          <t xml:space="preserve">Note any unusual environmental conditions such as drought, floods, temperature extremes, predator impacts, etc.
</t>
        </r>
      </text>
    </comment>
    <comment ref="I3" authorId="0" shapeId="0" xr:uid="{00000000-0006-0000-0500-000009000000}">
      <text>
        <r>
          <rPr>
            <sz val="9"/>
            <color indexed="81"/>
            <rFont val="Tahoma"/>
            <family val="2"/>
          </rPr>
          <t>Include any notes and considerations for this year's data. Indicate if any changes have been made to this year's data relative to previous submissions, and why.</t>
        </r>
      </text>
    </comment>
    <comment ref="J3" authorId="0" shapeId="0" xr:uid="{00000000-0006-0000-0500-00000A000000}">
      <text>
        <r>
          <rPr>
            <sz val="9"/>
            <color indexed="81"/>
            <rFont val="Tahoma"/>
            <family val="2"/>
          </rPr>
          <t xml:space="preserve">Contact information for this year's data. Example: initials, email, phone, date
</t>
        </r>
      </text>
    </comment>
    <comment ref="K3" authorId="0" shapeId="0" xr:uid="{00000000-0006-0000-0500-00000B000000}">
      <text>
        <r>
          <rPr>
            <sz val="9"/>
            <color indexed="81"/>
            <rFont val="Tahoma"/>
            <family val="2"/>
          </rPr>
          <t xml:space="preserve">  *UNPROTECTED COLUMN* 
Include any additional comments not captured in other columns.</t>
        </r>
      </text>
    </comment>
    <comment ref="M3" authorId="1" shapeId="0" xr:uid="{D4A5B4E6-A31A-4436-AFA4-BEB02D0C9284}">
      <text>
        <r>
          <rPr>
            <b/>
            <sz val="9"/>
            <color indexed="81"/>
            <rFont val="Tahoma"/>
            <family val="2"/>
          </rPr>
          <t>[hs] : From NOAA OCI Stoplight Table</t>
        </r>
        <r>
          <rPr>
            <sz val="9"/>
            <color indexed="81"/>
            <rFont val="Tahoma"/>
            <family val="2"/>
          </rPr>
          <t xml:space="preserve">
High value is poor (red) for salmon
Low value is good (green) 
[2022-12-04]
</t>
        </r>
      </text>
    </comment>
    <comment ref="N3" authorId="1" shapeId="0" xr:uid="{EC4E7A8B-C581-4B19-BD1F-5C20055F3C31}">
      <text>
        <r>
          <rPr>
            <b/>
            <sz val="9"/>
            <color indexed="81"/>
            <rFont val="Tahoma"/>
            <family val="2"/>
          </rPr>
          <t>[hs] :</t>
        </r>
        <r>
          <rPr>
            <sz val="9"/>
            <color indexed="81"/>
            <rFont val="Tahoma"/>
            <family val="2"/>
          </rPr>
          <t xml:space="preserve">
based on WELLS counts and ratio</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 xml:space="preserve">[hs] </author>
  </authors>
  <commentList>
    <comment ref="B1" authorId="0" shapeId="0" xr:uid="{E4B6AFE5-BBEE-4F3B-9670-4C6AA9C39830}">
      <text>
        <r>
          <rPr>
            <b/>
            <sz val="9"/>
            <color indexed="81"/>
            <rFont val="Tahoma"/>
            <family val="2"/>
          </rPr>
          <t>[hs] :</t>
        </r>
        <r>
          <rPr>
            <sz val="9"/>
            <color indexed="81"/>
            <rFont val="Tahoma"/>
            <family val="2"/>
          </rPr>
          <t xml:space="preserve">
CB's update 2022-11-23</t>
        </r>
      </text>
    </comment>
    <comment ref="C1" authorId="0" shapeId="0" xr:uid="{C54EDFDA-F30C-4085-B356-E38599820BE4}">
      <text>
        <r>
          <rPr>
            <b/>
            <sz val="9"/>
            <color indexed="81"/>
            <rFont val="Tahoma"/>
            <family val="2"/>
          </rPr>
          <t>[hs] :</t>
        </r>
        <r>
          <rPr>
            <sz val="9"/>
            <color indexed="81"/>
            <rFont val="Tahoma"/>
            <family val="2"/>
          </rPr>
          <t xml:space="preserve">
previous estimates (&lt;2022-11-20)
</t>
        </r>
      </text>
    </comment>
    <comment ref="I1" authorId="0" shapeId="0" xr:uid="{FE84CD35-9FD5-4F3C-8397-058FF7AD36D0}">
      <text>
        <r>
          <rPr>
            <b/>
            <sz val="9"/>
            <color indexed="81"/>
            <rFont val="Tahoma"/>
            <family val="2"/>
          </rPr>
          <t>[hs] :</t>
        </r>
        <r>
          <rPr>
            <sz val="9"/>
            <color indexed="81"/>
            <rFont val="Tahoma"/>
            <family val="2"/>
          </rPr>
          <t xml:space="preserve">
totals at age pre C_Bailey (ie v2022-11-17)</t>
        </r>
      </text>
    </comment>
    <comment ref="J1" authorId="0" shapeId="0" xr:uid="{2359A177-49A4-462D-B530-58F220E4474A}">
      <text>
        <r>
          <rPr>
            <b/>
            <sz val="9"/>
            <color indexed="81"/>
            <rFont val="Tahoma"/>
            <family val="2"/>
          </rPr>
          <t>[hs] :</t>
        </r>
        <r>
          <rPr>
            <sz val="9"/>
            <color indexed="81"/>
            <rFont val="Tahoma"/>
            <family val="2"/>
          </rPr>
          <t xml:space="preserve">
totals at age pre C_Bailey (ie v2022-11-17)</t>
        </r>
      </text>
    </comment>
    <comment ref="K1" authorId="0" shapeId="0" xr:uid="{FE2FCB84-D263-43DC-B1E7-5ADE4BEF2B18}">
      <text>
        <r>
          <rPr>
            <b/>
            <sz val="9"/>
            <color indexed="81"/>
            <rFont val="Tahoma"/>
            <family val="2"/>
          </rPr>
          <t>[hs] :</t>
        </r>
        <r>
          <rPr>
            <sz val="9"/>
            <color indexed="81"/>
            <rFont val="Tahoma"/>
            <family val="2"/>
          </rPr>
          <t xml:space="preserve">
totals at age pre C_Bailey (ie v2022-11-17)</t>
        </r>
      </text>
    </comment>
    <comment ref="L1" authorId="0" shapeId="0" xr:uid="{D2974C58-5A2E-4B23-9BE2-12397B3C0F57}">
      <text>
        <r>
          <rPr>
            <b/>
            <sz val="9"/>
            <color indexed="81"/>
            <rFont val="Tahoma"/>
            <family val="2"/>
          </rPr>
          <t>[hs] :</t>
        </r>
        <r>
          <rPr>
            <sz val="9"/>
            <color indexed="81"/>
            <rFont val="Tahoma"/>
            <family val="2"/>
          </rPr>
          <t xml:space="preserve">
totals at age pre C_Bailey (ie v2022-11-17)</t>
        </r>
      </text>
    </comment>
    <comment ref="M1" authorId="0" shapeId="0" xr:uid="{115D7B92-677C-4295-A622-A1A17071F983}">
      <text>
        <r>
          <rPr>
            <b/>
            <sz val="9"/>
            <color indexed="81"/>
            <rFont val="Tahoma"/>
            <family val="2"/>
          </rPr>
          <t>[hs] :</t>
        </r>
        <r>
          <rPr>
            <sz val="9"/>
            <color indexed="81"/>
            <rFont val="Tahoma"/>
            <family val="2"/>
          </rPr>
          <t xml:space="preserve">
totals at age pre C_Bailey (ie v2022-11-17)</t>
        </r>
      </text>
    </comment>
    <comment ref="N1" authorId="0" shapeId="0" xr:uid="{766D7F0B-FB60-407E-8122-4809B589C76E}">
      <text>
        <r>
          <rPr>
            <b/>
            <sz val="9"/>
            <color indexed="81"/>
            <rFont val="Tahoma"/>
            <family val="2"/>
          </rPr>
          <t>[hs] :</t>
        </r>
        <r>
          <rPr>
            <sz val="9"/>
            <color indexed="81"/>
            <rFont val="Tahoma"/>
            <family val="2"/>
          </rPr>
          <t xml:space="preserve">
totals at age pre C_Bailey (ie v2022-11-17)</t>
        </r>
      </text>
    </comment>
    <comment ref="O1" authorId="0" shapeId="0" xr:uid="{A8BC38DB-CF3D-4E9D-B726-1BE76E854F10}">
      <text>
        <r>
          <rPr>
            <b/>
            <sz val="9"/>
            <color indexed="81"/>
            <rFont val="Tahoma"/>
            <family val="2"/>
          </rPr>
          <t>[hs] :</t>
        </r>
        <r>
          <rPr>
            <sz val="9"/>
            <color indexed="81"/>
            <rFont val="Tahoma"/>
            <family val="2"/>
          </rPr>
          <t xml:space="preserve">
totals at age pre C_Bailey (ie v2022-11-17)</t>
        </r>
      </text>
    </comment>
    <comment ref="P1" authorId="0" shapeId="0" xr:uid="{81756B5A-2864-4549-878A-65EC54D385D8}">
      <text>
        <r>
          <rPr>
            <b/>
            <sz val="9"/>
            <color indexed="81"/>
            <rFont val="Tahoma"/>
            <family val="2"/>
          </rPr>
          <t>[hs] :</t>
        </r>
        <r>
          <rPr>
            <sz val="9"/>
            <color indexed="81"/>
            <rFont val="Tahoma"/>
            <family val="2"/>
          </rPr>
          <t xml:space="preserve">
totals at age pre C_Bailey (ie v2022-11-17)</t>
        </r>
      </text>
    </comment>
    <comment ref="Q1" authorId="0" shapeId="0" xr:uid="{23E16BAD-998F-4622-A5C2-CB12DE98922A}">
      <text>
        <r>
          <rPr>
            <b/>
            <sz val="9"/>
            <color indexed="81"/>
            <rFont val="Tahoma"/>
            <family val="2"/>
          </rPr>
          <t>[hs] :</t>
        </r>
        <r>
          <rPr>
            <sz val="9"/>
            <color indexed="81"/>
            <rFont val="Tahoma"/>
            <family val="2"/>
          </rPr>
          <t xml:space="preserve">
from version 22.11.17</t>
        </r>
      </text>
    </comment>
    <comment ref="R1" authorId="0" shapeId="0" xr:uid="{6147EA9D-0F6B-49FE-AA87-4D207E55C42C}">
      <text>
        <r>
          <rPr>
            <b/>
            <sz val="9"/>
            <color indexed="81"/>
            <rFont val="Tahoma"/>
            <family val="2"/>
          </rPr>
          <t>[hs] :</t>
        </r>
        <r>
          <rPr>
            <sz val="9"/>
            <color indexed="81"/>
            <rFont val="Tahoma"/>
            <family val="2"/>
          </rPr>
          <t xml:space="preserve">
age composition based on Old Adult Totals and age totals -- to be used with new adult totals, at least until new age totals are available.. 
2022-11-23</t>
        </r>
      </text>
    </comment>
    <comment ref="S1" authorId="0" shapeId="0" xr:uid="{41816B3F-B0B6-476B-911A-76F9965A8E2C}">
      <text>
        <r>
          <rPr>
            <b/>
            <sz val="9"/>
            <color indexed="81"/>
            <rFont val="Tahoma"/>
            <family val="2"/>
          </rPr>
          <t>[hs] :</t>
        </r>
        <r>
          <rPr>
            <sz val="9"/>
            <color indexed="81"/>
            <rFont val="Tahoma"/>
            <family val="2"/>
          </rPr>
          <t xml:space="preserve">
age composition based on Old Adult Totals and age totals -- to be used with new adult totals, at least until new age totals are available.. 
2022-11-23</t>
        </r>
      </text>
    </comment>
    <comment ref="T1" authorId="0" shapeId="0" xr:uid="{2ED29AA2-7F5A-4205-AC92-8E561292798A}">
      <text>
        <r>
          <rPr>
            <b/>
            <sz val="9"/>
            <color indexed="81"/>
            <rFont val="Tahoma"/>
            <family val="2"/>
          </rPr>
          <t>[hs] :</t>
        </r>
        <r>
          <rPr>
            <sz val="9"/>
            <color indexed="81"/>
            <rFont val="Tahoma"/>
            <family val="2"/>
          </rPr>
          <t xml:space="preserve">
age composition based on Old Adult Totals and age totals -- to be used with new adult totals, at least until new age totals are available.. 
2022-11-23</t>
        </r>
      </text>
    </comment>
    <comment ref="U1" authorId="0" shapeId="0" xr:uid="{F8A25FB2-246D-461E-8F89-DDA7D7068C48}">
      <text>
        <r>
          <rPr>
            <b/>
            <sz val="9"/>
            <color indexed="81"/>
            <rFont val="Tahoma"/>
            <family val="2"/>
          </rPr>
          <t>[hs] :</t>
        </r>
        <r>
          <rPr>
            <sz val="9"/>
            <color indexed="81"/>
            <rFont val="Tahoma"/>
            <family val="2"/>
          </rPr>
          <t xml:space="preserve">
age composition based on Old Adult Totals and age totals -- to be used with new adult totals, at least until new age totals are available.. 
2022-11-23</t>
        </r>
      </text>
    </comment>
    <comment ref="V1" authorId="0" shapeId="0" xr:uid="{683711D7-6441-447C-AA74-209977B97580}">
      <text>
        <r>
          <rPr>
            <b/>
            <sz val="9"/>
            <color indexed="81"/>
            <rFont val="Tahoma"/>
            <family val="2"/>
          </rPr>
          <t>[hs] :</t>
        </r>
        <r>
          <rPr>
            <sz val="9"/>
            <color indexed="81"/>
            <rFont val="Tahoma"/>
            <family val="2"/>
          </rPr>
          <t xml:space="preserve">
age composition based on Old Adult Totals and age totals -- to be used with new adult totals, at least until new age totals are available.. 
2022-11-23</t>
        </r>
      </text>
    </comment>
    <comment ref="W1" authorId="0" shapeId="0" xr:uid="{F32F9421-3607-4956-9966-F94FF50EF9B4}">
      <text>
        <r>
          <rPr>
            <b/>
            <sz val="9"/>
            <color indexed="81"/>
            <rFont val="Tahoma"/>
            <family val="2"/>
          </rPr>
          <t>[hs] :</t>
        </r>
        <r>
          <rPr>
            <sz val="9"/>
            <color indexed="81"/>
            <rFont val="Tahoma"/>
            <family val="2"/>
          </rPr>
          <t xml:space="preserve">
age composition based on Old Adult Totals and age totals -- to be used with new adult totals, at least until new age totals are available.. 
2022-11-23</t>
        </r>
      </text>
    </comment>
    <comment ref="X1" authorId="0" shapeId="0" xr:uid="{90F58D90-3925-4FD6-AF1F-DF5489752DD4}">
      <text>
        <r>
          <rPr>
            <b/>
            <sz val="9"/>
            <color indexed="81"/>
            <rFont val="Tahoma"/>
            <family val="2"/>
          </rPr>
          <t>[hs] :</t>
        </r>
        <r>
          <rPr>
            <sz val="9"/>
            <color indexed="81"/>
            <rFont val="Tahoma"/>
            <family val="2"/>
          </rPr>
          <t xml:space="preserve">
age composition based on Old Adult Totals and age totals -- to be used with new adult totals, at least until new age totals are available.. 
2022-11-23</t>
        </r>
      </text>
    </comment>
    <comment ref="Y1" authorId="0" shapeId="0" xr:uid="{F5C985AF-28C7-44EE-BB3E-9DB54FBC1590}">
      <text>
        <r>
          <rPr>
            <b/>
            <sz val="9"/>
            <color indexed="81"/>
            <rFont val="Tahoma"/>
            <family val="2"/>
          </rPr>
          <t>[hs] :</t>
        </r>
        <r>
          <rPr>
            <sz val="9"/>
            <color indexed="81"/>
            <rFont val="Tahoma"/>
            <family val="2"/>
          </rPr>
          <t xml:space="preserve">
age composition based on Old Adult Totals and age totals -- to be used with new adult totals, at least until new age totals are available.. 
2022-11-23</t>
        </r>
      </text>
    </comment>
    <comment ref="Z1" authorId="0" shapeId="0" xr:uid="{76F544E3-B0F6-4B6A-A317-5BF722D3663E}">
      <text>
        <r>
          <rPr>
            <b/>
            <sz val="9"/>
            <color indexed="81"/>
            <rFont val="Tahoma"/>
            <family val="2"/>
          </rPr>
          <t>[hs] :</t>
        </r>
        <r>
          <rPr>
            <sz val="9"/>
            <color indexed="81"/>
            <rFont val="Tahoma"/>
            <family val="2"/>
          </rPr>
          <t xml:space="preserve">
age composition based on Old Adult Totals and age totals -- to be used with new adult totals, at least until new age totals are available.. 
2022-11-23</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 xml:space="preserve">[hs] </author>
  </authors>
  <commentList>
    <comment ref="F1" authorId="0" shapeId="0" xr:uid="{B1AF6719-2F4F-4D98-8F2E-74E9026C257E}">
      <text>
        <r>
          <rPr>
            <b/>
            <sz val="9"/>
            <color indexed="81"/>
            <rFont val="Tahoma"/>
            <family val="2"/>
          </rPr>
          <t>[hs] :</t>
        </r>
        <r>
          <rPr>
            <sz val="9"/>
            <color indexed="81"/>
            <rFont val="Tahoma"/>
            <family val="2"/>
          </rPr>
          <t xml:space="preserve">
SAR based fundamentally on WELLS data and WELLS/RI ratio, i.e. OKA = returns to CR=Wells+(F+M)*Wells/RI</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 xml:space="preserve">[hs] </author>
  </authors>
  <commentList>
    <comment ref="B1" authorId="0" shapeId="0" xr:uid="{D1FB1593-F1E7-417B-9A9E-B477E0DF4B67}">
      <text>
        <r>
          <rPr>
            <b/>
            <sz val="9"/>
            <color indexed="81"/>
            <rFont val="Tahoma"/>
            <family val="2"/>
          </rPr>
          <t>[hs] : New Adult Totals</t>
        </r>
        <r>
          <rPr>
            <sz val="9"/>
            <color indexed="81"/>
            <rFont val="Tahoma"/>
            <family val="2"/>
          </rPr>
          <t xml:space="preserve">
From </t>
        </r>
        <r>
          <rPr>
            <b/>
            <sz val="9"/>
            <color indexed="81"/>
            <rFont val="Tahoma"/>
            <family val="2"/>
          </rPr>
          <t>1985-2021,</t>
        </r>
        <r>
          <rPr>
            <sz val="9"/>
            <color indexed="81"/>
            <rFont val="Tahoma"/>
            <family val="2"/>
          </rPr>
          <t xml:space="preserve"> Colin B's best estimates in column CE of </t>
        </r>
        <r>
          <rPr>
            <b/>
            <sz val="9"/>
            <color indexed="81"/>
            <rFont val="Tahoma"/>
            <family val="2"/>
          </rPr>
          <t>Sockeye Returns Data</t>
        </r>
        <r>
          <rPr>
            <sz val="9"/>
            <color indexed="81"/>
            <rFont val="Tahoma"/>
            <family val="2"/>
          </rPr>
          <t xml:space="preserve">.  
From </t>
        </r>
        <r>
          <rPr>
            <b/>
            <sz val="9"/>
            <color indexed="81"/>
            <rFont val="Tahoma"/>
            <family val="2"/>
          </rPr>
          <t>1980-1984,</t>
        </r>
        <r>
          <rPr>
            <sz val="9"/>
            <color indexed="81"/>
            <rFont val="Tahoma"/>
            <family val="2"/>
          </rPr>
          <t xml:space="preserve"> OSO estimates as before in column BU of Sockeye Returns Data.
[2023-05-25].
Referenced formulaically in tab </t>
        </r>
        <r>
          <rPr>
            <b/>
            <sz val="9"/>
            <color indexed="81"/>
            <rFont val="Tahoma"/>
            <family val="2"/>
          </rPr>
          <t xml:space="preserve">Adult Returns Data, </t>
        </r>
        <r>
          <rPr>
            <sz val="9"/>
            <color indexed="81"/>
            <rFont val="Tahoma"/>
            <family val="2"/>
          </rPr>
          <t xml:space="preserve">and then rotated by year and age from there to Adults by Smolt Year in </t>
        </r>
        <r>
          <rPr>
            <b/>
            <sz val="9"/>
            <color indexed="81"/>
            <rFont val="Tahoma"/>
            <family val="2"/>
          </rPr>
          <t xml:space="preserve">Smolt to Adult Survival </t>
        </r>
        <r>
          <rPr>
            <sz val="9"/>
            <color indexed="81"/>
            <rFont val="Tahoma"/>
            <family val="2"/>
          </rPr>
          <t xml:space="preserve">tab.
</t>
        </r>
        <r>
          <rPr>
            <i/>
            <sz val="9"/>
            <color indexed="81"/>
            <rFont val="Tahoma"/>
            <family val="2"/>
          </rPr>
          <t>WAS CB's update [2022-11-23]
then re-estimated based on annual RRH:RI stock composition ratios (Column BF (?) in tab Sockeye Returns Data) [23.04.27]</t>
        </r>
        <r>
          <rPr>
            <sz val="9"/>
            <color indexed="81"/>
            <rFont val="Tahoma"/>
            <family val="2"/>
          </rPr>
          <t xml:space="preserve">
</t>
        </r>
      </text>
    </comment>
    <comment ref="C1" authorId="0" shapeId="0" xr:uid="{AC4CDDAE-0276-4654-942C-F004701573BC}">
      <text>
        <r>
          <rPr>
            <b/>
            <sz val="9"/>
            <color indexed="81"/>
            <rFont val="Tahoma"/>
            <family val="2"/>
          </rPr>
          <t>[hs] :</t>
        </r>
        <r>
          <rPr>
            <sz val="9"/>
            <color indexed="81"/>
            <rFont val="Tahoma"/>
            <family val="2"/>
          </rPr>
          <t xml:space="preserve">
previous estimates (&lt;2022-11-20)
</t>
        </r>
      </text>
    </comment>
    <comment ref="F1" authorId="0" shapeId="0" xr:uid="{5D9E1906-BE3F-44E7-BAB7-6F2E66FFE032}">
      <text>
        <r>
          <rPr>
            <b/>
            <sz val="9"/>
            <color indexed="81"/>
            <rFont val="Tahoma"/>
            <family val="2"/>
          </rPr>
          <t>[hs] :</t>
        </r>
        <r>
          <rPr>
            <sz val="9"/>
            <color indexed="81"/>
            <rFont val="Tahoma"/>
            <family val="2"/>
          </rPr>
          <t xml:space="preserve">
age composition based on Old Adult Totals and age totals -- to be used with new adult totals, at least until new age totals are available.. 
2022-11-23</t>
        </r>
      </text>
    </comment>
    <comment ref="G1" authorId="0" shapeId="0" xr:uid="{F8956D73-40EE-4045-9BC0-80EF5B169FBE}">
      <text>
        <r>
          <rPr>
            <b/>
            <sz val="9"/>
            <color indexed="81"/>
            <rFont val="Tahoma"/>
            <family val="2"/>
          </rPr>
          <t>[hs] :</t>
        </r>
        <r>
          <rPr>
            <sz val="9"/>
            <color indexed="81"/>
            <rFont val="Tahoma"/>
            <family val="2"/>
          </rPr>
          <t xml:space="preserve">
age composition based on Old Adult Totals and age totals -- to be used with new adult totals, at least until new age totals are available.. 
2022-11-23</t>
        </r>
      </text>
    </comment>
    <comment ref="H1" authorId="0" shapeId="0" xr:uid="{94DB52BB-1C67-45E9-857D-AFA913060A8E}">
      <text>
        <r>
          <rPr>
            <b/>
            <sz val="9"/>
            <color indexed="81"/>
            <rFont val="Tahoma"/>
            <family val="2"/>
          </rPr>
          <t>[hs] :</t>
        </r>
        <r>
          <rPr>
            <sz val="9"/>
            <color indexed="81"/>
            <rFont val="Tahoma"/>
            <family val="2"/>
          </rPr>
          <t xml:space="preserve">
age composition based on Old Adult Totals and age totals -- to be used with new adult totals, at least until new age totals are available.. 
2022-11-23</t>
        </r>
      </text>
    </comment>
    <comment ref="I1" authorId="0" shapeId="0" xr:uid="{F6922446-7F93-42B6-A504-35DA8957070D}">
      <text>
        <r>
          <rPr>
            <b/>
            <sz val="9"/>
            <color indexed="81"/>
            <rFont val="Tahoma"/>
            <family val="2"/>
          </rPr>
          <t>[hs] :</t>
        </r>
        <r>
          <rPr>
            <sz val="9"/>
            <color indexed="81"/>
            <rFont val="Tahoma"/>
            <family val="2"/>
          </rPr>
          <t xml:space="preserve">
age composition based on Old Adult Totals and age totals -- to be used with new adult totals, at least until new age totals are available.. 
2022-11-23</t>
        </r>
      </text>
    </comment>
    <comment ref="J1" authorId="0" shapeId="0" xr:uid="{E7354DA9-881A-4964-B03C-7BC3441DF505}">
      <text>
        <r>
          <rPr>
            <b/>
            <sz val="9"/>
            <color indexed="81"/>
            <rFont val="Tahoma"/>
            <family val="2"/>
          </rPr>
          <t>[hs] :</t>
        </r>
        <r>
          <rPr>
            <sz val="9"/>
            <color indexed="81"/>
            <rFont val="Tahoma"/>
            <family val="2"/>
          </rPr>
          <t xml:space="preserve">
age composition based on Old Adult Totals and age totals -- to be used with new adult totals, at least until new age totals are available.. 
2022-11-23</t>
        </r>
      </text>
    </comment>
    <comment ref="K1" authorId="0" shapeId="0" xr:uid="{AD4D1E7B-54FE-47BC-BC2D-043BC203E34A}">
      <text>
        <r>
          <rPr>
            <b/>
            <sz val="9"/>
            <color indexed="81"/>
            <rFont val="Tahoma"/>
            <family val="2"/>
          </rPr>
          <t>[hs] :</t>
        </r>
        <r>
          <rPr>
            <sz val="9"/>
            <color indexed="81"/>
            <rFont val="Tahoma"/>
            <family val="2"/>
          </rPr>
          <t xml:space="preserve">
age composition based on Old Adult Totals and age totals -- to be used with new adult totals, at least until new age totals are available.. 
2022-11-23</t>
        </r>
      </text>
    </comment>
    <comment ref="L1" authorId="0" shapeId="0" xr:uid="{5D5A825C-26FE-4624-AEBA-B1B7713DC274}">
      <text>
        <r>
          <rPr>
            <b/>
            <sz val="9"/>
            <color indexed="81"/>
            <rFont val="Tahoma"/>
            <family val="2"/>
          </rPr>
          <t>[hs] :</t>
        </r>
        <r>
          <rPr>
            <sz val="9"/>
            <color indexed="81"/>
            <rFont val="Tahoma"/>
            <family val="2"/>
          </rPr>
          <t xml:space="preserve">
age composition based on Old Adult Totals and age totals -- to be used with new adult totals, at least until new age totals are available.. 
2022-11-23</t>
        </r>
      </text>
    </comment>
    <comment ref="M1" authorId="0" shapeId="0" xr:uid="{0D0E87CC-ACDD-400F-970B-9DFA53DEC6B6}">
      <text>
        <r>
          <rPr>
            <b/>
            <sz val="9"/>
            <color indexed="81"/>
            <rFont val="Tahoma"/>
            <family val="2"/>
          </rPr>
          <t>[hs] :</t>
        </r>
        <r>
          <rPr>
            <sz val="9"/>
            <color indexed="81"/>
            <rFont val="Tahoma"/>
            <family val="2"/>
          </rPr>
          <t xml:space="preserve">
age composition based on Old Adult Totals and age totals -- to be used with new adult totals, at least until new age totals are available.. 
2022-11-23</t>
        </r>
      </text>
    </comment>
    <comment ref="N1" authorId="0" shapeId="0" xr:uid="{36C7772C-62A1-4E2D-BF88-B3DDC225BDEB}">
      <text>
        <r>
          <rPr>
            <b/>
            <sz val="9"/>
            <color indexed="81"/>
            <rFont val="Tahoma"/>
            <family val="2"/>
          </rPr>
          <t>[hs] :</t>
        </r>
        <r>
          <rPr>
            <sz val="9"/>
            <color indexed="81"/>
            <rFont val="Tahoma"/>
            <family val="2"/>
          </rPr>
          <t xml:space="preserve">
age composition based on Old Adult Totals and age totals -- to be used with new adult totals, at least until new age totals are available.. 
2022-11-23</t>
        </r>
      </text>
    </comment>
    <comment ref="O1" authorId="0" shapeId="0" xr:uid="{40ED5080-2360-4F2A-A98A-8296A9BEBFE3}">
      <text>
        <r>
          <rPr>
            <sz val="9"/>
            <color indexed="81"/>
            <rFont val="Tahoma"/>
            <family val="2"/>
          </rPr>
          <t xml:space="preserve">
Has this been checked by HS?</t>
        </r>
      </text>
    </comment>
    <comment ref="R1" authorId="0" shapeId="0" xr:uid="{52074DC0-EFD7-4F40-B36F-A73D6997D8EA}">
      <text>
        <r>
          <rPr>
            <sz val="9"/>
            <color indexed="81"/>
            <rFont val="Tahoma"/>
            <family val="2"/>
          </rPr>
          <t xml:space="preserve">[CB] : 
</t>
        </r>
        <r>
          <rPr>
            <i/>
            <sz val="9"/>
            <color indexed="81"/>
            <rFont val="Tahoma"/>
            <family val="2"/>
          </rPr>
          <t>This table is from Colin B's assessment of years requiring closer examination of age composition data sources.</t>
        </r>
        <r>
          <rPr>
            <sz val="9"/>
            <color indexed="81"/>
            <rFont val="Tahoma"/>
            <family val="2"/>
          </rPr>
          <t xml:space="preserve">
Table of decisions made with respect to best age composition for OK sox. In the absence of a meaningful difference between age composition sources, the age composition data sources were prioritized as follows:
1) Spawning Ground (biosample or deadpitch) (SIRE)
2) SPA/DNA/PIT analyses (Fryer)
3) Wells Dam Biosample
4) Fryer (thesis; pre-pit)
5) SIRE multi-year average
[CB} If age composition sources differed by greater than +/- 0.0999, age composition methods and data collection were highlighted and investigated for that year and the source with the largest sample size and least probablility of sampling issues was selected.
Yellow highlight = one source was clearly better than the other
Red highlight = missing second source reference material to make a call about which source is superior </t>
        </r>
        <r>
          <rPr>
            <b/>
            <sz val="9"/>
            <color indexed="81"/>
            <rFont val="Tahoma"/>
            <family val="2"/>
          </rPr>
          <t xml:space="preserve">
</t>
        </r>
        <r>
          <rPr>
            <sz val="9"/>
            <color indexed="81"/>
            <rFont val="Tahoma"/>
            <family val="2"/>
          </rPr>
          <t xml:space="preserve">
</t>
        </r>
      </text>
    </comment>
    <comment ref="V1" authorId="0" shapeId="0" xr:uid="{A7BDF1FC-26A3-4CA7-9E3F-5891331A3495}">
      <text>
        <r>
          <rPr>
            <b/>
            <sz val="9"/>
            <color indexed="81"/>
            <rFont val="Tahoma"/>
            <family val="2"/>
          </rPr>
          <t>[hs] : additional comments</t>
        </r>
      </text>
    </comment>
    <comment ref="B7" authorId="0" shapeId="0" xr:uid="{2BBB4F50-E2BA-48A2-A351-AB5E639E7B4E}">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B8" authorId="0" shapeId="0" xr:uid="{CBAA8A06-54F6-4809-AA1E-88E1DEFADAC4}">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B9" authorId="0" shapeId="0" xr:uid="{F4EE734A-16EE-45A4-BA61-58777B08E905}">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B10" authorId="0" shapeId="0" xr:uid="{23132B24-D1BE-442F-A1FD-8DE807555D87}">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B11" authorId="0" shapeId="0" xr:uid="{275BE7DB-401C-4248-9C85-B6697F02F269}">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G11" authorId="0" shapeId="0" xr:uid="{EEC165D9-C081-463B-A818-850014F7B447}">
      <text>
        <r>
          <rPr>
            <b/>
            <sz val="9"/>
            <color indexed="81"/>
            <rFont val="Tahoma"/>
            <family val="2"/>
          </rPr>
          <t>[hs] : 2022-11-26</t>
        </r>
        <r>
          <rPr>
            <sz val="9"/>
            <color indexed="81"/>
            <rFont val="Tahoma"/>
            <family val="2"/>
          </rPr>
          <t xml:space="preserve">
93.1% in Fryer Schwartzberg (1990), bumped up by 0.1% so total adds to 100%</t>
        </r>
      </text>
    </comment>
    <comment ref="B12" authorId="0" shapeId="0" xr:uid="{74310656-B9D7-4D1E-B19D-27248B520708}">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B13" authorId="0" shapeId="0" xr:uid="{CC26A7BA-8512-4E03-88F7-6D36AF742CEE}">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B14" authorId="0" shapeId="0" xr:uid="{BF63C005-5901-4E04-80A7-40B6152F1D7F}">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B15" authorId="0" shapeId="0" xr:uid="{375BD536-55DB-45D8-8924-547F05A0CD69}">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B16" authorId="0" shapeId="0" xr:uid="{AEABEF73-F90B-4B39-A35C-0D328C74A63A}">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B17" authorId="0" shapeId="0" xr:uid="{3D133D09-FAF7-4321-9BDD-BEE138B40F74}">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B18" authorId="0" shapeId="0" xr:uid="{5EAD7216-5BC1-4921-982F-B68F32B0E1C2}">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B19" authorId="0" shapeId="0" xr:uid="{980869B8-C2BA-4D5A-928E-29BA1F93B87D}">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B20" authorId="0" shapeId="0" xr:uid="{A6659852-F319-463B-9C90-98DD808A4972}">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B21" authorId="0" shapeId="0" xr:uid="{F5422F4D-FC3E-4FD1-B8F1-52594D0D8436}">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B22" authorId="0" shapeId="0" xr:uid="{ACE133C3-6436-4899-BB49-E0A7255D0017}">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O22" authorId="0" shapeId="0" xr:uid="{FCE6139F-E875-4AD6-874E-338507D5D20C}">
      <text>
        <r>
          <rPr>
            <sz val="9"/>
            <color indexed="81"/>
            <rFont val="Tahoma"/>
            <family val="2"/>
          </rPr>
          <t>Lower Ok River dead-pitch data QA/QC'd by BJ - 2023-03-14</t>
        </r>
      </text>
    </comment>
    <comment ref="B23" authorId="0" shapeId="0" xr:uid="{94CEC674-948F-4EDA-AD14-A68B6EBFBEFA}">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O23" authorId="0" shapeId="0" xr:uid="{BCF60726-5DB8-42B7-83A8-18A5A3AE43AB}">
      <text>
        <r>
          <rPr>
            <sz val="9"/>
            <color indexed="81"/>
            <rFont val="Tahoma"/>
            <family val="2"/>
          </rPr>
          <t>Lower Ok River dead-pitch data QA/QC'd by BJ - 2023-03-14</t>
        </r>
      </text>
    </comment>
    <comment ref="B24" authorId="0" shapeId="0" xr:uid="{29953886-8253-4C52-841E-F1BA2947E3C9}">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O24" authorId="0" shapeId="0" xr:uid="{CB5AF893-2FC9-4129-96A9-0CC119E40151}">
      <text>
        <r>
          <rPr>
            <sz val="9"/>
            <color indexed="81"/>
            <rFont val="Tahoma"/>
            <family val="2"/>
          </rPr>
          <t>Lower Ok River dead-pitch data QA/QC'd by BJ - 2023-03-14</t>
        </r>
      </text>
    </comment>
    <comment ref="B25" authorId="0" shapeId="0" xr:uid="{5011FE5D-D480-450A-B944-CBF317BFC532}">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L25" authorId="0" shapeId="0" xr:uid="{6509296E-D9C3-4773-9231-F65010B414CC}">
      <text>
        <r>
          <rPr>
            <b/>
            <sz val="9"/>
            <color indexed="81"/>
            <rFont val="Tahoma"/>
            <family val="2"/>
          </rPr>
          <t>[hs] :</t>
        </r>
        <r>
          <rPr>
            <sz val="9"/>
            <color indexed="81"/>
            <rFont val="Tahoma"/>
            <family val="2"/>
          </rPr>
          <t xml:space="preserve">
Fryer found 0.9% 2.3s - not in ONA S.G., probably lumped with 1.3s ?</t>
        </r>
      </text>
    </comment>
    <comment ref="M25" authorId="0" shapeId="0" xr:uid="{93870CC5-EF64-4E2F-88F4-63233DEDF45F}">
      <text>
        <r>
          <rPr>
            <b/>
            <sz val="9"/>
            <color indexed="81"/>
            <rFont val="Tahoma"/>
            <family val="2"/>
          </rPr>
          <t>[hs] :</t>
        </r>
        <r>
          <rPr>
            <sz val="9"/>
            <color indexed="81"/>
            <rFont val="Tahoma"/>
            <family val="2"/>
          </rPr>
          <t xml:space="preserve">
Fryer found 10% 3.1s - not in ONA S.G., probably lumped with 1.3s ?</t>
        </r>
      </text>
    </comment>
    <comment ref="O25" authorId="0" shapeId="0" xr:uid="{A15E9C8F-26B1-40B0-8014-BDC6DD42C7A7}">
      <text>
        <r>
          <rPr>
            <sz val="9"/>
            <color indexed="81"/>
            <rFont val="Tahoma"/>
            <family val="2"/>
          </rPr>
          <t>Lower Ok River dead-pitch data QA/QC'd by BJ - 2023-03-14</t>
        </r>
      </text>
    </comment>
    <comment ref="B26" authorId="0" shapeId="0" xr:uid="{A0EF5186-6821-449C-9F39-2ADABD42EB77}">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M26" authorId="0" shapeId="0" xr:uid="{5A35E547-4E2A-4A61-B231-D6AD0F90B4D2}">
      <text>
        <r>
          <rPr>
            <b/>
            <sz val="9"/>
            <color indexed="81"/>
            <rFont val="Tahoma"/>
            <family val="2"/>
          </rPr>
          <t>[hs] :</t>
        </r>
        <r>
          <rPr>
            <sz val="9"/>
            <color indexed="81"/>
            <rFont val="Tahoma"/>
            <family val="2"/>
          </rPr>
          <t xml:space="preserve">
Fryer found 1.8% 3.1s - not in ONA S.G., probably lumped with 1.3s ?</t>
        </r>
      </text>
    </comment>
    <comment ref="O26" authorId="0" shapeId="0" xr:uid="{80C48826-0755-4DF0-9F38-14A2A9D6EF4E}">
      <text>
        <r>
          <rPr>
            <sz val="9"/>
            <color indexed="81"/>
            <rFont val="Tahoma"/>
            <family val="2"/>
          </rPr>
          <t>Lower Ok River dead-pitch data QA/QC'd by BJ - 2023-03-14</t>
        </r>
      </text>
    </comment>
    <comment ref="B27" authorId="0" shapeId="0" xr:uid="{9721026F-15DD-4403-9C69-E646849A427F}">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L27" authorId="0" shapeId="0" xr:uid="{8FBC42C6-62CD-4781-AA92-A80CD465BBDC}">
      <text>
        <r>
          <rPr>
            <b/>
            <sz val="9"/>
            <color indexed="81"/>
            <rFont val="Tahoma"/>
            <family val="2"/>
          </rPr>
          <t>[hs] :</t>
        </r>
        <r>
          <rPr>
            <sz val="9"/>
            <color indexed="81"/>
            <rFont val="Tahoma"/>
            <family val="2"/>
          </rPr>
          <t xml:space="preserve">
Fryer found 2% 2.3s - not in ONA S.G., probably lumped with 1.3s ?</t>
        </r>
      </text>
    </comment>
    <comment ref="O27" authorId="0" shapeId="0" xr:uid="{BD8D1860-08C6-4B87-986F-7C654AA868C2}">
      <text>
        <r>
          <rPr>
            <sz val="9"/>
            <color indexed="81"/>
            <rFont val="Tahoma"/>
            <family val="2"/>
          </rPr>
          <t>Lower Ok River dead-pitch data QA/QC'd by BJ - 2023-03-14</t>
        </r>
      </text>
    </comment>
    <comment ref="B28" authorId="0" shapeId="0" xr:uid="{553CA07A-8389-402D-B3B7-AD8545BD12B2}">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O28" authorId="0" shapeId="0" xr:uid="{1EA521B3-773A-4E19-BC8D-DA19E80FF615}">
      <text>
        <r>
          <rPr>
            <sz val="9"/>
            <color indexed="81"/>
            <rFont val="Tahoma"/>
            <family val="2"/>
          </rPr>
          <t>Lower Ok River dead-pitch data QA/QC'd by BJ - 2023-03-14</t>
        </r>
      </text>
    </comment>
    <comment ref="B29" authorId="0" shapeId="0" xr:uid="{5D8AD0A2-1D98-443C-AE61-A487E3F62DA8}">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O29" authorId="0" shapeId="0" xr:uid="{51E4EA30-A65D-4543-ADB7-89DE38D37C09}">
      <text>
        <r>
          <rPr>
            <sz val="9"/>
            <color indexed="81"/>
            <rFont val="Tahoma"/>
            <family val="2"/>
          </rPr>
          <t>Lower Ok River dead-pitch data QA/QC'd by BJ - 2023-03-14</t>
        </r>
      </text>
    </comment>
    <comment ref="B30" authorId="0" shapeId="0" xr:uid="{DC12567D-60C0-44B1-9DAA-1EE3090CE2DE}">
      <text>
        <r>
          <rPr>
            <b/>
            <sz val="9"/>
            <color indexed="81"/>
            <rFont val="Tahoma"/>
            <family val="2"/>
          </rPr>
          <t>[hs] :</t>
        </r>
        <r>
          <rPr>
            <sz val="9"/>
            <color indexed="81"/>
            <rFont val="Tahoma"/>
            <family val="2"/>
          </rPr>
          <t xml:space="preserve">
Estimated returns with H-O (Skaha) removed based on deadpitch ratio in Okanagan River (SEIS) [from Colin Bailey 2023-01-08]</t>
        </r>
      </text>
    </comment>
    <comment ref="O30" authorId="0" shapeId="0" xr:uid="{68A4DAAD-4DD9-4B94-8C82-5EDFE643B059}">
      <text>
        <r>
          <rPr>
            <sz val="9"/>
            <color indexed="81"/>
            <rFont val="Tahoma"/>
            <family val="2"/>
          </rPr>
          <t>Lower Ok River dead-pitch data QA/QC'd by BJ - 2023-03-14</t>
        </r>
      </text>
    </comment>
    <comment ref="B31" authorId="0" shapeId="0" xr:uid="{944034E7-66B6-4D53-BE2A-ACB63AB49AD9}">
      <text>
        <r>
          <rPr>
            <b/>
            <sz val="9"/>
            <color indexed="81"/>
            <rFont val="Tahoma"/>
            <family val="2"/>
          </rPr>
          <t>[hs] :</t>
        </r>
        <r>
          <rPr>
            <sz val="9"/>
            <color indexed="81"/>
            <rFont val="Tahoma"/>
            <family val="2"/>
          </rPr>
          <t xml:space="preserve">
Estimated returns with H-O (Skaha) removed based on deadpitch ratio in Okanagan River (SEIS) [from Colin Bailey 2023-01-08]</t>
        </r>
      </text>
    </comment>
    <comment ref="O31" authorId="0" shapeId="0" xr:uid="{68B54261-6272-4734-9CAF-328F7053BB6A}">
      <text>
        <r>
          <rPr>
            <sz val="9"/>
            <color indexed="81"/>
            <rFont val="Tahoma"/>
            <family val="2"/>
          </rPr>
          <t>Lower Ok River dead-pitch data QA/QC'd by BJ - 2023-03-14</t>
        </r>
      </text>
    </comment>
    <comment ref="B32" authorId="0" shapeId="0" xr:uid="{434FE7E6-F91C-47C3-AF16-3B2B8B5A3942}">
      <text>
        <r>
          <rPr>
            <b/>
            <sz val="9"/>
            <color indexed="81"/>
            <rFont val="Tahoma"/>
            <family val="2"/>
          </rPr>
          <t>[hs] :</t>
        </r>
        <r>
          <rPr>
            <sz val="9"/>
            <color indexed="81"/>
            <rFont val="Tahoma"/>
            <family val="2"/>
          </rPr>
          <t xml:space="preserve">
Estimated returns with H-O (Skaha) removed based on deadpitch ratio in Okanagan River (SEIS) [from Colin Bailey 2023-01-08]</t>
        </r>
      </text>
    </comment>
    <comment ref="O32" authorId="0" shapeId="0" xr:uid="{96BA3A8B-DEA7-408C-865A-28D2CBD921F1}">
      <text>
        <r>
          <rPr>
            <sz val="9"/>
            <color indexed="81"/>
            <rFont val="Tahoma"/>
            <family val="2"/>
          </rPr>
          <t>Lower Ok River dead-pitch data QA/QC'd by BJ - 2023-03-14</t>
        </r>
      </text>
    </comment>
    <comment ref="B33" authorId="0" shapeId="0" xr:uid="{B2938A21-5794-4ECC-B6B4-10D8A4970C1C}">
      <text>
        <r>
          <rPr>
            <b/>
            <sz val="9"/>
            <color indexed="81"/>
            <rFont val="Tahoma"/>
            <family val="2"/>
          </rPr>
          <t>[hs] :</t>
        </r>
        <r>
          <rPr>
            <sz val="9"/>
            <color indexed="81"/>
            <rFont val="Tahoma"/>
            <family val="2"/>
          </rPr>
          <t xml:space="preserve">
Estimated returns with H-O (Skaha) removed based on deadpitch ratio in Okanagan River (SEIS) [from Colin Bailey 2023-01-08]</t>
        </r>
      </text>
    </comment>
    <comment ref="O33" authorId="0" shapeId="0" xr:uid="{5086EDA9-23FA-4E3A-98D3-8A39CFBC89CE}">
      <text>
        <r>
          <rPr>
            <sz val="9"/>
            <color indexed="81"/>
            <rFont val="Tahoma"/>
            <family val="2"/>
          </rPr>
          <t>Lower Ok River dead-pitch data QA/QC'd by BJ - 2023-03-14</t>
        </r>
      </text>
    </comment>
    <comment ref="B34" authorId="0" shapeId="0" xr:uid="{4B04BFB8-FCED-4516-ACF3-5807279A3815}">
      <text>
        <r>
          <rPr>
            <b/>
            <sz val="9"/>
            <color indexed="81"/>
            <rFont val="Tahoma"/>
            <family val="2"/>
          </rPr>
          <t>[hs] :</t>
        </r>
        <r>
          <rPr>
            <sz val="9"/>
            <color indexed="81"/>
            <rFont val="Tahoma"/>
            <family val="2"/>
          </rPr>
          <t xml:space="preserve">
Estimated returns with H-O (Skaha) removed based on deadpitch ratio in Okanagan River (SEIS) [from Colin Bailey 2023-01-08]</t>
        </r>
      </text>
    </comment>
    <comment ref="O34" authorId="0" shapeId="0" xr:uid="{80619879-76CD-4AA6-B3E9-7BB5C374E3C4}">
      <text>
        <r>
          <rPr>
            <sz val="9"/>
            <color indexed="81"/>
            <rFont val="Tahoma"/>
            <family val="2"/>
          </rPr>
          <t>Lower Ok River dead-pitch data QA/QC'd by BJ - 2023-03-14</t>
        </r>
      </text>
    </comment>
    <comment ref="B35" authorId="0" shapeId="0" xr:uid="{205A8205-5CC4-421D-9FF0-A33F68129389}">
      <text>
        <r>
          <rPr>
            <b/>
            <sz val="9"/>
            <color indexed="81"/>
            <rFont val="Tahoma"/>
            <family val="2"/>
          </rPr>
          <t xml:space="preserve">[hs] : 2023-01-09
</t>
        </r>
        <r>
          <rPr>
            <sz val="9"/>
            <color indexed="81"/>
            <rFont val="Tahoma"/>
            <family val="2"/>
          </rPr>
          <t xml:space="preserve">Skaha Sockeye estimates from Penticton Channel now subtracted from returns estimates 2013-present, as well as H-O fish estimates spawningi n SEIS (based on deadpitch ratios in lower Okanagan River (n/a prior to 2013 - Colin Bailey 22.01.08), to remove all H-O contributions to total returns estimate for N-O (wild) Osoyoos Sockeye. 
See tab </t>
        </r>
        <r>
          <rPr>
            <b/>
            <sz val="9"/>
            <color indexed="81"/>
            <rFont val="Tahoma"/>
            <family val="2"/>
          </rPr>
          <t>Hatchery-Origin Returns</t>
        </r>
      </text>
    </comment>
    <comment ref="C35" authorId="0" shapeId="0" xr:uid="{34610C7B-F316-4056-A79B-DD0E77412E89}">
      <text>
        <r>
          <rPr>
            <b/>
            <sz val="9"/>
            <color indexed="81"/>
            <rFont val="Tahoma"/>
            <family val="2"/>
          </rPr>
          <t xml:space="preserve">[hs] : 2023-01-01
</t>
        </r>
        <r>
          <rPr>
            <sz val="9"/>
            <color indexed="81"/>
            <rFont val="Tahoma"/>
            <family val="2"/>
          </rPr>
          <t xml:space="preserve">Skaha Sockeye estimates now subtracted from returns estimates 2013-present, to remove H-O contributions to total returns estimate for Osoyoos Sockeye. 
See tab </t>
        </r>
        <r>
          <rPr>
            <b/>
            <sz val="9"/>
            <color indexed="81"/>
            <rFont val="Tahoma"/>
            <family val="2"/>
          </rPr>
          <t>Hatchery-Origin Returns</t>
        </r>
      </text>
    </comment>
    <comment ref="O35" authorId="0" shapeId="0" xr:uid="{5632E200-E098-4E47-9C61-C909E2160748}">
      <text>
        <r>
          <rPr>
            <sz val="9"/>
            <color indexed="81"/>
            <rFont val="Tahoma"/>
            <family val="2"/>
          </rPr>
          <t>Lower Ok River dead-pitch data QA/QC'd by BJ - 2023-03-14</t>
        </r>
      </text>
    </comment>
    <comment ref="B36" authorId="0" shapeId="0" xr:uid="{AE587F88-44F7-4AD5-806E-14B186ABA98D}">
      <text>
        <r>
          <rPr>
            <b/>
            <sz val="9"/>
            <color indexed="81"/>
            <rFont val="Tahoma"/>
            <family val="2"/>
          </rPr>
          <t xml:space="preserve">[hs] : 2023-01-09
</t>
        </r>
        <r>
          <rPr>
            <sz val="9"/>
            <color indexed="81"/>
            <rFont val="Tahoma"/>
            <family val="2"/>
          </rPr>
          <t xml:space="preserve">Skaha Sockeye estimates from Penticton Channel now subtracted from returns estimates 2013-present, as well as H-O fish estimates spawningi n SEIS (based on deadpitch ratios in lower Okanagan River (n/a prior to 2013 - Colin Bailey 22.01.08), to remove all H-O contributions to total returns estimate for N-O (wild) Osoyoos Sockeye. 
See tab </t>
        </r>
        <r>
          <rPr>
            <b/>
            <sz val="9"/>
            <color indexed="81"/>
            <rFont val="Tahoma"/>
            <family val="2"/>
          </rPr>
          <t>Hatchery-Origin Returns</t>
        </r>
      </text>
    </comment>
    <comment ref="C36" authorId="0" shapeId="0" xr:uid="{FD786FC5-AB87-476A-9370-6C6AEE1D4A66}">
      <text>
        <r>
          <rPr>
            <b/>
            <sz val="9"/>
            <color indexed="81"/>
            <rFont val="Tahoma"/>
            <family val="2"/>
          </rPr>
          <t xml:space="preserve">[hs] : 2023-01-01
</t>
        </r>
        <r>
          <rPr>
            <sz val="9"/>
            <color indexed="81"/>
            <rFont val="Tahoma"/>
            <family val="2"/>
          </rPr>
          <t xml:space="preserve">Skaha Sockeye estimates now subtracted from returns estimates 2013-present, to remove H-O contributions to total returns estimate for Osoyoos Sockeye. 
See tab </t>
        </r>
        <r>
          <rPr>
            <b/>
            <sz val="9"/>
            <color indexed="81"/>
            <rFont val="Tahoma"/>
            <family val="2"/>
          </rPr>
          <t>Hatchery-Origin Returns</t>
        </r>
      </text>
    </comment>
    <comment ref="O36" authorId="0" shapeId="0" xr:uid="{EA89BCA4-11D3-41EB-9D06-7120A6D01521}">
      <text>
        <r>
          <rPr>
            <sz val="9"/>
            <color indexed="81"/>
            <rFont val="Tahoma"/>
            <family val="2"/>
          </rPr>
          <t>Lower Ok River dead-pitch data QA/QC'd by BJ - 2023-03-14</t>
        </r>
      </text>
    </comment>
    <comment ref="B37" authorId="0" shapeId="0" xr:uid="{B6A6257F-906F-467D-A189-CFDE98930FCD}">
      <text>
        <r>
          <rPr>
            <b/>
            <sz val="9"/>
            <color indexed="81"/>
            <rFont val="Tahoma"/>
            <family val="2"/>
          </rPr>
          <t xml:space="preserve">[hs] : 2023-01-09
</t>
        </r>
        <r>
          <rPr>
            <sz val="9"/>
            <color indexed="81"/>
            <rFont val="Tahoma"/>
            <family val="2"/>
          </rPr>
          <t xml:space="preserve">Skaha Sockeye estimates from Penticton Channel now subtracted from returns estimates 2013-present, as well as H-O fish estimates spawningi n SEIS (based on deadpitch ratios in lower Okanagan River (n/a prior to 2013 - Colin Bailey 22.01.08), to remove all H-O contributions to total returns estimate for N-O (wild) Osoyoos Sockeye. 
See tab </t>
        </r>
        <r>
          <rPr>
            <b/>
            <sz val="9"/>
            <color indexed="81"/>
            <rFont val="Tahoma"/>
            <family val="2"/>
          </rPr>
          <t>Hatchery-Origin Returns</t>
        </r>
      </text>
    </comment>
    <comment ref="C37" authorId="0" shapeId="0" xr:uid="{240E9837-9A72-4CF5-9B94-E83CC4F11A85}">
      <text>
        <r>
          <rPr>
            <b/>
            <sz val="9"/>
            <color indexed="81"/>
            <rFont val="Tahoma"/>
            <family val="2"/>
          </rPr>
          <t xml:space="preserve">[hs] : 2023-01-01
</t>
        </r>
        <r>
          <rPr>
            <sz val="9"/>
            <color indexed="81"/>
            <rFont val="Tahoma"/>
            <family val="2"/>
          </rPr>
          <t xml:space="preserve">Skaha Sockeye estimates now subtracted from returns estimates 2013-present, to remove H-O contributions to total returns estimate for Osoyoos Sockeye. 
See tab </t>
        </r>
        <r>
          <rPr>
            <b/>
            <sz val="9"/>
            <color indexed="81"/>
            <rFont val="Tahoma"/>
            <family val="2"/>
          </rPr>
          <t>Hatchery-Origin Returns</t>
        </r>
      </text>
    </comment>
    <comment ref="O37" authorId="0" shapeId="0" xr:uid="{0B5B9B49-E999-4440-AF1D-092F31D10DF6}">
      <text>
        <r>
          <rPr>
            <sz val="9"/>
            <color indexed="81"/>
            <rFont val="Tahoma"/>
            <family val="2"/>
          </rPr>
          <t>Lower Ok River dead-pitch data QA/QC'd by BJ - 2023-03-14</t>
        </r>
      </text>
    </comment>
    <comment ref="B38" authorId="0" shapeId="0" xr:uid="{BED78454-3674-4F62-83D0-38CAEBE72241}">
      <text>
        <r>
          <rPr>
            <b/>
            <sz val="9"/>
            <color indexed="81"/>
            <rFont val="Tahoma"/>
            <family val="2"/>
          </rPr>
          <t xml:space="preserve">[hs] : 2023-01-09
</t>
        </r>
        <r>
          <rPr>
            <sz val="9"/>
            <color indexed="81"/>
            <rFont val="Tahoma"/>
            <family val="2"/>
          </rPr>
          <t xml:space="preserve">Skaha Sockeye estimates from Penticton Channel now subtracted from returns estimates 2013-present, as well as H-O fish estimates spawningi n SEIS (based on deadpitch ratios in lower Okanagan River (n/a prior to 2013 - Colin Bailey 22.01.08), to remove all H-O contributions to total returns estimate for N-O (wild) Osoyoos Sockeye. 
See tab </t>
        </r>
        <r>
          <rPr>
            <b/>
            <sz val="9"/>
            <color indexed="81"/>
            <rFont val="Tahoma"/>
            <family val="2"/>
          </rPr>
          <t>Hatchery-Origin Returns</t>
        </r>
      </text>
    </comment>
    <comment ref="C38" authorId="0" shapeId="0" xr:uid="{17A5AA4D-9643-43D2-B16C-03E38D4DF1AB}">
      <text>
        <r>
          <rPr>
            <b/>
            <sz val="9"/>
            <color indexed="81"/>
            <rFont val="Tahoma"/>
            <family val="2"/>
          </rPr>
          <t xml:space="preserve">[hs] : 2023-01-01
</t>
        </r>
        <r>
          <rPr>
            <sz val="9"/>
            <color indexed="81"/>
            <rFont val="Tahoma"/>
            <family val="2"/>
          </rPr>
          <t xml:space="preserve">Skaha Sockeye estimates now subtracted from returns estimates 2013-present, to remove H-O contributions to total returns estimate for Osoyoos Sockeye. 
See tab </t>
        </r>
        <r>
          <rPr>
            <b/>
            <sz val="9"/>
            <color indexed="81"/>
            <rFont val="Tahoma"/>
            <family val="2"/>
          </rPr>
          <t>Hatchery-Origin Returns</t>
        </r>
      </text>
    </comment>
    <comment ref="O38" authorId="0" shapeId="0" xr:uid="{72D5C278-6D91-4A95-80F7-364F5709676A}">
      <text>
        <r>
          <rPr>
            <sz val="9"/>
            <color indexed="81"/>
            <rFont val="Tahoma"/>
            <family val="2"/>
          </rPr>
          <t>Lower Ok River dead-pitch data QA/QC'd by BJ - 2023-03-14</t>
        </r>
      </text>
    </comment>
    <comment ref="B39" authorId="0" shapeId="0" xr:uid="{9869D04A-41FE-418E-93EE-CC322C0E331D}">
      <text>
        <r>
          <rPr>
            <b/>
            <sz val="9"/>
            <color indexed="81"/>
            <rFont val="Tahoma"/>
            <family val="2"/>
          </rPr>
          <t xml:space="preserve">[hs] : 2023-01-09
</t>
        </r>
        <r>
          <rPr>
            <sz val="9"/>
            <color indexed="81"/>
            <rFont val="Tahoma"/>
            <family val="2"/>
          </rPr>
          <t xml:space="preserve">Skaha Sockeye estimates from Penticton Channel now subtracted from returns estimates 2013-present, as well as H-O fish estimates spawningi n SEIS (based on deadpitch ratios in lower Okanagan River (n/a prior to 2013 - Colin Bailey 22.01.08), to remove all H-O contributions to total returns estimate for N-O (wild) Osoyoos Sockeye. 
See tab </t>
        </r>
        <r>
          <rPr>
            <b/>
            <sz val="9"/>
            <color indexed="81"/>
            <rFont val="Tahoma"/>
            <family val="2"/>
          </rPr>
          <t>Hatchery-Origin Returns</t>
        </r>
      </text>
    </comment>
    <comment ref="C39" authorId="0" shapeId="0" xr:uid="{4122892D-D74E-44C2-970B-FF0964A708D5}">
      <text>
        <r>
          <rPr>
            <b/>
            <sz val="9"/>
            <color indexed="81"/>
            <rFont val="Tahoma"/>
            <family val="2"/>
          </rPr>
          <t xml:space="preserve">[hs] : 2023-01-01
</t>
        </r>
        <r>
          <rPr>
            <sz val="9"/>
            <color indexed="81"/>
            <rFont val="Tahoma"/>
            <family val="2"/>
          </rPr>
          <t xml:space="preserve">Skaha Sockeye estimates now subtracted from returns estimates 2013-present, to remove H-O contributions to total returns estimate for Osoyoos Sockeye. 
See tab </t>
        </r>
        <r>
          <rPr>
            <b/>
            <sz val="9"/>
            <color indexed="81"/>
            <rFont val="Tahoma"/>
            <family val="2"/>
          </rPr>
          <t>Hatchery-Origin Returns</t>
        </r>
      </text>
    </comment>
    <comment ref="O39" authorId="0" shapeId="0" xr:uid="{EEF6C950-D029-432D-8A86-68F18B9F6040}">
      <text>
        <r>
          <rPr>
            <sz val="9"/>
            <color indexed="81"/>
            <rFont val="Tahoma"/>
            <family val="2"/>
          </rPr>
          <t>Lower Ok River dead-pitch data QA/QC'd by BJ - 2023-03-14</t>
        </r>
      </text>
    </comment>
    <comment ref="B40" authorId="0" shapeId="0" xr:uid="{8DE42A86-8293-438A-8D37-66E3F252C87E}">
      <text>
        <r>
          <rPr>
            <b/>
            <sz val="9"/>
            <color indexed="81"/>
            <rFont val="Tahoma"/>
            <family val="2"/>
          </rPr>
          <t xml:space="preserve">[hs] : 2023-01-09
</t>
        </r>
        <r>
          <rPr>
            <sz val="9"/>
            <color indexed="81"/>
            <rFont val="Tahoma"/>
            <family val="2"/>
          </rPr>
          <t xml:space="preserve">Skaha Sockeye estimates from Penticton Channel now subtracted from returns estimates 2013-present, as well as H-O fish estimates spawningi n SEIS (based on deadpitch ratios in lower Okanagan River (n/a prior to 2013 - Colin Bailey 22.01.08), to remove all H-O contributions to total returns estimate for N-O (wild) Osoyoos Sockeye. 
See tab </t>
        </r>
        <r>
          <rPr>
            <b/>
            <sz val="9"/>
            <color indexed="81"/>
            <rFont val="Tahoma"/>
            <family val="2"/>
          </rPr>
          <t>Hatchery-Origin Returns</t>
        </r>
      </text>
    </comment>
    <comment ref="C40" authorId="0" shapeId="0" xr:uid="{F223B437-864E-4077-89C5-24FD5C30EE1F}">
      <text>
        <r>
          <rPr>
            <b/>
            <sz val="9"/>
            <color indexed="81"/>
            <rFont val="Tahoma"/>
            <family val="2"/>
          </rPr>
          <t xml:space="preserve">[hs] : 2023-01-01
</t>
        </r>
        <r>
          <rPr>
            <sz val="9"/>
            <color indexed="81"/>
            <rFont val="Tahoma"/>
            <family val="2"/>
          </rPr>
          <t xml:space="preserve">Skaha Sockeye estimates now subtracted from returns estimates 2013-present, to remove H-O contributions to total returns estimate for Osoyoos Sockeye. 
See tab </t>
        </r>
        <r>
          <rPr>
            <b/>
            <sz val="9"/>
            <color indexed="81"/>
            <rFont val="Tahoma"/>
            <family val="2"/>
          </rPr>
          <t>Hatchery-Origin Returns</t>
        </r>
      </text>
    </comment>
    <comment ref="O40" authorId="0" shapeId="0" xr:uid="{D1D6FF1C-F61D-419A-8C0E-2935C24120A6}">
      <text>
        <r>
          <rPr>
            <sz val="9"/>
            <color indexed="81"/>
            <rFont val="Tahoma"/>
            <family val="2"/>
          </rPr>
          <t>Lower Ok River dead-pitch data QA/QC'd by BJ - 2023-03-14</t>
        </r>
      </text>
    </comment>
    <comment ref="B41" authorId="0" shapeId="0" xr:uid="{D684A89E-29F1-4A49-AB22-0C64AB038A73}">
      <text>
        <r>
          <rPr>
            <b/>
            <sz val="9"/>
            <color indexed="81"/>
            <rFont val="Tahoma"/>
            <family val="2"/>
          </rPr>
          <t xml:space="preserve">[hs] : 2023-01-09
</t>
        </r>
        <r>
          <rPr>
            <sz val="9"/>
            <color indexed="81"/>
            <rFont val="Tahoma"/>
            <family val="2"/>
          </rPr>
          <t xml:space="preserve">Skaha Sockeye estimates from Penticton Channel now subtracted from returns estimates 2013-present, as well as H-O fish estimates spawningi n SEIS (based on deadpitch ratios in lower Okanagan River (n/a prior to 2013 - Colin Bailey 22.01.08), to remove all H-O contributions to total returns estimate for N-O (wild) Osoyoos Sockeye. 
See tab </t>
        </r>
        <r>
          <rPr>
            <b/>
            <sz val="9"/>
            <color indexed="81"/>
            <rFont val="Tahoma"/>
            <family val="2"/>
          </rPr>
          <t>Hatchery-Origin Returns</t>
        </r>
      </text>
    </comment>
    <comment ref="C41" authorId="0" shapeId="0" xr:uid="{E3567FD8-34D8-4BF3-B858-BF8B54264EF8}">
      <text>
        <r>
          <rPr>
            <b/>
            <sz val="9"/>
            <color indexed="81"/>
            <rFont val="Tahoma"/>
            <family val="2"/>
          </rPr>
          <t xml:space="preserve">[hs] : 2023-01-01
</t>
        </r>
        <r>
          <rPr>
            <sz val="9"/>
            <color indexed="81"/>
            <rFont val="Tahoma"/>
            <family val="2"/>
          </rPr>
          <t xml:space="preserve">Skaha Sockeye estimates now subtracted from returns estimates 2013-present, to remove H-O contributions to total returns estimate for Osoyoos Sockeye. 
See tab </t>
        </r>
        <r>
          <rPr>
            <b/>
            <sz val="9"/>
            <color indexed="81"/>
            <rFont val="Tahoma"/>
            <family val="2"/>
          </rPr>
          <t>Hatchery-Origin Returns</t>
        </r>
      </text>
    </comment>
    <comment ref="O41" authorId="0" shapeId="0" xr:uid="{13D3C1FB-0728-4CFC-9EFE-FC3F647378B6}">
      <text>
        <r>
          <rPr>
            <sz val="9"/>
            <color indexed="81"/>
            <rFont val="Tahoma"/>
            <family val="2"/>
          </rPr>
          <t>Lower Ok River dead-pitch data QA/QC'd by BJ - 2023-03-14</t>
        </r>
      </text>
    </comment>
    <comment ref="B42" authorId="0" shapeId="0" xr:uid="{DA3818D2-C778-4044-8497-90870E4821F6}">
      <text>
        <r>
          <rPr>
            <b/>
            <sz val="9"/>
            <color indexed="81"/>
            <rFont val="Tahoma"/>
            <family val="2"/>
          </rPr>
          <t xml:space="preserve">[hs] : 2023-01-09
</t>
        </r>
        <r>
          <rPr>
            <sz val="9"/>
            <color indexed="81"/>
            <rFont val="Tahoma"/>
            <family val="2"/>
          </rPr>
          <t xml:space="preserve">Skaha Sockeye estimates from Penticton Channel now subtracted from returns estimates 2013-present, as well as H-O fish estimates spawningi n SEIS (based on deadpitch ratios in lower Okanagan River (n/a prior to 2013 - Colin Bailey 22.01.08), to remove all H-O contributions to total returns estimate for N-O (wild) Osoyoos Sockeye. 
See tab </t>
        </r>
        <r>
          <rPr>
            <b/>
            <sz val="9"/>
            <color indexed="81"/>
            <rFont val="Tahoma"/>
            <family val="2"/>
          </rPr>
          <t>Hatchery-Origin Returns</t>
        </r>
      </text>
    </comment>
    <comment ref="C42" authorId="0" shapeId="0" xr:uid="{C7F14B65-339F-4D0E-BA9A-E6D0A2B349B2}">
      <text>
        <r>
          <rPr>
            <b/>
            <sz val="9"/>
            <color indexed="81"/>
            <rFont val="Tahoma"/>
            <family val="2"/>
          </rPr>
          <t xml:space="preserve">[hs] : 2023-01-01
</t>
        </r>
        <r>
          <rPr>
            <sz val="9"/>
            <color indexed="81"/>
            <rFont val="Tahoma"/>
            <family val="2"/>
          </rPr>
          <t xml:space="preserve">Skaha Sockeye estimates now subtracted from returns estimates 2013-present, to remove H-O contributions to total returns estimate for Osoyoos Sockeye. 
See tab </t>
        </r>
        <r>
          <rPr>
            <b/>
            <sz val="9"/>
            <color indexed="81"/>
            <rFont val="Tahoma"/>
            <family val="2"/>
          </rPr>
          <t>Hatchery-Origin Returns</t>
        </r>
      </text>
    </comment>
    <comment ref="O42" authorId="0" shapeId="0" xr:uid="{4737F546-1540-4044-B415-12FD24A10499}">
      <text>
        <r>
          <rPr>
            <sz val="9"/>
            <color indexed="81"/>
            <rFont val="Tahoma"/>
            <family val="2"/>
          </rPr>
          <t>Lower Ok River dead-pitch data QA/QC'd by BJ - 2023-03-14</t>
        </r>
      </text>
    </comment>
    <comment ref="B43" authorId="0" shapeId="0" xr:uid="{1EE2E841-795D-4415-8712-3A89C779A52E}">
      <text>
        <r>
          <rPr>
            <b/>
            <sz val="9"/>
            <color indexed="81"/>
            <rFont val="Tahoma"/>
            <family val="2"/>
          </rPr>
          <t xml:space="preserve">[hs] : 2023-01-09
</t>
        </r>
        <r>
          <rPr>
            <sz val="9"/>
            <color indexed="81"/>
            <rFont val="Tahoma"/>
            <family val="2"/>
          </rPr>
          <t xml:space="preserve">Skaha Sockeye estimates from Penticton Channel now subtracted from returns estimates 2013-present, as well as H-O fish estimates spawningi n SEIS (based on deadpitch ratios in lower Okanagan River (n/a prior to 2013 - Colin Bailey 22.01.08), to remove all H-O contributions to total returns estimate for N-O (wild) Osoyoos Sockeye. 
See tab </t>
        </r>
        <r>
          <rPr>
            <b/>
            <sz val="9"/>
            <color indexed="81"/>
            <rFont val="Tahoma"/>
            <family val="2"/>
          </rPr>
          <t>Hatchery-Origin Returns</t>
        </r>
      </text>
    </comment>
    <comment ref="C43" authorId="0" shapeId="0" xr:uid="{BF475ABB-C4F7-4F7D-B2E3-A144EFCA3945}">
      <text>
        <r>
          <rPr>
            <b/>
            <sz val="9"/>
            <color indexed="81"/>
            <rFont val="Tahoma"/>
            <family val="2"/>
          </rPr>
          <t xml:space="preserve">[hs] : 2023-01-01
</t>
        </r>
        <r>
          <rPr>
            <sz val="9"/>
            <color indexed="81"/>
            <rFont val="Tahoma"/>
            <family val="2"/>
          </rPr>
          <t xml:space="preserve">Skaha Sockeye estimates now subtracted from returns estimates 2013-present, to remove H-O contributions to total returns estimate for Osoyoos Sockeye. 
See tab </t>
        </r>
        <r>
          <rPr>
            <b/>
            <sz val="9"/>
            <color indexed="81"/>
            <rFont val="Tahoma"/>
            <family val="2"/>
          </rPr>
          <t>Hatchery-Origin Returns</t>
        </r>
      </text>
    </comment>
    <comment ref="O43" authorId="0" shapeId="0" xr:uid="{30B42869-10EB-4157-A5AF-4AB46CFEFF1F}">
      <text>
        <r>
          <rPr>
            <sz val="9"/>
            <color indexed="81"/>
            <rFont val="Tahoma"/>
            <family val="2"/>
          </rPr>
          <t>Lower Ok River dead-pitch data QA/QC'd by BJ - 2023-03-14</t>
        </r>
      </text>
    </comment>
    <comment ref="B44" authorId="0" shapeId="0" xr:uid="{862EBD2E-10EF-409E-9424-9CF0D1B7C7DE}">
      <text>
        <r>
          <rPr>
            <b/>
            <sz val="9"/>
            <color indexed="81"/>
            <rFont val="Tahoma"/>
            <family val="2"/>
          </rPr>
          <t xml:space="preserve">[hs] : 2023-01-09
</t>
        </r>
        <r>
          <rPr>
            <sz val="9"/>
            <color indexed="81"/>
            <rFont val="Tahoma"/>
            <family val="2"/>
          </rPr>
          <t xml:space="preserve">Skaha Sockeye estimates from Penticton Channel now subtracted from returns estimates 2013-present, as well as H-O fish estimates spawningi n SEIS (based on deadpitch ratios in lower Okanagan River (n/a prior to 2013 - Colin Bailey 22.01.08), to remove all H-O contributions to total returns estimate for N-O (wild) Osoyoos Sockeye. 
See tab </t>
        </r>
        <r>
          <rPr>
            <b/>
            <sz val="9"/>
            <color indexed="81"/>
            <rFont val="Tahoma"/>
            <family val="2"/>
          </rPr>
          <t>Hatchery-Origin Returns</t>
        </r>
      </text>
    </comment>
    <comment ref="C44" authorId="0" shapeId="0" xr:uid="{87387611-5D45-4850-A463-BE831C8F71B4}">
      <text>
        <r>
          <rPr>
            <b/>
            <sz val="9"/>
            <color indexed="81"/>
            <rFont val="Tahoma"/>
            <family val="2"/>
          </rPr>
          <t xml:space="preserve">[hs] : 2023-01-01
</t>
        </r>
        <r>
          <rPr>
            <sz val="9"/>
            <color indexed="81"/>
            <rFont val="Tahoma"/>
            <family val="2"/>
          </rPr>
          <t xml:space="preserve">Skaha Sockeye estimates now subtracted from returns estimates 2013-present, to remove H-O contributions to total returns estimate for Osoyoos Sockeye. 
See tab </t>
        </r>
        <r>
          <rPr>
            <b/>
            <sz val="9"/>
            <color indexed="81"/>
            <rFont val="Tahoma"/>
            <family val="2"/>
          </rPr>
          <t>Hatchery-Origin Returns</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HS</author>
  </authors>
  <commentList>
    <comment ref="A1" authorId="0" shapeId="0" xr:uid="{782D3EA3-BBEA-4034-93C4-C65B63478432}">
      <text>
        <r>
          <rPr>
            <sz val="9"/>
            <color indexed="81"/>
            <rFont val="Tahoma"/>
            <family val="2"/>
          </rPr>
          <t>Sockeye population (CU) name</t>
        </r>
      </text>
    </comment>
    <comment ref="B1" authorId="0" shapeId="0" xr:uid="{4AD3DEFB-32C6-495B-BB8A-F6E6DE7AA33F}">
      <text>
        <r>
          <rPr>
            <sz val="9"/>
            <color indexed="81"/>
            <rFont val="Tahoma"/>
            <family val="2"/>
          </rPr>
          <t>Year of seaward migration</t>
        </r>
      </text>
    </comment>
    <comment ref="C1" authorId="0" shapeId="0" xr:uid="{5C309064-D4EE-409D-AA35-6FC4AD4BA09E}">
      <text>
        <r>
          <rPr>
            <sz val="9"/>
            <color indexed="81"/>
            <rFont val="Tahoma"/>
            <family val="2"/>
          </rPr>
          <t>Total smolts (all ages)</t>
        </r>
      </text>
    </comment>
    <comment ref="D1" authorId="0" shapeId="0" xr:uid="{0999C710-5F28-441F-BBE4-F6D3097FA132}">
      <text>
        <r>
          <rPr>
            <sz val="9"/>
            <color indexed="81"/>
            <rFont val="Tahoma"/>
            <family val="2"/>
          </rPr>
          <t>Total adult returns (all ages), including harvest, escapement, hatchery broodstock, in-river mortality estimates.</t>
        </r>
      </text>
    </comment>
    <comment ref="E1" authorId="0" shapeId="0" xr:uid="{DEAF609A-F442-4CB4-8E47-ABE5CAE16926}">
      <text>
        <r>
          <rPr>
            <sz val="9"/>
            <color indexed="81"/>
            <rFont val="Tahoma"/>
            <family val="2"/>
          </rPr>
          <t>Marine survival - calculated field</t>
        </r>
      </text>
    </comment>
    <comment ref="F1" authorId="0" shapeId="0" xr:uid="{CF59067E-AC01-481A-A9A1-7E896579C78C}">
      <text>
        <r>
          <rPr>
            <sz val="9"/>
            <color indexed="81"/>
            <rFont val="Tahoma"/>
            <family val="2"/>
          </rPr>
          <t>Total adult returns (all ages), including harvest, escapement, hatchery broodstock, in-river mortality estimates.</t>
        </r>
      </text>
    </comment>
    <comment ref="G1" authorId="0" shapeId="0" xr:uid="{3E92D780-E165-4B49-8B6F-3BA0D7F30077}">
      <text>
        <r>
          <rPr>
            <sz val="9"/>
            <color indexed="81"/>
            <rFont val="Tahoma"/>
            <family val="2"/>
          </rPr>
          <t>Marine survival - calculated field</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HS</author>
    <author xml:space="preserve">[hs] </author>
  </authors>
  <commentList>
    <comment ref="A1" authorId="0" shapeId="0" xr:uid="{E01BE4BF-80BA-4CF3-B4C6-0DD9AA290374}">
      <text>
        <r>
          <rPr>
            <sz val="9"/>
            <color indexed="81"/>
            <rFont val="Tahoma"/>
            <family val="2"/>
          </rPr>
          <t>Sockeye population (CU) name</t>
        </r>
      </text>
    </comment>
    <comment ref="B1" authorId="0" shapeId="0" xr:uid="{0C8EDABD-4A84-4703-8289-69038106477A}">
      <text>
        <r>
          <rPr>
            <sz val="9"/>
            <color indexed="81"/>
            <rFont val="Tahoma"/>
            <family val="2"/>
          </rPr>
          <t>Year of seaward migration</t>
        </r>
      </text>
    </comment>
    <comment ref="C1" authorId="0" shapeId="0" xr:uid="{3F881FF4-843E-4FC5-9681-3679809D1DB7}">
      <text>
        <r>
          <rPr>
            <sz val="9"/>
            <color indexed="81"/>
            <rFont val="Tahoma"/>
            <family val="2"/>
          </rPr>
          <t>Total smolts (all ages)</t>
        </r>
      </text>
    </comment>
    <comment ref="D1" authorId="0" shapeId="0" xr:uid="{9B86E5ED-F1B9-4C5F-A100-E551777835D1}">
      <text>
        <r>
          <rPr>
            <sz val="9"/>
            <color indexed="81"/>
            <rFont val="Tahoma"/>
            <family val="2"/>
          </rPr>
          <t>Total adult returns (all ages), including harvest, escapement, hatchery broodstock, in-river mortality estimates.</t>
        </r>
      </text>
    </comment>
    <comment ref="E1" authorId="0" shapeId="0" xr:uid="{82B4937A-EFEC-4087-AA5C-3FFAAE6DED03}">
      <text>
        <r>
          <rPr>
            <sz val="9"/>
            <color indexed="81"/>
            <rFont val="Tahoma"/>
            <family val="2"/>
          </rPr>
          <t>Marine survival - calculated field</t>
        </r>
      </text>
    </comment>
    <comment ref="K7" authorId="1" shapeId="0" xr:uid="{4D916A3F-96EB-47D2-8858-6F872731F9EA}">
      <text>
        <r>
          <rPr>
            <b/>
            <sz val="9"/>
            <color indexed="81"/>
            <rFont val="Tahoma"/>
            <family val="2"/>
          </rPr>
          <t>[hs] :</t>
        </r>
        <r>
          <rPr>
            <sz val="9"/>
            <color indexed="81"/>
            <rFont val="Tahoma"/>
            <family val="2"/>
          </rPr>
          <t xml:space="preserve">
based on data from OCI conditions and survival from 1998</t>
        </r>
      </text>
    </comment>
    <comment ref="M7" authorId="1" shapeId="0" xr:uid="{BE671AA0-E5B7-455C-B50A-5F64CCC57871}">
      <text>
        <r>
          <rPr>
            <b/>
            <sz val="9"/>
            <color indexed="81"/>
            <rFont val="Tahoma"/>
            <family val="2"/>
          </rPr>
          <t>[hs] :</t>
        </r>
        <r>
          <rPr>
            <sz val="9"/>
            <color indexed="81"/>
            <rFont val="Tahoma"/>
            <family val="2"/>
          </rPr>
          <t xml:space="preserve">
based on data from OCI conditions and survival from 2006 ('restoration years')</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DFO</author>
    <author>Howard Stiff</author>
    <author>HS</author>
    <author>Stiff, Howard</author>
    <author>Howard Stiff (DFO)</author>
    <author xml:space="preserve">[hs] </author>
    <author>tc={42B5370C-9C94-493D-A306-C461B4AEBCB5}</author>
    <author>tc={6669782B-7F58-4FE5-B91C-013AF5B5DA5D}</author>
  </authors>
  <commentList>
    <comment ref="A1" authorId="0" shapeId="0" xr:uid="{9967CAED-8739-4C87-B78C-DA93968E17E1}">
      <text>
        <r>
          <rPr>
            <b/>
            <sz val="9"/>
            <color indexed="81"/>
            <rFont val="Tahoma"/>
            <family val="2"/>
          </rPr>
          <t xml:space="preserve">DFO:  Source: 
Margot Stockwell
Ok_Sox_Total_Rtns to Wells.xlsx [19.04.10]
</t>
        </r>
      </text>
    </comment>
    <comment ref="F1" authorId="1" shapeId="0" xr:uid="{E25E4F6E-9864-44C4-83AC-BFEED83447F9}">
      <text>
        <r>
          <rPr>
            <b/>
            <sz val="9"/>
            <color indexed="81"/>
            <rFont val="Tahoma"/>
            <family val="2"/>
          </rPr>
          <t xml:space="preserve">Estimated Sockeye returning to Columbia River Mouth (all stocks)  </t>
        </r>
        <r>
          <rPr>
            <sz val="9"/>
            <color indexed="81"/>
            <rFont val="Tahoma"/>
            <family val="2"/>
          </rPr>
          <t>[2022-06-13]</t>
        </r>
        <r>
          <rPr>
            <b/>
            <sz val="9"/>
            <color indexed="81"/>
            <rFont val="Tahoma"/>
            <family val="2"/>
          </rPr>
          <t xml:space="preserve">
</t>
        </r>
        <r>
          <rPr>
            <sz val="9"/>
            <color indexed="81"/>
            <rFont val="Tahoma"/>
            <family val="2"/>
          </rPr>
          <t xml:space="preserve">
From OFW/WDFW 2022 Joint Staff Report Table 15 p.78
https://www.dfw.state.or.us/fish/OSCRP/CRM/reports/22_reports/2022%20OR_WA%20Spring%20Joint%20Staff%20Report.pdf </t>
        </r>
      </text>
    </comment>
    <comment ref="G1" authorId="2" shapeId="0" xr:uid="{B7213EA1-FFF8-4222-93BF-BD1501EA1A11}">
      <text>
        <r>
          <rPr>
            <b/>
            <sz val="9"/>
            <color indexed="81"/>
            <rFont val="Tahoma"/>
            <family val="2"/>
          </rPr>
          <t>HS: 2020 Sox = 341,739 [14/09/2020]</t>
        </r>
        <r>
          <rPr>
            <sz val="9"/>
            <color indexed="81"/>
            <rFont val="Tahoma"/>
            <family val="2"/>
          </rPr>
          <t xml:space="preserve">
https://www.fpc.org/web/apps/adultsalmon/R_adultcount_dataquery_results.php
https://www.fpc.org/web/apps/adultsalmon/R_yeartodatecomparisontable_results.php</t>
        </r>
      </text>
    </comment>
    <comment ref="H1" authorId="3" shapeId="0" xr:uid="{2F427C85-6268-4AAC-8A3F-6F10D86EEC51}">
      <text>
        <r>
          <rPr>
            <b/>
            <sz val="9"/>
            <color indexed="81"/>
            <rFont val="Tahoma"/>
            <family val="2"/>
          </rPr>
          <t>Rock Island from FPC.org</t>
        </r>
        <r>
          <rPr>
            <sz val="9"/>
            <color indexed="81"/>
            <rFont val="Tahoma"/>
            <family val="2"/>
          </rPr>
          <t xml:space="preserve">
</t>
        </r>
      </text>
    </comment>
    <comment ref="I1" authorId="2" shapeId="0" xr:uid="{6077FD44-25ED-4219-8AB6-53040E8BF635}">
      <text>
        <r>
          <rPr>
            <b/>
            <sz val="9"/>
            <color indexed="81"/>
            <rFont val="Tahoma"/>
            <family val="2"/>
          </rPr>
          <t>HS: 2020 Sox = 226,014 [14/09/2020]</t>
        </r>
        <r>
          <rPr>
            <sz val="9"/>
            <color indexed="81"/>
            <rFont val="Tahoma"/>
            <family val="2"/>
          </rPr>
          <t xml:space="preserve">
https://www.fpc.org/web/apps/adultsalmon/R_adultcount_dataquery_results.php
https://www.fpc.org/web/apps/adultsalmon/R_yeartodatecomparisontable_results.php
red text - minor changes to match FPC.org [16/09/2020]</t>
        </r>
      </text>
    </comment>
    <comment ref="J1" authorId="2" shapeId="0" xr:uid="{07539D64-EB28-4BC9-939F-0B55BB795186}">
      <text>
        <r>
          <rPr>
            <b/>
            <sz val="9"/>
            <color indexed="81"/>
            <rFont val="Tahoma"/>
            <family val="2"/>
          </rPr>
          <t>HS: 2020 Sox = 226,014 [14/09/2020]</t>
        </r>
        <r>
          <rPr>
            <sz val="9"/>
            <color indexed="81"/>
            <rFont val="Tahoma"/>
            <family val="2"/>
          </rPr>
          <t xml:space="preserve">
https://www.fpc.org/web/apps/adultsalmon/R_adultcount_dataquery_results.php
https://www.fpc.org/web/apps/adultsalmon/R_yeartodatecomparisontable_results.php
red text - minor changes to match FPC.org [16/09/2020]</t>
        </r>
      </text>
    </comment>
    <comment ref="K1" authorId="1" shapeId="0" xr:uid="{99884424-5932-46BA-AC5B-B5EFC9BD4096}">
      <text>
        <r>
          <rPr>
            <b/>
            <sz val="9"/>
            <color indexed="81"/>
            <rFont val="Tahoma"/>
            <family val="2"/>
          </rPr>
          <t xml:space="preserve">Estimated Okanagan Sockeye (aggregate) Returns
</t>
        </r>
        <r>
          <rPr>
            <sz val="9"/>
            <color indexed="81"/>
            <rFont val="Tahoma"/>
            <family val="2"/>
          </rPr>
          <t>from Column W in "Sockeye Returns Data" tab
Ok Sox at Mouth: This is the annual aggregate Ok Sox total recruits to the mouth of the Columbia River, based on:
- Wells Dam counts (adjusted to 24-hr counts) plus 
- downstream fishing mortality (F) and natural mortality (M) estimates, after application of Stock composition based on Wells:Rock ratio [2022-10-30]</t>
        </r>
      </text>
    </comment>
    <comment ref="L1" authorId="3" shapeId="0" xr:uid="{3D7875B2-7576-4E73-9969-6072526EA768}">
      <text>
        <r>
          <rPr>
            <sz val="9"/>
            <color indexed="81"/>
            <rFont val="Tahoma"/>
            <family val="2"/>
          </rPr>
          <t xml:space="preserve">based on </t>
        </r>
        <r>
          <rPr>
            <b/>
            <sz val="9"/>
            <color indexed="81"/>
            <rFont val="Tahoma"/>
            <family val="2"/>
          </rPr>
          <t>Bonn Counts</t>
        </r>
        <r>
          <rPr>
            <sz val="9"/>
            <color indexed="81"/>
            <rFont val="Tahoma"/>
            <family val="2"/>
          </rPr>
          <t xml:space="preserve"> (16-hr counts!) apportioned to stock from </t>
        </r>
        <r>
          <rPr>
            <b/>
            <sz val="9"/>
            <color indexed="81"/>
            <rFont val="Tahoma"/>
            <family val="2"/>
          </rPr>
          <t>Wells &amp; RI</t>
        </r>
        <r>
          <rPr>
            <sz val="9"/>
            <color indexed="81"/>
            <rFont val="Tahoma"/>
            <family val="2"/>
          </rPr>
          <t xml:space="preserve"> (Ok/Wen Ratio)</t>
        </r>
      </text>
    </comment>
    <comment ref="M1" authorId="3" shapeId="0" xr:uid="{30654761-7C35-403A-AD5A-184DFA6FC7ED}">
      <text>
        <r>
          <rPr>
            <sz val="9"/>
            <color indexed="81"/>
            <rFont val="Tahoma"/>
            <family val="2"/>
          </rPr>
          <t>Okanagan stock composition based on published info in CRITFC reports* 
May involve scale analysis in early years, and PIT tag / DNA analysis (GSI genetic stock identification) in more recent years.
* Fryer et al - reports annotated in cell comments for each return year</t>
        </r>
      </text>
    </comment>
    <comment ref="N1" authorId="3" shapeId="0" xr:uid="{40B5233C-77C5-4B36-87B2-B38A24E900BE}">
      <text>
        <r>
          <rPr>
            <sz val="9"/>
            <color indexed="81"/>
            <rFont val="Tahoma"/>
            <family val="2"/>
          </rPr>
          <t xml:space="preserve">based on </t>
        </r>
        <r>
          <rPr>
            <b/>
            <sz val="9"/>
            <color indexed="81"/>
            <rFont val="Tahoma"/>
            <family val="2"/>
          </rPr>
          <t>Bonn Counts</t>
        </r>
        <r>
          <rPr>
            <sz val="9"/>
            <color indexed="81"/>
            <rFont val="Tahoma"/>
            <family val="2"/>
          </rPr>
          <t xml:space="preserve"> apportioned to stock based on published  Ok/Wen/Other proportions from scale/PIT/DNA analyses, as found in www.CRITFC.org reports. </t>
        </r>
      </text>
    </comment>
    <comment ref="O1" authorId="2" shapeId="0" xr:uid="{FE6C3B44-5FAF-4B56-847C-E26160367F49}">
      <text>
        <r>
          <rPr>
            <b/>
            <sz val="9"/>
            <color indexed="81"/>
            <rFont val="Tahoma"/>
            <family val="2"/>
          </rPr>
          <t>HS:</t>
        </r>
        <r>
          <rPr>
            <sz val="9"/>
            <color indexed="81"/>
            <rFont val="Tahoma"/>
            <family val="2"/>
          </rPr>
          <t xml:space="preserve">
CR does not take into account harvest level below Wells</t>
        </r>
      </text>
    </comment>
    <comment ref="P1" authorId="3" shapeId="0" xr:uid="{C16C8D70-3CE7-462B-9743-F099B299CA13}">
      <text>
        <r>
          <rPr>
            <sz val="9"/>
            <color indexed="81"/>
            <rFont val="Tahoma"/>
            <family val="2"/>
          </rPr>
          <t xml:space="preserve">Okanagan component of catch below Wells [10/9/2020]
See Margot's CNAT_%Oksockeye in catch 2018.xlsx, column H for below Wells, column I for above Wells
</t>
        </r>
      </text>
    </comment>
    <comment ref="Q1" authorId="3" shapeId="0" xr:uid="{B2F61B2D-71B0-49BB-9227-E57EEAB280F0}">
      <text>
        <r>
          <rPr>
            <sz val="9"/>
            <color indexed="81"/>
            <rFont val="Tahoma"/>
            <family val="2"/>
          </rPr>
          <t>indicates relatively high proportion of in-river fishing mortality in 1985-1988 (Zones 1-6)</t>
        </r>
      </text>
    </comment>
    <comment ref="R1" authorId="3" shapeId="0" xr:uid="{A71BC085-7589-477F-B6D6-C0D6951C7196}">
      <text>
        <r>
          <rPr>
            <b/>
            <sz val="9"/>
            <color indexed="81"/>
            <rFont val="Tahoma"/>
            <family val="2"/>
          </rPr>
          <t>Includes catch below Wells (assuming Zones 1-6) apportioned to Okanagan based on OK Stock Comp 1 (Wells:Rock ratio)</t>
        </r>
        <r>
          <rPr>
            <sz val="9"/>
            <color indexed="81"/>
            <rFont val="Tahoma"/>
            <family val="2"/>
          </rPr>
          <t xml:space="preserve">
</t>
        </r>
      </text>
    </comment>
    <comment ref="S1" authorId="2" shapeId="0" xr:uid="{11C41EA6-0E9F-4F20-9194-459ED2B90C73}">
      <text>
        <r>
          <rPr>
            <b/>
            <sz val="9"/>
            <color indexed="81"/>
            <rFont val="Tahoma"/>
            <family val="2"/>
          </rPr>
          <t>HS:</t>
        </r>
        <r>
          <rPr>
            <sz val="9"/>
            <color indexed="81"/>
            <rFont val="Tahoma"/>
            <family val="2"/>
          </rPr>
          <t xml:space="preserve">
takes into account harvest level below Wells…more reasonable estimate of inter-dam survival related to environmental factors ?
</t>
        </r>
      </text>
    </comment>
    <comment ref="T1" authorId="4" shapeId="0" xr:uid="{9BFE2FC5-8B8B-4BED-B616-7DA3AE79F122}">
      <text>
        <r>
          <rPr>
            <sz val="9"/>
            <color indexed="81"/>
            <rFont val="Tahoma"/>
            <family val="2"/>
          </rPr>
          <t>Major ages are:
1.1 1.2 1.3 2.1 2.2 2.3
May contain 3.x in some years</t>
        </r>
      </text>
    </comment>
    <comment ref="W1" authorId="2" shapeId="0" xr:uid="{B7FA5A4F-B7AF-40D2-AF62-C30CF93C05C7}">
      <text>
        <r>
          <rPr>
            <b/>
            <sz val="9"/>
            <color indexed="81"/>
            <rFont val="Tahoma"/>
            <family val="2"/>
          </rPr>
          <t>HS:</t>
        </r>
        <r>
          <rPr>
            <sz val="9"/>
            <color indexed="81"/>
            <rFont val="Tahoma"/>
            <family val="2"/>
          </rPr>
          <t xml:space="preserve">
From JF email [20.09.18]
Since about 2007, JF used PIT tagged sockeye at Bonneville reaching the Okanagan to get age comp; before then it is normally Wells or spawning ground data.  
Other ages = 3.1, 4.1, or 3.2.  </t>
        </r>
      </text>
    </comment>
    <comment ref="Y1" authorId="2" shapeId="0" xr:uid="{B074BE7D-750F-4F75-B761-67C80CAE115B}">
      <text>
        <r>
          <rPr>
            <b/>
            <sz val="9"/>
            <color indexed="81"/>
            <rFont val="Tahoma"/>
            <family val="2"/>
          </rPr>
          <t>HS:</t>
        </r>
        <r>
          <rPr>
            <sz val="9"/>
            <color indexed="81"/>
            <rFont val="Tahoma"/>
            <family val="2"/>
          </rPr>
          <t xml:space="preserve">
age comp at Wells or above (Okanagan spawning grounds)
*NB: % of Returns at Age in GREY are all year averages from sheet "Ages_Abund_BrYr" 
- used for 1987 only [10/21/2020]</t>
        </r>
      </text>
    </comment>
    <comment ref="Z1" authorId="4" shapeId="0" xr:uid="{66728097-D184-453D-8B6F-27774A5E95E2}">
      <text>
        <r>
          <rPr>
            <sz val="9"/>
            <color indexed="81"/>
            <rFont val="Tahoma"/>
            <family val="2"/>
          </rPr>
          <t xml:space="preserve">Returns at age for Ok Sox. Age composition source/method varies from year-to-year. "Best" age comp method decided annually based on 'expert opinion'.  
Green cells indicated SIRE aging data used; 
Yellow cells indicate Fryer (CRITFC) aging data used. </t>
        </r>
      </text>
    </comment>
    <comment ref="AB1" authorId="2" shapeId="0" xr:uid="{5A6EE83A-F001-4AA6-9CB4-3FB8CDCD3662}">
      <text>
        <r>
          <rPr>
            <b/>
            <sz val="9"/>
            <color indexed="81"/>
            <rFont val="Tahoma"/>
            <family val="2"/>
          </rPr>
          <t>HS:</t>
        </r>
        <r>
          <rPr>
            <sz val="9"/>
            <color indexed="81"/>
            <rFont val="Tahoma"/>
            <family val="2"/>
          </rPr>
          <t xml:space="preserve">
Based on Bonn counts 
- apportioned to stock (OK Stock 1 (Bonn) [based on Wells:RI abund ratio], and 
- age (Age Comp Fryer)</t>
        </r>
      </text>
    </comment>
    <comment ref="AC1" authorId="2" shapeId="0" xr:uid="{F454B905-B5DE-4258-A05D-1503948160FC}">
      <text>
        <r>
          <rPr>
            <b/>
            <sz val="9"/>
            <color indexed="81"/>
            <rFont val="Tahoma"/>
            <family val="2"/>
          </rPr>
          <t>HS:</t>
        </r>
        <r>
          <rPr>
            <sz val="9"/>
            <color indexed="81"/>
            <rFont val="Tahoma"/>
            <family val="2"/>
          </rPr>
          <t xml:space="preserve">
Based on Bonn counts 
- apportioned to stock (OK Stock 1 (Bonn) [based on Scale/DNA/PIT studies if available, otherwise Wells/RI ratio], and 
- age (Age Comp Fryer)</t>
        </r>
      </text>
    </comment>
    <comment ref="AD1" authorId="2" shapeId="0" xr:uid="{E64E3339-5F67-4AEF-A8E4-8613D64438EB}">
      <text>
        <r>
          <rPr>
            <b/>
            <sz val="9"/>
            <color indexed="81"/>
            <rFont val="Tahoma"/>
            <family val="2"/>
          </rPr>
          <t>HS:</t>
        </r>
        <r>
          <rPr>
            <sz val="9"/>
            <color indexed="81"/>
            <rFont val="Tahoma"/>
            <family val="2"/>
          </rPr>
          <t xml:space="preserve">
Based on Bonn counts 
- apportioned to stock (OK Stock 1 (Bonn) [based on Wells:RI abund ratio], and 
- age (Age Comp SIRE)</t>
        </r>
      </text>
    </comment>
    <comment ref="AE1" authorId="3" shapeId="0" xr:uid="{91AA6D87-943B-429A-AFE8-B49BC0A2669B}">
      <text>
        <r>
          <rPr>
            <sz val="9"/>
            <color indexed="81"/>
            <rFont val="Tahoma"/>
            <family val="2"/>
          </rPr>
          <t xml:space="preserve">[HS 10/21/2020]
ABUNDANCE based on Bonn counts and downstream harvest apportioned to OK stock based on Wells:RI ratio
AGE COMP based on: 
1985-2000 : Fryer
2001         : SIRE
2002-2005 : Fryer
2006-2017 : SIRE
2018-2019 : Fryer/Bonn
</t>
        </r>
      </text>
    </comment>
    <comment ref="AF1" authorId="2" shapeId="0" xr:uid="{31E32D21-989D-4509-A628-BB7A6C23267F}">
      <text>
        <r>
          <rPr>
            <b/>
            <sz val="9"/>
            <color indexed="81"/>
            <rFont val="Tahoma"/>
            <family val="2"/>
          </rPr>
          <t>HS:</t>
        </r>
        <r>
          <rPr>
            <sz val="9"/>
            <color indexed="81"/>
            <rFont val="Tahoma"/>
            <family val="2"/>
          </rPr>
          <t xml:space="preserve">
Based on actual Wells counts</t>
        </r>
      </text>
    </comment>
    <comment ref="AG1" authorId="3" shapeId="0" xr:uid="{DFF6D485-2D66-4378-A28D-E98C0A5D0BF2}">
      <text>
        <r>
          <rPr>
            <sz val="9"/>
            <color indexed="81"/>
            <rFont val="Tahoma"/>
            <family val="2"/>
          </rPr>
          <t>Based on Wells Counts + portion of downstream catch apportioned to Okanagan based on Wells:Rock ratio</t>
        </r>
      </text>
    </comment>
    <comment ref="AI1" authorId="3" shapeId="0" xr:uid="{D90C072D-B372-4545-BA01-7CC1E0B5EC45}">
      <text>
        <r>
          <rPr>
            <sz val="9"/>
            <color indexed="81"/>
            <rFont val="Tahoma"/>
            <family val="2"/>
          </rPr>
          <t xml:space="preserve">Margot's notes about source of age composition data:  - 
Final abund at age based on year-specific age comp, in the following order, where available: 1. Spawning Ground (biosample or deadpitch) (SIRE); 2. SPA/DNA/PIT analyses (Fryer); 3. Wells Dam biosample; 4. Fryer (thesis; pre-PIT); 5. SIRE multi-year avg 
</t>
        </r>
      </text>
    </comment>
    <comment ref="Y2" authorId="3" shapeId="0" xr:uid="{91D29042-43E3-4973-848C-58A791F3F121}">
      <text>
        <r>
          <rPr>
            <sz val="9"/>
            <color indexed="81"/>
            <rFont val="Tahoma"/>
            <family val="2"/>
          </rPr>
          <t>Age-comp in grey is all-year average [MMS - OkSox_total_rtns to Wells_rY_OEY_BY 2019.04.10.xlsx]</t>
        </r>
      </text>
    </comment>
    <comment ref="Y7" authorId="3" shapeId="0" xr:uid="{9F34C2A2-0ECE-4D0A-B1BD-B88D320AE044}">
      <text>
        <r>
          <rPr>
            <sz val="9"/>
            <color indexed="81"/>
            <rFont val="Tahoma"/>
            <family val="2"/>
          </rPr>
          <t>Age-comp in grey is all-year average [MMS - OkSox_total_rtns to Wells_rY_OEY_BY 2019.04.10.xlsx]</t>
        </r>
      </text>
    </comment>
    <comment ref="Y12" authorId="3" shapeId="0" xr:uid="{D137B49C-24D5-4C58-B9FD-765212090FDD}">
      <text>
        <r>
          <rPr>
            <sz val="9"/>
            <color indexed="81"/>
            <rFont val="Tahoma"/>
            <family val="2"/>
          </rPr>
          <t>Age-comp in grey is all-year average [MMS - OkSox_total_rtns to Wells_rY_OEY_BY 2019.04.10.xlsx]</t>
        </r>
      </text>
    </comment>
    <comment ref="Y17" authorId="3" shapeId="0" xr:uid="{3E37865D-2E70-44AF-BF8C-382BF3066C14}">
      <text>
        <r>
          <rPr>
            <sz val="9"/>
            <color indexed="81"/>
            <rFont val="Tahoma"/>
            <family val="2"/>
          </rPr>
          <t>Age-comp in grey is all-year average [MMS - OkSox_total_rtns to Wells_rY_OEY_BY 2019.04.10.xlsx]</t>
        </r>
      </text>
    </comment>
    <comment ref="Y22" authorId="3" shapeId="0" xr:uid="{FFF2887A-AE32-4FA8-BF8C-930E9DE0DFD1}">
      <text>
        <r>
          <rPr>
            <sz val="9"/>
            <color indexed="81"/>
            <rFont val="Tahoma"/>
            <family val="2"/>
          </rPr>
          <t>Age-comp in grey is all-year average [MMS - OkSox_total_rtns to Wells_rY_OEY_BY 2019.04.10.xlsx]</t>
        </r>
      </text>
    </comment>
    <comment ref="Y27" authorId="3" shapeId="0" xr:uid="{259DB168-D1E1-4B46-BB60-73E07D95DE75}">
      <text>
        <r>
          <rPr>
            <sz val="9"/>
            <color indexed="81"/>
            <rFont val="Tahoma"/>
            <family val="2"/>
          </rPr>
          <t>Age-comp in grey is all-year average [MMS - OkSox_total_rtns to Wells_rY_OEY_BY 2019.04.10.xlsx]</t>
        </r>
      </text>
    </comment>
    <comment ref="W32" authorId="3" shapeId="0" xr:uid="{EC8D6E05-347F-43A3-8835-DBE1D529838D}">
      <text>
        <r>
          <rPr>
            <sz val="9"/>
            <color indexed="81"/>
            <rFont val="Tahoma"/>
            <family val="2"/>
          </rPr>
          <t>Fryer has no age-comp for RY1986.  Age-comp in grey is all-year average [MMS - OkSox_total_rtns to Wells_rY_OEY_BY 2019.04.10.xlsx]</t>
        </r>
      </text>
    </comment>
    <comment ref="M37" authorId="3" shapeId="0" xr:uid="{4463CD4C-3692-4B36-97D8-7B0DCEDD96CF}">
      <text>
        <r>
          <rPr>
            <sz val="9"/>
            <color indexed="81"/>
            <rFont val="Tahoma"/>
            <family val="2"/>
          </rPr>
          <t>https://www.critfc.org/wp-content/uploads/2013/05/93-2.pdf 
TABLE 5 and FIGURE 4</t>
        </r>
      </text>
    </comment>
    <comment ref="M42" authorId="3" shapeId="0" xr:uid="{8B5A15BC-9B80-435A-8435-A6CE602C3FAA}">
      <text>
        <r>
          <rPr>
            <sz val="9"/>
            <color indexed="81"/>
            <rFont val="Tahoma"/>
            <family val="2"/>
          </rPr>
          <t>https://www.critfc.org/wp-content/uploads/2013/05/93-2.pdf 
TABLE 5 and FIGURE 4</t>
        </r>
      </text>
    </comment>
    <comment ref="M47" authorId="3" shapeId="0" xr:uid="{2D0B00E8-F765-4887-88D1-EEE586824476}">
      <text>
        <r>
          <rPr>
            <sz val="9"/>
            <color indexed="81"/>
            <rFont val="Tahoma"/>
            <family val="2"/>
          </rPr>
          <t>https://www.critfc.org/wp-content/uploads/2013/05/93-2.pdf 
TABLE 5 and FIGURE 4</t>
        </r>
      </text>
    </comment>
    <comment ref="M52" authorId="3" shapeId="0" xr:uid="{CFADF58A-4703-45B5-87CA-B42FF11A46D7}">
      <text>
        <r>
          <rPr>
            <sz val="9"/>
            <color indexed="81"/>
            <rFont val="Tahoma"/>
            <family val="2"/>
          </rPr>
          <t>https://www.critfc.org/wp-content/uploads/2013/05/93-2.pdf 
TABLE 5 and FIGURE 4</t>
        </r>
      </text>
    </comment>
    <comment ref="M58" authorId="3" shapeId="0" xr:uid="{519AF7A2-20B5-4C21-BEF8-FE6B7723B0ED}">
      <text>
        <r>
          <rPr>
            <sz val="9"/>
            <color indexed="81"/>
            <rFont val="Tahoma"/>
            <family val="2"/>
          </rPr>
          <t>https://www.critfc.org/wp-content/uploads/2013/05/93-2.pdf 
TABLE 5 and FIGURE 4</t>
        </r>
      </text>
    </comment>
    <comment ref="Y58" authorId="5" shapeId="0" xr:uid="{123C6C7B-5466-49B9-B35A-E952910F89BB}">
      <text>
        <r>
          <rPr>
            <b/>
            <sz val="9"/>
            <color indexed="81"/>
            <rFont val="Tahoma"/>
            <family val="2"/>
          </rPr>
          <t>[hs] :</t>
        </r>
        <r>
          <rPr>
            <sz val="9"/>
            <color indexed="81"/>
            <rFont val="Tahoma"/>
            <family val="2"/>
          </rPr>
          <t xml:space="preserve">
old Fryer data that SiRE originally used</t>
        </r>
      </text>
    </comment>
    <comment ref="Y59" authorId="5" shapeId="0" xr:uid="{5A447542-C4D3-408C-9AAC-69A3E0FAC1DE}">
      <text>
        <r>
          <rPr>
            <b/>
            <sz val="9"/>
            <color indexed="81"/>
            <rFont val="Tahoma"/>
            <family val="2"/>
          </rPr>
          <t>[hs] :</t>
        </r>
        <r>
          <rPr>
            <sz val="9"/>
            <color indexed="81"/>
            <rFont val="Tahoma"/>
            <family val="2"/>
          </rPr>
          <t xml:space="preserve">
old Fryer data that SiRE originally used</t>
        </r>
      </text>
    </comment>
    <comment ref="Y60" authorId="5" shapeId="0" xr:uid="{DCB5463A-F8A0-4180-A591-17EDA4006A52}">
      <text>
        <r>
          <rPr>
            <b/>
            <sz val="9"/>
            <color indexed="81"/>
            <rFont val="Tahoma"/>
            <family val="2"/>
          </rPr>
          <t>[hs] :</t>
        </r>
        <r>
          <rPr>
            <sz val="9"/>
            <color indexed="81"/>
            <rFont val="Tahoma"/>
            <family val="2"/>
          </rPr>
          <t xml:space="preserve">
old Fryer data that SiRE originally used</t>
        </r>
      </text>
    </comment>
    <comment ref="Y61" authorId="5" shapeId="0" xr:uid="{5E2224A1-362A-4775-B68F-6CEC19F4EB15}">
      <text>
        <r>
          <rPr>
            <b/>
            <sz val="9"/>
            <color indexed="81"/>
            <rFont val="Tahoma"/>
            <family val="2"/>
          </rPr>
          <t>[hs] :</t>
        </r>
        <r>
          <rPr>
            <sz val="9"/>
            <color indexed="81"/>
            <rFont val="Tahoma"/>
            <family val="2"/>
          </rPr>
          <t xml:space="preserve">
old Fryer data that SiRE originally used</t>
        </r>
      </text>
    </comment>
    <comment ref="Y62" authorId="5" shapeId="0" xr:uid="{B033518D-F411-4267-B6B0-82C540847967}">
      <text>
        <r>
          <rPr>
            <b/>
            <sz val="9"/>
            <color indexed="81"/>
            <rFont val="Tahoma"/>
            <family val="2"/>
          </rPr>
          <t>[hs] :</t>
        </r>
        <r>
          <rPr>
            <sz val="9"/>
            <color indexed="81"/>
            <rFont val="Tahoma"/>
            <family val="2"/>
          </rPr>
          <t xml:space="preserve">
old Fryer data that SiRE originally used</t>
        </r>
      </text>
    </comment>
    <comment ref="Y63" authorId="5" shapeId="0" xr:uid="{0CAB4487-510B-4899-9C9F-237DFE1A3DCB}">
      <text>
        <r>
          <rPr>
            <b/>
            <sz val="9"/>
            <color indexed="81"/>
            <rFont val="Tahoma"/>
            <family val="2"/>
          </rPr>
          <t>[hs] :</t>
        </r>
        <r>
          <rPr>
            <sz val="9"/>
            <color indexed="81"/>
            <rFont val="Tahoma"/>
            <family val="2"/>
          </rPr>
          <t xml:space="preserve">
old Fryer data that SiRE originally used</t>
        </r>
      </text>
    </comment>
    <comment ref="M64" authorId="3" shapeId="0" xr:uid="{1410A7C5-9109-45AD-9707-7C90F82FBD13}">
      <text>
        <r>
          <rPr>
            <sz val="9"/>
            <color indexed="81"/>
            <rFont val="Tahoma"/>
            <family val="2"/>
          </rPr>
          <t>https://www.critfc.org/wp-content/uploads/2013/05/93-2.pdf 
TABLE 5 and FIGURE 4</t>
        </r>
      </text>
    </comment>
    <comment ref="Y64" authorId="5" shapeId="0" xr:uid="{0D2CF21F-B9FB-4A74-90BF-7085C7616817}">
      <text>
        <r>
          <rPr>
            <b/>
            <sz val="9"/>
            <color indexed="81"/>
            <rFont val="Tahoma"/>
            <family val="2"/>
          </rPr>
          <t>[hs] :</t>
        </r>
        <r>
          <rPr>
            <sz val="9"/>
            <color indexed="81"/>
            <rFont val="Tahoma"/>
            <family val="2"/>
          </rPr>
          <t xml:space="preserve">
old Fryer data that SiRE originally used</t>
        </r>
      </text>
    </comment>
    <comment ref="Y65" authorId="5" shapeId="0" xr:uid="{036A7BE8-7C49-4271-9222-E3B9705B4BB1}">
      <text>
        <r>
          <rPr>
            <b/>
            <sz val="9"/>
            <color indexed="81"/>
            <rFont val="Tahoma"/>
            <family val="2"/>
          </rPr>
          <t>[hs] :</t>
        </r>
        <r>
          <rPr>
            <sz val="9"/>
            <color indexed="81"/>
            <rFont val="Tahoma"/>
            <family val="2"/>
          </rPr>
          <t xml:space="preserve">
old Fryer data that SiRE originally used</t>
        </r>
      </text>
    </comment>
    <comment ref="Y66" authorId="5" shapeId="0" xr:uid="{33D93DBC-B62E-423B-A21C-DD309C7D87F8}">
      <text>
        <r>
          <rPr>
            <b/>
            <sz val="9"/>
            <color indexed="81"/>
            <rFont val="Tahoma"/>
            <family val="2"/>
          </rPr>
          <t>[hs] :</t>
        </r>
        <r>
          <rPr>
            <sz val="9"/>
            <color indexed="81"/>
            <rFont val="Tahoma"/>
            <family val="2"/>
          </rPr>
          <t xml:space="preserve">
old Fryer data that SiRE originally used</t>
        </r>
      </text>
    </comment>
    <comment ref="Y67" authorId="5" shapeId="0" xr:uid="{773DF6BA-33C3-4833-A577-E5FDA82F5976}">
      <text>
        <r>
          <rPr>
            <b/>
            <sz val="9"/>
            <color indexed="81"/>
            <rFont val="Tahoma"/>
            <family val="2"/>
          </rPr>
          <t>[hs] :</t>
        </r>
        <r>
          <rPr>
            <sz val="9"/>
            <color indexed="81"/>
            <rFont val="Tahoma"/>
            <family val="2"/>
          </rPr>
          <t xml:space="preserve">
old Fryer data that SiRE originally used</t>
        </r>
      </text>
    </comment>
    <comment ref="Y68" authorId="5" shapeId="0" xr:uid="{B7B2EA21-2C1E-46A1-8568-0C301EC63788}">
      <text>
        <r>
          <rPr>
            <b/>
            <sz val="9"/>
            <color indexed="81"/>
            <rFont val="Tahoma"/>
            <family val="2"/>
          </rPr>
          <t>[hs] :</t>
        </r>
        <r>
          <rPr>
            <sz val="9"/>
            <color indexed="81"/>
            <rFont val="Tahoma"/>
            <family val="2"/>
          </rPr>
          <t xml:space="preserve">
old Fryer data that SiRE originally used</t>
        </r>
      </text>
    </comment>
    <comment ref="M69" authorId="3" shapeId="0" xr:uid="{71329ADC-2E75-40D8-8125-199AA9EE0CB8}">
      <text>
        <r>
          <rPr>
            <sz val="9"/>
            <color indexed="81"/>
            <rFont val="Tahoma"/>
            <family val="2"/>
          </rPr>
          <t>https://www.critfc.org/wp-content/uploads/2015/05/94-2.pdf  TABLE 5</t>
        </r>
      </text>
    </comment>
    <comment ref="Y69" authorId="5" shapeId="0" xr:uid="{48FCE8E8-8880-43B6-98E0-5B0BD4C7D755}">
      <text>
        <r>
          <rPr>
            <b/>
            <sz val="9"/>
            <color indexed="81"/>
            <rFont val="Tahoma"/>
            <family val="2"/>
          </rPr>
          <t>[hs] :</t>
        </r>
        <r>
          <rPr>
            <sz val="9"/>
            <color indexed="81"/>
            <rFont val="Tahoma"/>
            <family val="2"/>
          </rPr>
          <t xml:space="preserve">
old Fryer data that SiRE originally used</t>
        </r>
      </text>
    </comment>
    <comment ref="Y70" authorId="5" shapeId="0" xr:uid="{C173210B-125D-4082-B8D3-306548B7FBB7}">
      <text>
        <r>
          <rPr>
            <b/>
            <sz val="9"/>
            <color indexed="81"/>
            <rFont val="Tahoma"/>
            <family val="2"/>
          </rPr>
          <t>[hs] :</t>
        </r>
        <r>
          <rPr>
            <sz val="9"/>
            <color indexed="81"/>
            <rFont val="Tahoma"/>
            <family val="2"/>
          </rPr>
          <t xml:space="preserve">
old Fryer data that SiRE originally used</t>
        </r>
      </text>
    </comment>
    <comment ref="Y71" authorId="5" shapeId="0" xr:uid="{8AA3420B-DB15-4B4C-903F-52620D9DA311}">
      <text>
        <r>
          <rPr>
            <b/>
            <sz val="9"/>
            <color indexed="81"/>
            <rFont val="Tahoma"/>
            <family val="2"/>
          </rPr>
          <t>[hs] :</t>
        </r>
        <r>
          <rPr>
            <sz val="9"/>
            <color indexed="81"/>
            <rFont val="Tahoma"/>
            <family val="2"/>
          </rPr>
          <t xml:space="preserve">
old Fryer data that SiRE originally used</t>
        </r>
      </text>
    </comment>
    <comment ref="Y72" authorId="5" shapeId="0" xr:uid="{3F27AAE5-0A97-4FAF-BF07-D6B501C62FB2}">
      <text>
        <r>
          <rPr>
            <b/>
            <sz val="9"/>
            <color indexed="81"/>
            <rFont val="Tahoma"/>
            <family val="2"/>
          </rPr>
          <t>[hs] :</t>
        </r>
        <r>
          <rPr>
            <sz val="9"/>
            <color indexed="81"/>
            <rFont val="Tahoma"/>
            <family val="2"/>
          </rPr>
          <t xml:space="preserve">
old Fryer data that SiRE originally used</t>
        </r>
      </text>
    </comment>
    <comment ref="Y73" authorId="5" shapeId="0" xr:uid="{B74D1CFB-95FF-4A2E-A809-54E9C5F7BD3F}">
      <text>
        <r>
          <rPr>
            <b/>
            <sz val="9"/>
            <color indexed="81"/>
            <rFont val="Tahoma"/>
            <family val="2"/>
          </rPr>
          <t>[hs] :</t>
        </r>
        <r>
          <rPr>
            <sz val="9"/>
            <color indexed="81"/>
            <rFont val="Tahoma"/>
            <family val="2"/>
          </rPr>
          <t xml:space="preserve">
old Fryer data that SiRE originally used</t>
        </r>
      </text>
    </comment>
    <comment ref="Y74" authorId="5" shapeId="0" xr:uid="{B2E07BE6-C8C4-4FA2-A6A9-DB5ADCB99BF5}">
      <text>
        <r>
          <rPr>
            <b/>
            <sz val="9"/>
            <color indexed="81"/>
            <rFont val="Tahoma"/>
            <family val="2"/>
          </rPr>
          <t>[hs] :</t>
        </r>
        <r>
          <rPr>
            <sz val="9"/>
            <color indexed="81"/>
            <rFont val="Tahoma"/>
            <family val="2"/>
          </rPr>
          <t xml:space="preserve">
old Fryer data that SiRE originally used</t>
        </r>
      </text>
    </comment>
    <comment ref="Y75" authorId="3" shapeId="0" xr:uid="{F7084D51-51C9-475F-8A6D-39FE54BC13B1}">
      <text>
        <r>
          <rPr>
            <sz val="9"/>
            <color indexed="81"/>
            <rFont val="Tahoma"/>
            <family val="2"/>
          </rPr>
          <t>Age-comp in grey is all-year average [MMS - OkSox_total_rtns to Wells_rY_OEY_BY 2019.04.10.xlsx]</t>
        </r>
      </text>
    </comment>
    <comment ref="Y85" authorId="3" shapeId="0" xr:uid="{A8B8936D-2591-4DA0-908D-88CA5DBC5E72}">
      <text>
        <r>
          <rPr>
            <sz val="9"/>
            <color indexed="81"/>
            <rFont val="Tahoma"/>
            <family val="2"/>
          </rPr>
          <t>Age-comp in grey is all-year average [MMS - OkSox_total_rtns to Wells_rY_OEY_BY 2019.04.10.xlsx]</t>
        </r>
      </text>
    </comment>
    <comment ref="Y90" authorId="3" shapeId="0" xr:uid="{7E4B8146-B608-4286-8D1D-4DA0EE1657D7}">
      <text>
        <r>
          <rPr>
            <sz val="9"/>
            <color indexed="81"/>
            <rFont val="Tahoma"/>
            <family val="2"/>
          </rPr>
          <t>Age-comp in grey is all-year average [MMS - OkSox_total_rtns to Wells_rY_OEY_BY 2019.04.10.xlsx]</t>
        </r>
      </text>
    </comment>
    <comment ref="Y95" authorId="3" shapeId="0" xr:uid="{5E92B895-8A2B-4D47-A47A-6DAB86278B2C}">
      <text>
        <r>
          <rPr>
            <sz val="9"/>
            <color indexed="81"/>
            <rFont val="Tahoma"/>
            <family val="2"/>
          </rPr>
          <t>Age-comp in grey is all-year average [MMS - OkSox_total_rtns to Wells_rY_OEY_BY 2019.04.10.xlsx]</t>
        </r>
      </text>
    </comment>
    <comment ref="Y100" authorId="3" shapeId="0" xr:uid="{7FC9C89A-53DC-4204-81AB-630A13C6C6DA}">
      <text>
        <r>
          <rPr>
            <sz val="9"/>
            <color indexed="81"/>
            <rFont val="Tahoma"/>
            <family val="2"/>
          </rPr>
          <t>Age-comp in grey is all-year average [MMS - OkSox_total_rtns to Wells_rY_OEY_BY 2019.04.10.xlsx]</t>
        </r>
      </text>
    </comment>
    <comment ref="M105" authorId="3" shapeId="0" xr:uid="{0E8C8497-53EA-473D-A3CD-028D4B2C8BC1}">
      <text>
        <r>
          <rPr>
            <sz val="9"/>
            <color indexed="81"/>
            <rFont val="Tahoma"/>
            <family val="2"/>
          </rPr>
          <t>https://www.critfc.org/blog/reports/identification-of-columbia-basin-sockeye-salmon-stocks-using-scale-pattern-analyses-in-2000/</t>
        </r>
      </text>
    </comment>
    <comment ref="M110" authorId="3" shapeId="0" xr:uid="{086E6B08-5CDB-4EB0-B035-861F84A6FF26}">
      <text>
        <r>
          <rPr>
            <sz val="9"/>
            <color indexed="81"/>
            <rFont val="Tahoma"/>
            <family val="2"/>
          </rPr>
          <t>https://www.critfc.org/blog/reports/identification-of-columbia-basin-sockeye-salmon-stocks-using-scale-pattern-analyses-in-2001/</t>
        </r>
      </text>
    </comment>
    <comment ref="M115" authorId="3" shapeId="0" xr:uid="{A6B5AA00-A838-4290-8FE2-B7E0DFE93594}">
      <text>
        <r>
          <rPr>
            <sz val="9"/>
            <color indexed="81"/>
            <rFont val="Tahoma"/>
            <family val="2"/>
          </rPr>
          <t>https://www.critfc.org/wp-content/uploads/2012/11/03_02report.pdf</t>
        </r>
      </text>
    </comment>
    <comment ref="AE115" authorId="3" shapeId="0" xr:uid="{B7D2AF53-9CE8-4428-8679-032984FED1B2}">
      <text>
        <r>
          <rPr>
            <sz val="9"/>
            <color indexed="81"/>
            <rFont val="Tahoma"/>
            <family val="2"/>
          </rPr>
          <t>Using Fryer a/c cuz SG estimates missing some ages, &amp; Fryer % supported by Wells %.... 10/19/2020</t>
        </r>
      </text>
    </comment>
    <comment ref="M121" authorId="3" shapeId="0" xr:uid="{06E3DB35-A4F7-49FD-A4F7-220312B63AD8}">
      <text>
        <r>
          <rPr>
            <sz val="9"/>
            <color indexed="81"/>
            <rFont val="Tahoma"/>
            <family val="2"/>
          </rPr>
          <t>https://www.critfc.org/blog/reports/identification-of-columbia-basin-sockeye-salmon-stocks-in-2003/</t>
        </r>
      </text>
    </comment>
    <comment ref="W121" authorId="2" shapeId="0" xr:uid="{5161FDCC-73EA-4B8B-8777-CE7110530528}">
      <text>
        <r>
          <rPr>
            <b/>
            <sz val="9"/>
            <color indexed="81"/>
            <rFont val="Tahoma"/>
            <family val="2"/>
          </rPr>
          <t>HS:</t>
        </r>
        <r>
          <rPr>
            <sz val="9"/>
            <color indexed="81"/>
            <rFont val="Tahoma"/>
            <family val="2"/>
          </rPr>
          <t xml:space="preserve">
Age 1.1 - 1.3 from Fryer who allocates 17.8 % to Other ie 3.1, 3.2, 4.1 ((2020.09.18)
3.1-4.1 from age comp weighted by run size from Miranda et al 2004. Table 5.  https://www.critfc.org/wp-content/uploads/2012/11/04_02report.pdf</t>
        </r>
      </text>
    </comment>
    <comment ref="W127" authorId="2" shapeId="0" xr:uid="{D55BA52A-076A-4CAE-AF4A-8E852095243D}">
      <text>
        <r>
          <rPr>
            <b/>
            <sz val="9"/>
            <color indexed="81"/>
            <rFont val="Tahoma"/>
            <family val="2"/>
          </rPr>
          <t>HS:</t>
        </r>
        <r>
          <rPr>
            <sz val="9"/>
            <color indexed="81"/>
            <rFont val="Tahoma"/>
            <family val="2"/>
          </rPr>
          <t xml:space="preserve">
Age 1.1 - 1.3 from Fryer who allocates 17.8 % to Other ie 3.1, 3.2, 4.1 ((2020.09.18)
3.1-4.1 from age comp weighted by run size from Miranda et al 2004. Table 5.  https://www.critfc.org/wp-content/uploads/2012/11/04_02report.pdf</t>
        </r>
      </text>
    </comment>
    <comment ref="M131" authorId="3" shapeId="0" xr:uid="{AC2FDBF3-109F-4F7B-8509-03C941111706}">
      <text>
        <r>
          <rPr>
            <sz val="9"/>
            <color indexed="81"/>
            <rFont val="Tahoma"/>
            <family val="2"/>
          </rPr>
          <t>https://www.critfc.org/blog/reports/identification-of-columbia-basin-sockeye-salmon-stocks-in-2004/</t>
        </r>
      </text>
    </comment>
    <comment ref="M138" authorId="3" shapeId="0" xr:uid="{62AFB518-8BFB-4690-803C-796A70B92FDD}">
      <text>
        <r>
          <rPr>
            <sz val="9"/>
            <color indexed="81"/>
            <rFont val="Tahoma"/>
            <family val="2"/>
          </rPr>
          <t>https://www.critfc.org/blog/reports/identification-of-columbia-basin-sockeye-salmon-stocks-in-2005/</t>
        </r>
      </text>
    </comment>
    <comment ref="M144" authorId="3" shapeId="0" xr:uid="{407101C3-B6D9-4F46-AF8B-3FB211D53194}">
      <text>
        <r>
          <rPr>
            <sz val="9"/>
            <color indexed="81"/>
            <rFont val="Tahoma"/>
            <family val="2"/>
          </rPr>
          <t xml:space="preserve">https://www.critfc.org/blog/reports/identification-of-columbia-basin-sockeye-salmon-stocks-using-scale-pattern-analyses-in-2006/
</t>
        </r>
      </text>
    </comment>
    <comment ref="M150" authorId="3" shapeId="0" xr:uid="{14D74D1C-061A-4ECC-A236-8C24978CA6BD}">
      <text>
        <r>
          <rPr>
            <sz val="9"/>
            <color indexed="81"/>
            <rFont val="Tahoma"/>
            <family val="2"/>
          </rPr>
          <t>From CRITFC 2007 report supplied by JF [20.10.09]</t>
        </r>
      </text>
    </comment>
    <comment ref="M156" authorId="3" shapeId="0" xr:uid="{8653484B-0F4C-47F9-A02F-166A6E8644DE}">
      <text>
        <r>
          <rPr>
            <sz val="9"/>
            <color indexed="81"/>
            <rFont val="Tahoma"/>
            <family val="2"/>
          </rPr>
          <t>From CRITFC 2008 report supplied by JF [20.10.09]</t>
        </r>
      </text>
    </comment>
    <comment ref="M161" authorId="3" shapeId="0" xr:uid="{5D70E35B-0391-4B93-B444-D7B958F0567F}">
      <text>
        <r>
          <rPr>
            <sz val="9"/>
            <color indexed="81"/>
            <rFont val="Tahoma"/>
            <family val="2"/>
          </rPr>
          <t>https://www.critfc.org/blog/reports/studies-into-factors-limiting-the-abundance-of-okanagan-and-wenatchee-sockeye-salmon/</t>
        </r>
      </text>
    </comment>
    <comment ref="M167" authorId="3" shapeId="0" xr:uid="{2BDEDFA3-1A8C-470C-AC22-61A2FDDA3E8D}">
      <text>
        <r>
          <rPr>
            <sz val="9"/>
            <color indexed="81"/>
            <rFont val="Tahoma"/>
            <family val="2"/>
          </rPr>
          <t>https://www.critfc.org/blog/reports/limiting-factors-of-the-abundance-of-okanagan-and-wenatchee-sockeye-salmon-in-2010/</t>
        </r>
      </text>
    </comment>
    <comment ref="M172" authorId="3" shapeId="0" xr:uid="{57046CDF-996B-4B0C-B0BC-A11C2AA309A1}">
      <text>
        <r>
          <rPr>
            <sz val="9"/>
            <color indexed="81"/>
            <rFont val="Tahoma"/>
            <family val="2"/>
          </rPr>
          <t>https://www.critfc.org/blog/reports/limiting-factors-of-the-abundance-of-okanagan-and-wenatchee-sockeye-salmon-in-2011/</t>
        </r>
      </text>
    </comment>
    <comment ref="M178" authorId="3" shapeId="0" xr:uid="{F8FCD44E-C877-4213-AA17-CEDD69AF5557}">
      <text>
        <r>
          <rPr>
            <sz val="9"/>
            <color indexed="81"/>
            <rFont val="Tahoma"/>
            <family val="2"/>
          </rPr>
          <t>https://www.critfc.org/blog/reports/limiting-factors-of-the-abundance-of-okanagan-and-wenatchee-sockeye-salmon-in-2012/</t>
        </r>
      </text>
    </comment>
    <comment ref="M183" authorId="3" shapeId="0" xr:uid="{A9393FC5-40F7-4977-905C-2135CEBBBF88}">
      <text>
        <r>
          <rPr>
            <sz val="9"/>
            <color indexed="81"/>
            <rFont val="Tahoma"/>
            <family val="2"/>
          </rPr>
          <t>https://www.critfc.org/blog/reports/limiting-factors-of-the-abundance-of-okanagan-and-wenatchee-sockeye-salmon-in-2013/
Based on GSI + PIT data - Table 25.</t>
        </r>
      </text>
    </comment>
    <comment ref="W183" authorId="2" shapeId="0" xr:uid="{887027BD-63D1-4D89-986C-FB22C7F1EF58}">
      <text>
        <r>
          <rPr>
            <b/>
            <sz val="9"/>
            <color indexed="81"/>
            <rFont val="Tahoma"/>
            <family val="2"/>
          </rPr>
          <t>HS:</t>
        </r>
        <r>
          <rPr>
            <sz val="9"/>
            <color indexed="81"/>
            <rFont val="Tahoma"/>
            <family val="2"/>
          </rPr>
          <t xml:space="preserve">
Updated from composite Sockeye age comp table in Jones et al (2014) Age &amp; Length Composition…at Bonn Dam 2013. https://www.critfc.org/wp-content/uploads/2014/06/14-04.pdf Table 4. [17/09/2020]</t>
        </r>
      </text>
    </comment>
    <comment ref="Y183" authorId="2" shapeId="0" xr:uid="{BC3B3D78-99BE-42C9-9645-B558A40C972C}">
      <text>
        <r>
          <rPr>
            <b/>
            <sz val="9"/>
            <color indexed="81"/>
            <rFont val="Tahoma"/>
            <family val="2"/>
          </rPr>
          <t>HS:</t>
        </r>
        <r>
          <rPr>
            <sz val="9"/>
            <color indexed="81"/>
            <rFont val="Tahoma"/>
            <family val="2"/>
          </rPr>
          <t xml:space="preserve">
age comp adds up to only 89% for RY 2013 [see OKSox…2020.09.11.xlsx for original values]
Updated from composite Sockeye age comp table in Jones et al (2014) Age &amp; Length Composition…at Bonn Dam 2013. https://www.critfc.org/wp-content/uploads/2014/06/14-04.pdf Table 4. [17/09/2020]</t>
        </r>
      </text>
    </comment>
    <comment ref="M188" authorId="3" shapeId="0" xr:uid="{758F7C4D-3C64-4CFF-827A-11234DDA4DA3}">
      <text>
        <r>
          <rPr>
            <sz val="9"/>
            <color indexed="81"/>
            <rFont val="Tahoma"/>
            <family val="2"/>
          </rPr>
          <t>https://www.critfc.org/blog/reports/limiting-factors-abundance-okanagan-wenatchee-sockeye-salmon-2014/</t>
        </r>
      </text>
    </comment>
    <comment ref="M193" authorId="3" shapeId="0" xr:uid="{59BAD7DA-6363-49B6-8336-A63DB8C5C1BB}">
      <text>
        <r>
          <rPr>
            <sz val="9"/>
            <color indexed="81"/>
            <rFont val="Tahoma"/>
            <family val="2"/>
          </rPr>
          <t xml:space="preserve">https://www.critfc.org/blog/reports/studies-into-factors-limiting-the-abundance-of-okanagan-and-wenatchee-sockeye-salmon-in-2015/
</t>
        </r>
      </text>
    </comment>
    <comment ref="W193" authorId="2" shapeId="0" xr:uid="{783E9601-175B-4753-A9D9-6E3C73F369B8}">
      <text>
        <r>
          <rPr>
            <b/>
            <sz val="9"/>
            <color indexed="81"/>
            <rFont val="Tahoma"/>
            <family val="2"/>
          </rPr>
          <t>HS:</t>
        </r>
        <r>
          <rPr>
            <sz val="9"/>
            <color indexed="81"/>
            <rFont val="Tahoma"/>
            <family val="2"/>
          </rPr>
          <t xml:space="preserve">
original age comp only added up to 98% [15/09/2020] See OK_Sox…20.09.11.xlsx for previous data
Here revised to composite age comp from Fryer et al. 2017. Table 7. [17/09/2020]</t>
        </r>
      </text>
    </comment>
    <comment ref="M198" authorId="3" shapeId="0" xr:uid="{465FB41D-8AAC-44A0-AA33-D51049133CE9}">
      <text>
        <r>
          <rPr>
            <sz val="9"/>
            <color indexed="81"/>
            <rFont val="Tahoma"/>
            <family val="2"/>
          </rPr>
          <t>https://www.critfc.org/wp-content/uploads/2018/06/18-02.pdf?x78172</t>
        </r>
      </text>
    </comment>
    <comment ref="M203" authorId="3" shapeId="0" xr:uid="{6305FC3B-9C97-4BC3-B74B-E0C63D9FB956}">
      <text>
        <r>
          <rPr>
            <sz val="9"/>
            <color indexed="81"/>
            <rFont val="Tahoma"/>
            <family val="2"/>
          </rPr>
          <t>https://www.critfc.org/wp-content/uploads/2018/06/18-02.pdf?x78172</t>
        </r>
      </text>
    </comment>
    <comment ref="M209" authorId="3" shapeId="0" xr:uid="{32A434EB-6BA5-44B2-81DA-1231E90F16B9}">
      <text>
        <r>
          <rPr>
            <sz val="9"/>
            <color indexed="81"/>
            <rFont val="Tahoma"/>
            <family val="2"/>
          </rPr>
          <t>https://www.critfc.org/blog/reports/studies-into-factors-limiting-the-abundance-of-okanagan-and-wenatchee-sockeye-salmon-in-2018/</t>
        </r>
      </text>
    </comment>
    <comment ref="Y209" authorId="2" shapeId="0" xr:uid="{873114D1-98A5-477A-BB94-004F8DE5E58C}">
      <text>
        <r>
          <rPr>
            <b/>
            <sz val="9"/>
            <color indexed="81"/>
            <rFont val="Tahoma"/>
            <family val="2"/>
          </rPr>
          <t>HS:</t>
        </r>
        <r>
          <rPr>
            <sz val="9"/>
            <color indexed="81"/>
            <rFont val="Tahoma"/>
            <family val="2"/>
          </rPr>
          <t xml:space="preserve">
based on deadpitch of natural spawners in Index sector in "2018 Deadpiitch Adult Sockeye BioData.xlsx" 10/21/2020  NOTE: Dawn M sent another version "2018 Deadpitch Adult.BioData 6-28-19.xlsx" on 11/3/2020 but that file may be an earlier version as it has no minor ages (1.1, 2.1, 2.2) and fewer age 1.3s identified. 11/3/2020</t>
        </r>
      </text>
    </comment>
    <comment ref="M214" authorId="3" shapeId="0" xr:uid="{7C557BCD-2A2C-4861-A872-E68E059D0191}">
      <text>
        <r>
          <rPr>
            <b/>
            <sz val="9"/>
            <color indexed="81"/>
            <rFont val="Tahoma"/>
            <family val="2"/>
          </rPr>
          <t xml:space="preserve">Update from JF email </t>
        </r>
        <r>
          <rPr>
            <sz val="9"/>
            <color indexed="81"/>
            <rFont val="Tahoma"/>
            <family val="2"/>
          </rPr>
          <t xml:space="preserve">
[20.10.08]</t>
        </r>
      </text>
    </comment>
    <comment ref="P214" authorId="2" shapeId="0" xr:uid="{C789C259-0397-48EB-B6C1-9E5FE0214EA3}">
      <text>
        <r>
          <rPr>
            <b/>
            <sz val="9"/>
            <color indexed="81"/>
            <rFont val="Tahoma"/>
            <family val="2"/>
          </rPr>
          <t>76</t>
        </r>
        <r>
          <rPr>
            <sz val="9"/>
            <color indexed="81"/>
            <rFont val="Tahoma"/>
            <family val="2"/>
          </rPr>
          <t xml:space="preserve"> - unclipped non treaty tribal fisheries (Wanapum)
</t>
        </r>
        <r>
          <rPr>
            <b/>
            <sz val="9"/>
            <color indexed="81"/>
            <rFont val="Tahoma"/>
            <family val="2"/>
          </rPr>
          <t>2507</t>
        </r>
        <r>
          <rPr>
            <sz val="9"/>
            <color indexed="81"/>
            <rFont val="Tahoma"/>
            <family val="2"/>
          </rPr>
          <t xml:space="preserve"> - Colville Tribes (excluded from calc)
</t>
        </r>
        <r>
          <rPr>
            <b/>
            <sz val="9"/>
            <color indexed="81"/>
            <rFont val="Tahoma"/>
            <family val="2"/>
          </rPr>
          <t>0</t>
        </r>
        <r>
          <rPr>
            <sz val="9"/>
            <color indexed="81"/>
            <rFont val="Tahoma"/>
            <family val="2"/>
          </rPr>
          <t xml:space="preserve"> - </t>
        </r>
        <r>
          <rPr>
            <b/>
            <sz val="9"/>
            <color indexed="81"/>
            <rFont val="Tahoma"/>
            <family val="2"/>
          </rPr>
          <t>rec</t>
        </r>
        <r>
          <rPr>
            <sz val="9"/>
            <color indexed="81"/>
            <rFont val="Tahoma"/>
            <family val="2"/>
          </rPr>
          <t xml:space="preserve"> (1236 sox released
</t>
        </r>
        <r>
          <rPr>
            <b/>
            <sz val="9"/>
            <color indexed="81"/>
            <rFont val="Tahoma"/>
            <family val="2"/>
          </rPr>
          <t>1112</t>
        </r>
        <r>
          <rPr>
            <sz val="9"/>
            <color indexed="81"/>
            <rFont val="Tahoma"/>
            <family val="2"/>
          </rPr>
          <t xml:space="preserve"> - Zone 6 + comm GN d/s of Bonn (1118 but 6 were Snake)
WDFW - https://wdfw.wa.gov/sites/default/files/2020-02/2020_or_wa_spring_joint_staff_report.pdf PAGE 51</t>
        </r>
      </text>
    </comment>
    <comment ref="W214" authorId="2" shapeId="0" xr:uid="{C873C1F5-E978-4BC0-B986-ABC06E4ABE50}">
      <text>
        <r>
          <rPr>
            <b/>
            <sz val="9"/>
            <color indexed="81"/>
            <rFont val="Tahoma"/>
            <family val="2"/>
          </rPr>
          <t>HS:</t>
        </r>
        <r>
          <rPr>
            <sz val="9"/>
            <color indexed="81"/>
            <rFont val="Tahoma"/>
            <family val="2"/>
          </rPr>
          <t xml:space="preserve">
Ages for 2019 Return year are from Fryer's sampling at BON [prelim, report not finalized, 14/09/2020]</t>
        </r>
      </text>
    </comment>
    <comment ref="Y214" authorId="2" shapeId="0" xr:uid="{42C00C33-2B29-4B5F-BF83-50B9C56B0696}">
      <text>
        <r>
          <rPr>
            <b/>
            <sz val="9"/>
            <color indexed="81"/>
            <rFont val="Tahoma"/>
            <family val="2"/>
          </rPr>
          <t>HS:</t>
        </r>
        <r>
          <rPr>
            <sz val="9"/>
            <color indexed="81"/>
            <rFont val="Tahoma"/>
            <family val="2"/>
          </rPr>
          <t xml:space="preserve">
based on deadpitch of natural spawners in "2019 Deadpiitch Adult  BioData_FINAL 20.11.03.xlsx" (Dawn M email on 11/3/2020) </t>
        </r>
      </text>
    </comment>
    <comment ref="G220" authorId="3" shapeId="0" xr:uid="{B38012A5-879F-45FE-9D0A-F60F05D60500}">
      <text>
        <r>
          <rPr>
            <sz val="9"/>
            <color indexed="81"/>
            <rFont val="Tahoma"/>
            <family val="2"/>
          </rPr>
          <t xml:space="preserve">OR/WA CR Joint Mgmt report indicates </t>
        </r>
        <r>
          <rPr>
            <b/>
            <sz val="9"/>
            <color indexed="81"/>
            <rFont val="Tahoma"/>
            <family val="2"/>
          </rPr>
          <t>345,018 Sockeye</t>
        </r>
        <r>
          <rPr>
            <sz val="9"/>
            <color indexed="81"/>
            <rFont val="Tahoma"/>
            <family val="2"/>
          </rPr>
          <t xml:space="preserve"> to CR in 2020, including 282,463 OK
 61,821 WEN
     734 SNA
p. 17 https://wdfw.wa.gov/sites/default/files/2021-02/2021_or_wa_spring_joint_staff_report.pdf</t>
        </r>
      </text>
    </comment>
    <comment ref="M220" authorId="3" shapeId="0" xr:uid="{26F952DC-80FB-41F6-993B-9A95662CB5D1}">
      <text>
        <r>
          <rPr>
            <sz val="9"/>
            <color indexed="81"/>
            <rFont val="Tahoma"/>
            <family val="2"/>
          </rPr>
          <t>81.9% based on OR/WA Joint CR Mgmt report of 282,463 OKSox of 345,018 total Sox  (p. 17 https://wdfw.wa.gov/sites/default/files/2021-02/2021_or_wa_spring_joint_staff_report.pdf)
80.5% OKSox according to JF CRITFC 2020 prelim  [3/25/2021]
17.1% Wenatchee, 2.4% Yakima, 0% Redfish
Revised (CRITFC 2020 draft 2022-05-01) to 
80.7% Okanagan
17.1% Wenatchee
2.2% Yakima
0.1% Snake</t>
        </r>
      </text>
    </comment>
    <comment ref="P220" authorId="2" shapeId="0" xr:uid="{E97A236B-336E-45A1-9B1D-5868CB724AAB}">
      <text>
        <r>
          <rPr>
            <b/>
            <sz val="9"/>
            <color indexed="81"/>
            <rFont val="Tahoma"/>
            <family val="2"/>
          </rPr>
          <t>OR/WA Joint CR Mgmt report 2020 (2021)
176</t>
        </r>
        <r>
          <rPr>
            <sz val="9"/>
            <color indexed="81"/>
            <rFont val="Tahoma"/>
            <family val="2"/>
          </rPr>
          <t xml:space="preserve"> - unclipped non treaty tribal fisheries (Wanapum)
</t>
        </r>
        <r>
          <rPr>
            <b/>
            <sz val="9"/>
            <color indexed="81"/>
            <rFont val="Tahoma"/>
            <family val="2"/>
          </rPr>
          <t>3159</t>
        </r>
        <r>
          <rPr>
            <sz val="9"/>
            <color indexed="81"/>
            <rFont val="Tahoma"/>
            <family val="2"/>
          </rPr>
          <t xml:space="preserve"> - kept </t>
        </r>
        <r>
          <rPr>
            <b/>
            <sz val="9"/>
            <color indexed="81"/>
            <rFont val="Tahoma"/>
            <family val="2"/>
          </rPr>
          <t>rec</t>
        </r>
        <r>
          <rPr>
            <sz val="9"/>
            <color indexed="81"/>
            <rFont val="Tahoma"/>
            <family val="2"/>
          </rPr>
          <t xml:space="preserve"> (124 sox released)
</t>
        </r>
        <r>
          <rPr>
            <b/>
            <sz val="9"/>
            <color indexed="81"/>
            <rFont val="Tahoma"/>
            <family val="2"/>
          </rPr>
          <t>15258</t>
        </r>
        <r>
          <rPr>
            <sz val="9"/>
            <color indexed="81"/>
            <rFont val="Tahoma"/>
            <family val="2"/>
          </rPr>
          <t xml:space="preserve"> - Zone 6 + comm GN d/s of Bonn (Snake -32) = 15,226
</t>
        </r>
        <r>
          <rPr>
            <b/>
            <sz val="9"/>
            <color indexed="81"/>
            <rFont val="Tahoma"/>
            <family val="2"/>
          </rPr>
          <t>6311</t>
        </r>
        <r>
          <rPr>
            <sz val="9"/>
            <color indexed="81"/>
            <rFont val="Tahoma"/>
            <family val="2"/>
          </rPr>
          <t xml:space="preserve"> rec u/s of Bonn
</t>
        </r>
        <r>
          <rPr>
            <b/>
            <sz val="9"/>
            <color indexed="81"/>
            <rFont val="Tahoma"/>
            <family val="2"/>
          </rPr>
          <t>23944</t>
        </r>
        <r>
          <rPr>
            <sz val="9"/>
            <color indexed="81"/>
            <rFont val="Tahoma"/>
            <family val="2"/>
          </rPr>
          <t xml:space="preserve"> rec u/s of PRD
</t>
        </r>
        <r>
          <rPr>
            <b/>
            <sz val="9"/>
            <color indexed="81"/>
            <rFont val="Tahoma"/>
            <family val="2"/>
          </rPr>
          <t>3902</t>
        </r>
        <r>
          <rPr>
            <sz val="9"/>
            <color indexed="81"/>
            <rFont val="Tahoma"/>
            <family val="2"/>
          </rPr>
          <t xml:space="preserve"> - Colville Tribes u/s of Wells (excluded from calc)
WDFW - https://wdfw.wa.gov/sites/default/files/2020-02/2020_or_wa_spring_joint_staff_report.pdf PAGE 51</t>
        </r>
      </text>
    </comment>
    <comment ref="W220" authorId="2" shapeId="0" xr:uid="{F14CA405-1C3C-461D-9ACF-AC4DA4E41CB3}">
      <text>
        <r>
          <rPr>
            <b/>
            <sz val="9"/>
            <color indexed="81"/>
            <rFont val="Tahoma"/>
            <family val="2"/>
          </rPr>
          <t>HS:</t>
        </r>
        <r>
          <rPr>
            <sz val="9"/>
            <color indexed="81"/>
            <rFont val="Tahoma"/>
            <family val="2"/>
          </rPr>
          <t xml:space="preserve">
Ages for 2020 Return year are from Fryer's sampling at BON [prelim, report not finalized, 3/25/2021]</t>
        </r>
      </text>
    </comment>
    <comment ref="Y220" authorId="5" shapeId="0" xr:uid="{21AC28FB-FD68-4B7C-9ABF-561F4FD01348}">
      <text>
        <r>
          <rPr>
            <b/>
            <sz val="9"/>
            <color indexed="81"/>
            <rFont val="Tahoma"/>
            <family val="2"/>
          </rPr>
          <t>[hs] :</t>
        </r>
        <r>
          <rPr>
            <sz val="9"/>
            <color indexed="81"/>
            <rFont val="Tahoma"/>
            <family val="2"/>
          </rPr>
          <t xml:space="preserve">
From AO:
</t>
        </r>
        <r>
          <rPr>
            <b/>
            <sz val="9"/>
            <color indexed="81"/>
            <rFont val="Tahoma"/>
            <family val="2"/>
          </rPr>
          <t>Osoyoos_AgeComp_AO.xlsx</t>
        </r>
        <r>
          <rPr>
            <sz val="9"/>
            <color indexed="81"/>
            <rFont val="Tahoma"/>
            <family val="2"/>
          </rPr>
          <t xml:space="preserve"> [2024-03-22]
Previous years from that file should be used to update pre-2020 age comps above. Not yet done [2024-03-22]</t>
        </r>
      </text>
    </comment>
    <comment ref="AI220" authorId="2" shapeId="0" xr:uid="{73DC7024-90E5-4848-A204-8B78847C4D2F}">
      <text>
        <r>
          <rPr>
            <b/>
            <sz val="9"/>
            <color indexed="81"/>
            <rFont val="Tahoma"/>
            <family val="2"/>
          </rPr>
          <t>HS:</t>
        </r>
        <r>
          <rPr>
            <sz val="9"/>
            <color indexed="81"/>
            <rFont val="Tahoma"/>
            <family val="2"/>
          </rPr>
          <t xml:space="preserve">
Age abund based on JF's age composition!</t>
        </r>
      </text>
    </comment>
    <comment ref="G226" authorId="1" shapeId="0" xr:uid="{81FDCEB2-6364-4DAA-81D4-E2225D0FB3A0}">
      <text>
        <r>
          <rPr>
            <sz val="9"/>
            <color indexed="81"/>
            <rFont val="Tahoma"/>
            <family val="2"/>
          </rPr>
          <t xml:space="preserve">The 2021 return of sockeye to the Columbia River of 152,309 adults was 83% of the preseason forecast of 155,600 adults, but is only 49% of the recent 10-year average return. The 2021 return included at least 41,219 Wenatchee, 105,493 Okanogan, and 953 Snake River stock returning to 
the Columbia River. 
</t>
        </r>
      </text>
    </comment>
    <comment ref="M226" authorId="3" shapeId="0" xr:uid="{FD310786-2BB0-46CA-A6EB-EA72664F40D5}">
      <text>
        <r>
          <rPr>
            <sz val="9"/>
            <color indexed="81"/>
            <rFont val="Tahoma"/>
            <family val="2"/>
          </rPr>
          <t xml:space="preserve">69% based on OR/WA Joint CR Mgmt report of 105493/152309 OKSox/BonnSox  (p. 17 https://wdfw.wa.gov/sites/default/files/2022-02/2022%20OR_WA%20Spring%20Joint%20Staff%20Report.pdf)
</t>
        </r>
      </text>
    </comment>
    <comment ref="Y226" authorId="5" shapeId="0" xr:uid="{6854F789-7C1E-4492-AE72-A146CFDBE305}">
      <text>
        <r>
          <rPr>
            <b/>
            <sz val="9"/>
            <color indexed="81"/>
            <rFont val="Tahoma"/>
            <family val="2"/>
          </rPr>
          <t>[hs] :</t>
        </r>
        <r>
          <rPr>
            <sz val="9"/>
            <color indexed="81"/>
            <rFont val="Tahoma"/>
            <family val="2"/>
          </rPr>
          <t xml:space="preserve">
From AO:
</t>
        </r>
        <r>
          <rPr>
            <b/>
            <sz val="9"/>
            <color indexed="81"/>
            <rFont val="Tahoma"/>
            <family val="2"/>
          </rPr>
          <t>Osoyoos_AgeComp_AO.xlsx</t>
        </r>
        <r>
          <rPr>
            <sz val="9"/>
            <color indexed="81"/>
            <rFont val="Tahoma"/>
            <family val="2"/>
          </rPr>
          <t xml:space="preserve"> [2024-03-22]
Previous years from that file should be used to update pre-2020 age comps above. Not yet done [2024-03-22]</t>
        </r>
      </text>
    </comment>
    <comment ref="AI226" authorId="2" shapeId="0" xr:uid="{3C28B50C-712C-460F-BBFA-ADC4DE8E7037}">
      <text>
        <r>
          <rPr>
            <b/>
            <sz val="9"/>
            <color indexed="81"/>
            <rFont val="Tahoma"/>
            <family val="2"/>
          </rPr>
          <t>HS:</t>
        </r>
        <r>
          <rPr>
            <sz val="9"/>
            <color indexed="81"/>
            <rFont val="Tahoma"/>
            <family val="2"/>
          </rPr>
          <t xml:space="preserve">
Age abund based on JF's age composition!</t>
        </r>
      </text>
    </comment>
    <comment ref="W227" authorId="6" shapeId="0" xr:uid="{42B5370C-9C94-493D-A306-C461B4AEBCB5}">
      <text>
        <t>[Threaded comment]
Your version of Excel allows you to read this threaded comment; however, any edits to it will get removed if the file is opened in a newer version of Excel. Learn more: https://go.microsoft.com/fwlink/?linkid=870924
Comment:
    Age comp (prelim) from JF 22.05.06 email</t>
      </text>
    </comment>
    <comment ref="G232" authorId="1" shapeId="0" xr:uid="{3072104F-A50E-490D-8D91-A7EA0FB537A7}">
      <text>
        <r>
          <rPr>
            <sz val="9"/>
            <color indexed="81"/>
            <rFont val="Tahoma"/>
            <family val="2"/>
          </rPr>
          <t xml:space="preserve">The 2021 return of sockeye to the Columbia River of 152,309 adults was 83% of the preseason forecast of 155,600 adults, but is only 49% of the recent 10-year average return. The 2021 return included at least 41,219 Wenatchee, 105,493 Okanogan, and 953 Snake River stock returning to 
the Columbia River. 
</t>
        </r>
      </text>
    </comment>
    <comment ref="M232" authorId="3" shapeId="0" xr:uid="{946BF23C-15EA-422F-8C98-23AA7D0FA25B}">
      <text>
        <r>
          <rPr>
            <sz val="9"/>
            <color indexed="81"/>
            <rFont val="Tahoma"/>
            <family val="2"/>
          </rPr>
          <t xml:space="preserve">69% based on OR/WA Joint CR Mgmt report of 105493/152309 OKSox/BonnSox  (p. 17 https://wdfw.wa.gov/sites/default/files/2022-02/2022%20OR_WA%20Spring%20Joint%20Staff%20Report.pdf)
</t>
        </r>
      </text>
    </comment>
    <comment ref="Y232" authorId="5" shapeId="0" xr:uid="{354819EA-0EA2-4566-9108-0F69FB9E2A5E}">
      <text>
        <r>
          <rPr>
            <b/>
            <sz val="9"/>
            <color indexed="81"/>
            <rFont val="Tahoma"/>
            <family val="2"/>
          </rPr>
          <t>[hs] :</t>
        </r>
        <r>
          <rPr>
            <sz val="9"/>
            <color indexed="81"/>
            <rFont val="Tahoma"/>
            <family val="2"/>
          </rPr>
          <t xml:space="preserve">
From AO:
</t>
        </r>
        <r>
          <rPr>
            <b/>
            <sz val="9"/>
            <color indexed="81"/>
            <rFont val="Tahoma"/>
            <family val="2"/>
          </rPr>
          <t>Osoyoos_AgeComp_AO.xlsx</t>
        </r>
        <r>
          <rPr>
            <sz val="9"/>
            <color indexed="81"/>
            <rFont val="Tahoma"/>
            <family val="2"/>
          </rPr>
          <t xml:space="preserve"> [2024-03-22]
Previous years from that file should be used to update pre-2020 age comps above. Not yet done [2024-03-22]</t>
        </r>
      </text>
    </comment>
    <comment ref="AI232" authorId="2" shapeId="0" xr:uid="{686AE8CB-D83D-458F-954C-430985858EB6}">
      <text>
        <r>
          <rPr>
            <b/>
            <sz val="9"/>
            <color indexed="81"/>
            <rFont val="Tahoma"/>
            <family val="2"/>
          </rPr>
          <t>HS:</t>
        </r>
        <r>
          <rPr>
            <sz val="9"/>
            <color indexed="81"/>
            <rFont val="Tahoma"/>
            <family val="2"/>
          </rPr>
          <t xml:space="preserve">
Age abund based on JF's age composition!</t>
        </r>
      </text>
    </comment>
    <comment ref="W233" authorId="7" shapeId="0" xr:uid="{6669782B-7F58-4FE5-B91C-013AF5B5DA5D}">
      <text>
        <t>[Threaded comment]
Your version of Excel allows you to read this threaded comment; however, any edits to it will get removed if the file is opened in a newer version of Excel. Learn more: https://go.microsoft.com/fwlink/?linkid=870924
Comment:
    Age comp (prelim) from JF 22.05.06 email</t>
      </text>
    </comment>
    <comment ref="Y238" authorId="5" shapeId="0" xr:uid="{B6925D24-243B-459C-8D03-EFA40D0D4320}">
      <text>
        <r>
          <rPr>
            <b/>
            <sz val="9"/>
            <color indexed="81"/>
            <rFont val="Tahoma"/>
            <family val="2"/>
          </rPr>
          <t>[hs] :</t>
        </r>
        <r>
          <rPr>
            <sz val="9"/>
            <color indexed="81"/>
            <rFont val="Tahoma"/>
            <family val="2"/>
          </rPr>
          <t xml:space="preserve">
From AO:
</t>
        </r>
        <r>
          <rPr>
            <b/>
            <sz val="9"/>
            <color indexed="81"/>
            <rFont val="Tahoma"/>
            <family val="2"/>
          </rPr>
          <t>Osoyoos_AgeComp_AO.xlsx</t>
        </r>
        <r>
          <rPr>
            <sz val="9"/>
            <color indexed="81"/>
            <rFont val="Tahoma"/>
            <family val="2"/>
          </rPr>
          <t xml:space="preserve"> [2024-03-22]
Previous years from that file should be used to update pre-2020 age comps above. Not yet done [2024-03-22]</t>
        </r>
      </text>
    </comment>
    <comment ref="AI238" authorId="2" shapeId="0" xr:uid="{F92CD4BF-8877-4880-9E7F-C6ED2F34F591}">
      <text>
        <r>
          <rPr>
            <b/>
            <sz val="9"/>
            <color indexed="81"/>
            <rFont val="Tahoma"/>
            <family val="2"/>
          </rPr>
          <t>HS:</t>
        </r>
        <r>
          <rPr>
            <sz val="9"/>
            <color indexed="81"/>
            <rFont val="Tahoma"/>
            <family val="2"/>
          </rPr>
          <t xml:space="preserve">
Age abund based on JF's age composition!</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HS</author>
    <author xml:space="preserve">[hs] </author>
  </authors>
  <commentList>
    <comment ref="A1" authorId="0" shapeId="0" xr:uid="{C1BA877E-FDFB-4FD6-B058-F6DCAD213D6A}">
      <text>
        <r>
          <rPr>
            <sz val="9"/>
            <color indexed="81"/>
            <rFont val="Tahoma"/>
            <family val="2"/>
          </rPr>
          <t>Sockeye population (CU) name</t>
        </r>
      </text>
    </comment>
    <comment ref="B1" authorId="0" shapeId="0" xr:uid="{1BD4F96C-D8B1-40D1-9F0B-188C8BF5B144}">
      <text>
        <r>
          <rPr>
            <sz val="9"/>
            <color indexed="81"/>
            <rFont val="Tahoma"/>
            <family val="2"/>
          </rPr>
          <t>Year of seaward migration</t>
        </r>
      </text>
    </comment>
    <comment ref="C1" authorId="0" shapeId="0" xr:uid="{358F1BBA-12DE-445B-B12D-E588D268E5CE}">
      <text>
        <r>
          <rPr>
            <sz val="9"/>
            <color indexed="81"/>
            <rFont val="Tahoma"/>
            <family val="2"/>
          </rPr>
          <t>Total smolts (all ages)</t>
        </r>
      </text>
    </comment>
    <comment ref="D1" authorId="0" shapeId="0" xr:uid="{785F39D1-BF30-4981-B3E3-0DD9FBEC83C6}">
      <text>
        <r>
          <rPr>
            <sz val="9"/>
            <color indexed="81"/>
            <rFont val="Tahoma"/>
            <family val="2"/>
          </rPr>
          <t>Total adult returns (all ages), including harvest, escapement, hatchery broodstock, in-river mortality estimates.</t>
        </r>
      </text>
    </comment>
    <comment ref="E1" authorId="0" shapeId="0" xr:uid="{39B72868-ABCF-480C-B509-2F524D75BB21}">
      <text>
        <r>
          <rPr>
            <sz val="9"/>
            <color indexed="81"/>
            <rFont val="Tahoma"/>
            <family val="2"/>
          </rPr>
          <t>Marine survival - calculated field</t>
        </r>
      </text>
    </comment>
    <comment ref="C6" authorId="1" shapeId="0" xr:uid="{5106C77D-4786-4D89-BAB0-2A901BC687F8}">
      <text>
        <r>
          <rPr>
            <b/>
            <sz val="9"/>
            <color indexed="81"/>
            <rFont val="Tahoma"/>
            <family val="2"/>
          </rPr>
          <t xml:space="preserve">Missing smolt production for 2023; using avg for last three years 
</t>
        </r>
        <r>
          <rPr>
            <sz val="9"/>
            <color indexed="81"/>
            <rFont val="Tahoma"/>
            <family val="2"/>
          </rPr>
          <t>[2024-01-10]</t>
        </r>
      </text>
    </comment>
    <comment ref="K7" authorId="1" shapeId="0" xr:uid="{B4D35E48-E70B-4E68-A6FC-00335E839E9A}">
      <text>
        <r>
          <rPr>
            <b/>
            <sz val="9"/>
            <color indexed="81"/>
            <rFont val="Tahoma"/>
            <family val="2"/>
          </rPr>
          <t>[hs] :</t>
        </r>
        <r>
          <rPr>
            <sz val="9"/>
            <color indexed="81"/>
            <rFont val="Tahoma"/>
            <family val="2"/>
          </rPr>
          <t xml:space="preserve">
based on data from OCI conditions and survival from 1998</t>
        </r>
      </text>
    </comment>
    <comment ref="M7" authorId="1" shapeId="0" xr:uid="{C813BD76-6EBB-4403-99E9-380DF0B82B6B}">
      <text>
        <r>
          <rPr>
            <b/>
            <sz val="9"/>
            <color indexed="81"/>
            <rFont val="Tahoma"/>
            <family val="2"/>
          </rPr>
          <t>[hs] :</t>
        </r>
        <r>
          <rPr>
            <sz val="9"/>
            <color indexed="81"/>
            <rFont val="Tahoma"/>
            <family val="2"/>
          </rPr>
          <t xml:space="preserve">
based on data from OCI conditions and survival from 2006 ('restoration years')</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Howard Stiff</author>
    <author xml:space="preserve">[hs] </author>
  </authors>
  <commentList>
    <comment ref="A1" authorId="0" shapeId="0" xr:uid="{C50BD01B-D083-47C9-9367-AF4241F14738}">
      <text>
        <r>
          <rPr>
            <b/>
            <sz val="9"/>
            <color indexed="81"/>
            <rFont val="Tahoma"/>
            <family val="2"/>
          </rPr>
          <t>Howard Stiff:</t>
        </r>
        <r>
          <rPr>
            <sz val="9"/>
            <color indexed="81"/>
            <rFont val="Tahoma"/>
            <family val="2"/>
          </rPr>
          <t xml:space="preserve">
This table from OFW / WDFW Joint Staff Report 2022, Table 15
[2022-06-09]</t>
        </r>
      </text>
    </comment>
    <comment ref="C1" authorId="1" shapeId="0" xr:uid="{E82D1302-78B9-4EB3-9A24-7690271D868E}">
      <text>
        <r>
          <rPr>
            <b/>
            <sz val="9"/>
            <color indexed="81"/>
            <rFont val="Tahoma"/>
            <family val="2"/>
          </rPr>
          <t>Update from Ryan Lothrop (WDFW) May 2024.</t>
        </r>
        <r>
          <rPr>
            <sz val="9"/>
            <color indexed="81"/>
            <rFont val="Tahoma"/>
            <family val="2"/>
          </rPr>
          <t xml:space="preserve"> 
Some minor differences from JSR Table 15 "Non-Treaty Catch" column, which "may include kept fish and incidental release mortalities in Zones 1-6 upstream to Hwy 365".</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 xml:space="preserve">[hs] </author>
  </authors>
  <commentList>
    <comment ref="D2" authorId="0" shapeId="0" xr:uid="{A9D17B63-5DD4-4489-AD80-2CD30CA82DC5}">
      <text>
        <r>
          <rPr>
            <b/>
            <sz val="9"/>
            <color indexed="81"/>
            <rFont val="Tahoma"/>
            <family val="2"/>
          </rPr>
          <t xml:space="preserve">USACE Annual Fish Passage Report 2022 
</t>
        </r>
        <r>
          <rPr>
            <sz val="9"/>
            <color indexed="81"/>
            <rFont val="Tahoma"/>
            <family val="2"/>
          </rPr>
          <t xml:space="preserve">(From Ryan Lothrop WDFW 2024-03-01]
</t>
        </r>
        <r>
          <rPr>
            <b/>
            <sz val="9"/>
            <color indexed="81"/>
            <rFont val="Tahoma"/>
            <family val="2"/>
          </rPr>
          <t xml:space="preserve">
Table 23a. Yearly Totals of Salmonids Counted Over Bonneville Dam 1938-2022
Note:</t>
        </r>
        <r>
          <rPr>
            <sz val="9"/>
            <color indexed="81"/>
            <rFont val="Tahoma"/>
            <family val="2"/>
          </rPr>
          <t xml:space="preserve"> Totals from 1994 - 2003 include nighttime video and 24-hour video as described in the footnotes of the monthly count tables. Totals for 2013-22 include nighttime video counts.</t>
        </r>
      </text>
    </comment>
    <comment ref="I2" authorId="0" shapeId="0" xr:uid="{E25749B4-71F8-4F1A-B371-4A7BBC44896D}">
      <text>
        <r>
          <rPr>
            <b/>
            <sz val="9"/>
            <color indexed="81"/>
            <rFont val="Tahoma"/>
            <family val="2"/>
          </rPr>
          <t xml:space="preserve">Sockeye totals from CBR-DART </t>
        </r>
        <r>
          <rPr>
            <sz val="9"/>
            <color indexed="81"/>
            <rFont val="Tahoma"/>
            <family val="2"/>
          </rPr>
          <t>[2024-03-01]</t>
        </r>
      </text>
    </comment>
    <comment ref="J2" authorId="0" shapeId="0" xr:uid="{FEF861B1-625B-40F6-AFA2-304639FE4FFD}">
      <text>
        <r>
          <rPr>
            <b/>
            <sz val="9"/>
            <color indexed="81"/>
            <rFont val="Tahoma"/>
            <family val="2"/>
          </rPr>
          <t xml:space="preserve">Fish Passage Center - Adult Passage 
</t>
        </r>
        <r>
          <rPr>
            <sz val="9"/>
            <color indexed="81"/>
            <rFont val="Tahoma"/>
            <family val="2"/>
          </rPr>
          <t>https://www.fpc.org/web/apps/adultsalmon/R_adultcounts_annualtotalsquery_results.php 
[2024-03-01]</t>
        </r>
      </text>
    </comment>
    <comment ref="K2" authorId="0" shapeId="0" xr:uid="{9509B6FB-C582-43EF-9D6C-1DC1A0BBD1ED}">
      <text>
        <r>
          <rPr>
            <b/>
            <sz val="9"/>
            <color indexed="81"/>
            <rFont val="Tahoma"/>
            <family val="2"/>
          </rPr>
          <t xml:space="preserve">2024 Joint Staff Report (Feb 2024) </t>
        </r>
        <r>
          <rPr>
            <sz val="9"/>
            <color indexed="81"/>
            <rFont val="Tahoma"/>
            <family val="2"/>
          </rPr>
          <t>Table 15. Sockeye Entering the Columbia River</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Howard Stiff</author>
    <author xml:space="preserve">[hs] </author>
    <author>Howard Stiff (DFO)</author>
    <author>tc={9230DE44-6321-4C61-B0A0-70613B8B13C4}</author>
    <author>tc={92C20FDC-115C-451A-8A61-7C4116E12377}</author>
    <author>tc={6DAC55CD-FB69-4F46-A5C3-BE3830DBDFFC}</author>
  </authors>
  <commentList>
    <comment ref="A1" authorId="0" shapeId="0" xr:uid="{96BCB03E-7B10-4A66-9BFF-B7353CF5BA95}">
      <text>
        <r>
          <rPr>
            <b/>
            <sz val="9"/>
            <color indexed="81"/>
            <rFont val="Tahoma"/>
            <family val="2"/>
          </rPr>
          <t xml:space="preserve">Estimated Sockeye returning to Columbia River Mouth (all stocks) </t>
        </r>
        <r>
          <rPr>
            <sz val="9"/>
            <color indexed="81"/>
            <rFont val="Tahoma"/>
            <family val="2"/>
          </rPr>
          <t xml:space="preserve"> [June 2022]
From OFW/WDFW </t>
        </r>
        <r>
          <rPr>
            <b/>
            <sz val="9"/>
            <color indexed="81"/>
            <rFont val="Tahoma"/>
            <family val="2"/>
          </rPr>
          <t>2022</t>
        </r>
        <r>
          <rPr>
            <sz val="9"/>
            <color indexed="81"/>
            <rFont val="Tahoma"/>
            <family val="2"/>
          </rPr>
          <t xml:space="preserve"> </t>
        </r>
        <r>
          <rPr>
            <b/>
            <sz val="9"/>
            <color indexed="81"/>
            <rFont val="Tahoma"/>
            <family val="2"/>
          </rPr>
          <t>Joint Staff Report Table 15 p.78</t>
        </r>
        <r>
          <rPr>
            <sz val="9"/>
            <color indexed="81"/>
            <rFont val="Tahoma"/>
            <family val="2"/>
          </rPr>
          <t xml:space="preserve">
https://www.dfw.state.or.us/fish/OSCRP/CRM/reports/22_reports/2022%20OR_WA%20Spring%20Joint%20Staff%20Report.pdf </t>
        </r>
      </text>
    </comment>
    <comment ref="B1" authorId="0" shapeId="0" xr:uid="{A2641E2C-60AD-4761-9677-ED161DF5D313}">
      <text>
        <r>
          <rPr>
            <b/>
            <sz val="9"/>
            <color indexed="81"/>
            <rFont val="Tahoma"/>
            <family val="2"/>
          </rPr>
          <t xml:space="preserve">Estimated Sockeye returning to Columbia River Mouth (all stocks)
</t>
        </r>
        <r>
          <rPr>
            <sz val="9"/>
            <color indexed="81"/>
            <rFont val="Tahoma"/>
            <family val="2"/>
          </rPr>
          <t xml:space="preserve">Should equal Total Sox (Bonn) + Total Harvest Below Bonn columns.
Note: Dam counts are unadjusted, based on 16-hr day (uninflated).  Harvest is all catch below Bonn.
From OFW/WDFW 2022 Joint Staff Report Table 15 p.78
https://www.dfw.state.or.us/fish/OSCRP/CRM/reports/22_reports/2022%20OR_WA%20Spring%20Joint%20Staff%20Report.pdf </t>
        </r>
      </text>
    </comment>
    <comment ref="C1" authorId="1" shapeId="0" xr:uid="{CEFCCDF5-97A5-4948-A274-EA768D7848AA}">
      <text>
        <r>
          <rPr>
            <b/>
            <sz val="9"/>
            <color indexed="81"/>
            <rFont val="Tahoma"/>
            <family val="2"/>
          </rPr>
          <t>[hs] :</t>
        </r>
        <r>
          <rPr>
            <sz val="9"/>
            <color indexed="81"/>
            <rFont val="Tahoma"/>
            <family val="2"/>
          </rPr>
          <t xml:space="preserve">
Total Sox (Bonn) [24hr] + Harvest Below Bonn</t>
        </r>
      </text>
    </comment>
    <comment ref="D1" authorId="0" shapeId="0" xr:uid="{626513E1-02B3-4C4D-A5C3-48235387F0ED}">
      <text>
        <r>
          <rPr>
            <b/>
            <sz val="9"/>
            <color indexed="81"/>
            <rFont val="Tahoma"/>
            <family val="2"/>
          </rPr>
          <t xml:space="preserve">Total annual dam counts from FPC
</t>
        </r>
        <r>
          <rPr>
            <sz val="9"/>
            <color indexed="81"/>
            <rFont val="Tahoma"/>
            <family val="2"/>
          </rPr>
          <t xml:space="preserve">https://www.fpc.org/web/apps/adultsalmon/R_adultcounts_annualtotalsquery_results.php
</t>
        </r>
        <r>
          <rPr>
            <b/>
            <sz val="9"/>
            <color indexed="81"/>
            <rFont val="Tahoma"/>
            <family val="2"/>
          </rPr>
          <t>Based on actual 16-hour counts !!  No adjustment for missing 8 hours...</t>
        </r>
      </text>
    </comment>
    <comment ref="E1" authorId="1" shapeId="0" xr:uid="{B7010394-02EF-4890-AE5F-06C077480470}">
      <text>
        <r>
          <rPr>
            <b/>
            <sz val="9"/>
            <color indexed="81"/>
            <rFont val="Tahoma"/>
            <family val="2"/>
          </rPr>
          <t>[hs] :</t>
        </r>
        <r>
          <rPr>
            <sz val="9"/>
            <color indexed="81"/>
            <rFont val="Tahoma"/>
            <family val="2"/>
          </rPr>
          <t xml:space="preserve">
Get 16-to-24-hr adjustment based on reg coefficients in BON Count Adjustments
[2023-02-14]</t>
        </r>
      </text>
    </comment>
    <comment ref="F1" authorId="0" shapeId="0" xr:uid="{D3B0D45F-4A3C-41AD-87DF-21CCDB9C7229}">
      <text>
        <r>
          <rPr>
            <b/>
            <sz val="9"/>
            <color indexed="81"/>
            <rFont val="Tahoma"/>
            <family val="2"/>
          </rPr>
          <t xml:space="preserve">Estimated Snake River Sockeye returning to Columbia River Mouth </t>
        </r>
        <r>
          <rPr>
            <sz val="9"/>
            <color indexed="81"/>
            <rFont val="Tahoma"/>
            <family val="2"/>
          </rPr>
          <t xml:space="preserve"> [June 2022]
to be deducted from TOTAL SOX (MOUTH)
From OFW/WDFW </t>
        </r>
        <r>
          <rPr>
            <b/>
            <sz val="9"/>
            <color indexed="81"/>
            <rFont val="Tahoma"/>
            <family val="2"/>
          </rPr>
          <t>2022</t>
        </r>
        <r>
          <rPr>
            <sz val="9"/>
            <color indexed="81"/>
            <rFont val="Tahoma"/>
            <family val="2"/>
          </rPr>
          <t xml:space="preserve"> </t>
        </r>
        <r>
          <rPr>
            <b/>
            <sz val="9"/>
            <color indexed="81"/>
            <rFont val="Tahoma"/>
            <family val="2"/>
          </rPr>
          <t>Joint Staff Report Table 15 p.78</t>
        </r>
        <r>
          <rPr>
            <sz val="9"/>
            <color indexed="81"/>
            <rFont val="Tahoma"/>
            <family val="2"/>
          </rPr>
          <t xml:space="preserve">
https://www.dfw.state.or.us/fish/OSCRP/CRM/reports/22_reports/2022%20OR_WA%20Spring%20Joint%20Staff%20Report.pdf </t>
        </r>
      </text>
    </comment>
    <comment ref="G1" authorId="0" shapeId="0" xr:uid="{B3F35CC4-84B2-42B0-B84C-53B323B7F27C}">
      <text>
        <r>
          <rPr>
            <b/>
            <sz val="9"/>
            <color indexed="81"/>
            <rFont val="Tahoma"/>
            <family val="2"/>
          </rPr>
          <t xml:space="preserve">Total annual Rock Island dam counts from FPC
</t>
        </r>
        <r>
          <rPr>
            <sz val="9"/>
            <color indexed="81"/>
            <rFont val="Tahoma"/>
            <family val="2"/>
          </rPr>
          <t xml:space="preserve">https://www.fpc.org/web/apps/adultsalmon/R_adultcounts_annualtotalsquery_results.php
</t>
        </r>
        <r>
          <rPr>
            <b/>
            <sz val="9"/>
            <color indexed="81"/>
            <rFont val="Tahoma"/>
            <family val="2"/>
          </rPr>
          <t>Based on actual 24-hour counts since 1993, and effective 24-hour counts pre-1993</t>
        </r>
        <r>
          <rPr>
            <sz val="9"/>
            <color indexed="81"/>
            <rFont val="Tahoma"/>
            <family val="2"/>
          </rPr>
          <t xml:space="preserve"> (since, pre-1993, 16 hours were observed and then gates closed for 8 hours, but no fish could pass till re-opened for next 16-hr count). 
Source: Catherine Willard (WDFW), Oct 2022</t>
        </r>
      </text>
    </comment>
    <comment ref="I1" authorId="1" shapeId="0" xr:uid="{2F11FDDC-E39F-4C68-9536-96193573EDD9}">
      <text>
        <r>
          <rPr>
            <b/>
            <sz val="9"/>
            <color indexed="81"/>
            <rFont val="Tahoma"/>
            <family val="2"/>
          </rPr>
          <t>[hs] :</t>
        </r>
        <r>
          <rPr>
            <sz val="9"/>
            <color indexed="81"/>
            <rFont val="Tahoma"/>
            <family val="2"/>
          </rPr>
          <t xml:space="preserve">
Formula based on </t>
        </r>
        <r>
          <rPr>
            <b/>
            <sz val="9"/>
            <color indexed="81"/>
            <rFont val="Tahoma"/>
            <family val="2"/>
          </rPr>
          <t>MAX of (RRH</t>
        </r>
        <r>
          <rPr>
            <sz val="9"/>
            <color indexed="81"/>
            <rFont val="Tahoma"/>
            <family val="2"/>
          </rPr>
          <t xml:space="preserve"> versus </t>
        </r>
        <r>
          <rPr>
            <b/>
            <sz val="9"/>
            <color indexed="81"/>
            <rFont val="Tahoma"/>
            <family val="2"/>
          </rPr>
          <t>WELLS</t>
        </r>
        <r>
          <rPr>
            <sz val="9"/>
            <color indexed="81"/>
            <rFont val="Tahoma"/>
            <family val="2"/>
          </rPr>
          <t>)</t>
        </r>
      </text>
    </comment>
    <comment ref="J1" authorId="0" shapeId="0" xr:uid="{7EC3FCEF-0542-4021-9DF7-5B6333B45292}">
      <text>
        <r>
          <rPr>
            <b/>
            <sz val="9"/>
            <color indexed="81"/>
            <rFont val="Tahoma"/>
            <family val="2"/>
          </rPr>
          <t>OBSOLETE - Total annual Wells dam Sockeye counts 
16-hr counts 1980-1997
24-hour counts since 1998</t>
        </r>
        <r>
          <rPr>
            <sz val="9"/>
            <color indexed="81"/>
            <rFont val="Tahoma"/>
            <family val="2"/>
          </rPr>
          <t xml:space="preserve">
From OFW/WDFW 2022 Joint Staff Report Table 15 p.78
https://www.dfw.state.or.us/fish/OSCRP/CRM/reports/22_reports/2022%20OR_WA%20Spring%20Joint%20Staff%20Report.pdf </t>
        </r>
      </text>
    </comment>
    <comment ref="K1" authorId="0" shapeId="0" xr:uid="{21B04588-3E56-4122-BDDE-75190F37E991}">
      <text>
        <r>
          <rPr>
            <b/>
            <sz val="9"/>
            <color indexed="81"/>
            <rFont val="Tahoma"/>
            <family val="2"/>
          </rPr>
          <t xml:space="preserve">Total annual dam counts from FPC
</t>
        </r>
        <r>
          <rPr>
            <sz val="9"/>
            <color indexed="81"/>
            <rFont val="Tahoma"/>
            <family val="2"/>
          </rPr>
          <t xml:space="preserve">16-hr counts - all data provided by Tom Kahler DCPUD [Oct 2022]
</t>
        </r>
        <r>
          <rPr>
            <b/>
            <sz val="9"/>
            <color indexed="81"/>
            <rFont val="Tahoma"/>
            <family val="2"/>
          </rPr>
          <t xml:space="preserve">
</t>
        </r>
        <r>
          <rPr>
            <sz val="9"/>
            <color indexed="81"/>
            <rFont val="Tahoma"/>
            <family val="2"/>
          </rPr>
          <t>https://www.fpc.org/web/apps/adultsalmon/R_adultcounts_annualtotalsquery_results.php</t>
        </r>
      </text>
    </comment>
    <comment ref="L1" authorId="0" shapeId="0" xr:uid="{F1D8F6B7-700D-4813-BEF5-E75FB976B253}">
      <text>
        <r>
          <rPr>
            <b/>
            <sz val="9"/>
            <color indexed="81"/>
            <rFont val="Tahoma"/>
            <family val="2"/>
          </rPr>
          <t xml:space="preserve">Estimated 24-hr total annual Wells counts 
1980-1997: </t>
        </r>
        <r>
          <rPr>
            <sz val="9"/>
            <color indexed="81"/>
            <rFont val="Tahoma"/>
            <family val="2"/>
          </rPr>
          <t xml:space="preserve">Wells Counts from FPC increased 1.132x (13.2%), which is the average prop. difference between 16- and 24-hr counts at Wells 1998-2021 [data provided by Tom Kahler DCPUD Oct 2022]
</t>
        </r>
        <r>
          <rPr>
            <b/>
            <sz val="9"/>
            <color indexed="81"/>
            <rFont val="Tahoma"/>
            <family val="2"/>
          </rPr>
          <t>1998-present:</t>
        </r>
        <r>
          <rPr>
            <sz val="9"/>
            <color indexed="81"/>
            <rFont val="Tahoma"/>
            <family val="2"/>
          </rPr>
          <t xml:space="preserve"> Wells Counts (24-hr) from FPC</t>
        </r>
        <r>
          <rPr>
            <b/>
            <sz val="9"/>
            <color indexed="81"/>
            <rFont val="Tahoma"/>
            <family val="2"/>
          </rPr>
          <t xml:space="preserve">
 </t>
        </r>
        <r>
          <rPr>
            <sz val="9"/>
            <color indexed="81"/>
            <rFont val="Tahoma"/>
            <family val="2"/>
          </rPr>
          <t>https://www.fpc.org/web/apps/adultsalmon/R_adultcounts_annualtotalsquery_results.php</t>
        </r>
      </text>
    </comment>
    <comment ref="M1" authorId="1" shapeId="0" xr:uid="{EF548400-2A7E-4453-9D49-7C38EE7935E0}">
      <text>
        <r>
          <rPr>
            <b/>
            <sz val="9"/>
            <color indexed="81"/>
            <rFont val="Tahoma"/>
            <family val="2"/>
          </rPr>
          <t>[hs] :</t>
        </r>
        <r>
          <rPr>
            <sz val="9"/>
            <color indexed="81"/>
            <rFont val="Tahoma"/>
            <family val="2"/>
          </rPr>
          <t xml:space="preserve">
Data from Judson et al. 2023, originally taken from WDFW/ChelanPUD. Slight differences in some years, but CW's team supply the data to DART. Big difference in 2012 (only 43,512 in DART) likely due to mising three days in DART which were probably interpolated for WDFW Hillman (2022) source report.</t>
        </r>
      </text>
    </comment>
    <comment ref="O1" authorId="1" shapeId="0" xr:uid="{784A9E75-BE3E-427B-BC9C-841D19D8712D}">
      <text>
        <r>
          <rPr>
            <b/>
            <sz val="9"/>
            <color indexed="81"/>
            <rFont val="Tahoma"/>
            <family val="2"/>
          </rPr>
          <t>[hs] :</t>
        </r>
        <r>
          <rPr>
            <sz val="9"/>
            <color indexed="81"/>
            <rFont val="Tahoma"/>
            <family val="2"/>
          </rPr>
          <t xml:space="preserve">
(Compare BON to RIS after Z 1-6 Harvest). </t>
        </r>
        <r>
          <rPr>
            <b/>
            <sz val="9"/>
            <color indexed="81"/>
            <rFont val="Tahoma"/>
            <family val="2"/>
          </rPr>
          <t>Nat Mort rate = 1-this</t>
        </r>
      </text>
    </comment>
    <comment ref="P1" authorId="0" shapeId="0" xr:uid="{845121A6-237A-44EB-9C53-EF9139BB6F2D}">
      <text>
        <r>
          <rPr>
            <sz val="9"/>
            <color indexed="81"/>
            <rFont val="Tahoma"/>
            <family val="2"/>
          </rPr>
          <t>Adjusted Ok Stock Comp based on RRH : RIS ratio (most consistent time-series for stock composition)</t>
        </r>
      </text>
    </comment>
    <comment ref="Q1" authorId="0" shapeId="0" xr:uid="{C091E8B7-DFD0-43C0-BDAE-AD2E3A4B9CB0}">
      <text>
        <r>
          <rPr>
            <b/>
            <sz val="9"/>
            <color indexed="81"/>
            <rFont val="Tahoma"/>
            <family val="2"/>
          </rPr>
          <t>Percent Okanagan Sockeye (aggregate) based on Wells:Rock ratio</t>
        </r>
        <r>
          <rPr>
            <sz val="9"/>
            <color indexed="81"/>
            <rFont val="Tahoma"/>
            <family val="2"/>
          </rPr>
          <t>, but does not take into account 16-hr counts at Wells pre-1998, therefore %OkSox biased low for those years.</t>
        </r>
      </text>
    </comment>
    <comment ref="R1" authorId="0" shapeId="0" xr:uid="{ECEFB265-58DA-47E0-9C65-6DD84C706F0F}">
      <text>
        <r>
          <rPr>
            <sz val="9"/>
            <color indexed="81"/>
            <rFont val="Tahoma"/>
            <family val="2"/>
          </rPr>
          <t>Adjusted Ok Stock Comp based on boosted Wells Counts (1980 to 1997).  Pct same as [orig] for 1998-202x since Total Sox at Wells unchanged in those years.</t>
        </r>
      </text>
    </comment>
    <comment ref="S1" authorId="0" shapeId="0" xr:uid="{836A3024-2A79-44E6-A976-7B906C5791FE}">
      <text>
        <r>
          <rPr>
            <b/>
            <sz val="9"/>
            <color indexed="81"/>
            <rFont val="Tahoma"/>
            <family val="2"/>
          </rPr>
          <t xml:space="preserve">Percent Okanagan Sockeye (aggregate) based on PIT tag or Scale Pattern Analysis (SPA) or DNA analyses </t>
        </r>
        <r>
          <rPr>
            <sz val="9"/>
            <color indexed="81"/>
            <rFont val="Tahoma"/>
            <family val="2"/>
          </rPr>
          <t>(from CRITFC reports)
Used as confirmation of best dam count stock composition to use</t>
        </r>
      </text>
    </comment>
    <comment ref="T1" authorId="1" shapeId="0" xr:uid="{B19773C2-C686-4D0D-AD2D-636895F505B5}">
      <text>
        <r>
          <rPr>
            <b/>
            <sz val="9"/>
            <color indexed="81"/>
            <rFont val="Tahoma"/>
            <family val="2"/>
          </rPr>
          <t>[hs] :</t>
        </r>
        <r>
          <rPr>
            <sz val="9"/>
            <color indexed="81"/>
            <rFont val="Tahoma"/>
            <family val="2"/>
          </rPr>
          <t xml:space="preserve">
from some Appendix data (App.14) that AO sent [2023-01-20], maybe from Jfryer? Hatchery-Genetic Monitoring Program (HGMP)
Used as confirmation of best dam count stock composition to use</t>
        </r>
      </text>
    </comment>
    <comment ref="U1" authorId="1" shapeId="0" xr:uid="{4AF51A7B-7BBE-4EA6-A58D-5CE45688DC65}">
      <text>
        <r>
          <rPr>
            <b/>
            <sz val="9"/>
            <color indexed="81"/>
            <rFont val="Tahoma"/>
            <family val="2"/>
          </rPr>
          <t>[hs] :</t>
        </r>
        <r>
          <rPr>
            <sz val="9"/>
            <color indexed="81"/>
            <rFont val="Tahoma"/>
            <family val="2"/>
          </rPr>
          <t xml:space="preserve">
Generally based on RRH:RI dam count ratio
[2023-01-30]</t>
        </r>
      </text>
    </comment>
    <comment ref="V1" authorId="0" shapeId="0" xr:uid="{24BB9C2B-A318-44F9-8D95-8D4DCA554414}">
      <text>
        <r>
          <rPr>
            <b/>
            <sz val="9"/>
            <color indexed="81"/>
            <rFont val="Tahoma"/>
            <family val="2"/>
          </rPr>
          <t>Estimated Okanagan OBSOLETE 
Sockeye (aggregate) based on Wells:Rock ratio using Bonn 16-hr counts… OBSOLETE</t>
        </r>
      </text>
    </comment>
    <comment ref="Z1" authorId="0" shapeId="0" xr:uid="{A9F58E35-A286-4D90-B30F-7CD550AB96CD}">
      <text>
        <r>
          <rPr>
            <b/>
            <sz val="9"/>
            <color indexed="81"/>
            <rFont val="Tahoma"/>
            <family val="2"/>
          </rPr>
          <t xml:space="preserve">Estimated Okanagan Sockeye (aggregate) based on Wells:Rock ratio. </t>
        </r>
        <r>
          <rPr>
            <sz val="9"/>
            <color indexed="81"/>
            <rFont val="Tahoma"/>
            <family val="2"/>
          </rPr>
          <t>But based on 16-hr counts at Bonn, so might be underestimating Ok returns to mouth by up to 33%!</t>
        </r>
      </text>
    </comment>
    <comment ref="AA1" authorId="0" shapeId="0" xr:uid="{C5286A1D-B55B-444B-AD6A-DC19D223C546}">
      <text>
        <r>
          <rPr>
            <b/>
            <sz val="9"/>
            <color indexed="81"/>
            <rFont val="Tahoma"/>
            <family val="2"/>
          </rPr>
          <t xml:space="preserve">Estimated Okanagan Sockeye (aggregate) based on PIT tag and DNA analyses </t>
        </r>
        <r>
          <rPr>
            <sz val="9"/>
            <color indexed="81"/>
            <rFont val="Tahoma"/>
            <family val="2"/>
          </rPr>
          <t xml:space="preserve">(from CRITFC reports)
</t>
        </r>
        <r>
          <rPr>
            <u/>
            <sz val="9"/>
            <color indexed="81"/>
            <rFont val="Tahoma"/>
            <family val="2"/>
          </rPr>
          <t>Currently not used!</t>
        </r>
      </text>
    </comment>
    <comment ref="AB1" authorId="1" shapeId="0" xr:uid="{0BF12CBC-7085-4BBE-BC27-BB3E8A4A0080}">
      <text>
        <r>
          <rPr>
            <b/>
            <sz val="9"/>
            <color indexed="81"/>
            <rFont val="Tahoma"/>
            <family val="2"/>
          </rPr>
          <t>TUM + %WEN x (d/s harvest + d/s natmort) in mainstem (BON-to-RIS) and WenRiver (RIS-to-TUM)</t>
        </r>
      </text>
    </comment>
    <comment ref="AC1" authorId="0" shapeId="0" xr:uid="{23A050EF-D0F3-4548-AAFC-9518494C976D}">
      <text>
        <r>
          <rPr>
            <b/>
            <sz val="9"/>
            <color indexed="81"/>
            <rFont val="Tahoma"/>
            <family val="2"/>
          </rPr>
          <t xml:space="preserve">Estimate of Wenatchee Sockeye (N-O) returns to the mouth of the Columbia, </t>
        </r>
        <r>
          <rPr>
            <sz val="9"/>
            <color indexed="81"/>
            <rFont val="Tahoma"/>
            <family val="2"/>
          </rPr>
          <t>based on Total Sockeye at Bonn (including d/s harvest) * Ok Stock Composition (best==RRH:RI ratio ) - proportion H-O (Judson et al. 2023)</t>
        </r>
      </text>
    </comment>
    <comment ref="AD1" authorId="0" shapeId="0" xr:uid="{E0EABDE5-D30A-4CD7-B2A9-C51F4790CE44}">
      <text>
        <r>
          <rPr>
            <b/>
            <sz val="9"/>
            <color indexed="81"/>
            <rFont val="Tahoma"/>
            <family val="2"/>
          </rPr>
          <t xml:space="preserve">Estimate of Okanagan Sockeye (aggregate) returns to the mouth of the Columbia, </t>
        </r>
        <r>
          <rPr>
            <sz val="9"/>
            <color indexed="81"/>
            <rFont val="Tahoma"/>
            <family val="2"/>
          </rPr>
          <t>based on Total Sockeye at Bonn (including d/s harvest) * Ok Stock Composition (best==RRH:RI ratio usually, or PIT analyses (CRITFC)</t>
        </r>
      </text>
    </comment>
    <comment ref="AE1" authorId="0" shapeId="0" xr:uid="{47311C28-21DF-4699-94F8-4183A51B7372}">
      <text>
        <r>
          <rPr>
            <b/>
            <sz val="9"/>
            <color indexed="81"/>
            <rFont val="Tahoma"/>
            <family val="2"/>
          </rPr>
          <t xml:space="preserve">Estimate of Wenatchee Sockeye (aggregate NO and HO) returns to the mouth of the Columbia, </t>
        </r>
        <r>
          <rPr>
            <sz val="9"/>
            <color indexed="81"/>
            <rFont val="Tahoma"/>
            <family val="2"/>
          </rPr>
          <t>based on Total Sockeye at Bonn (including d/s harvest) * Ok Stock Composition (best==RRH:RI ratio usually, or PIT analyses (CRITFC)</t>
        </r>
      </text>
    </comment>
    <comment ref="AF1" authorId="1" shapeId="0" xr:uid="{17B5CB84-34D8-400C-878D-19803DC28F67}">
      <text>
        <r>
          <rPr>
            <b/>
            <sz val="9"/>
            <color indexed="81"/>
            <rFont val="Tahoma"/>
            <family val="2"/>
          </rPr>
          <t>[hs] :</t>
        </r>
        <r>
          <rPr>
            <sz val="9"/>
            <color indexed="81"/>
            <rFont val="Tahoma"/>
            <family val="2"/>
          </rPr>
          <t xml:space="preserve">
Mainstem morts </t>
        </r>
      </text>
    </comment>
    <comment ref="AI1" authorId="0" shapeId="0" xr:uid="{A8B32D8A-C96B-4F2B-8B8E-D3DE5271C65D}">
      <text>
        <r>
          <rPr>
            <sz val="9"/>
            <color indexed="81"/>
            <rFont val="Tahoma"/>
            <family val="2"/>
          </rPr>
          <t>Actually,</t>
        </r>
        <r>
          <rPr>
            <b/>
            <sz val="9"/>
            <color indexed="81"/>
            <rFont val="Tahoma"/>
            <family val="2"/>
          </rPr>
          <t xml:space="preserve"> Total REC COM &amp; TRTY Harvest Below Bonn
Zones 1-5 (below BONN)
Updated from Ryan Lothrop (WDFW; May 2024)
See workbook Columbia River Sockeye Harvest (WDFW &amp; ONA 240515)
</t>
        </r>
      </text>
    </comment>
    <comment ref="AJ1" authorId="0" shapeId="0" xr:uid="{F73D24B1-8C8A-4398-A034-44F9CFF70380}">
      <text>
        <r>
          <rPr>
            <b/>
            <sz val="9"/>
            <color indexed="81"/>
            <rFont val="Tahoma"/>
            <family val="2"/>
          </rPr>
          <t xml:space="preserve">Harvest between BONN and WELLS (Zone 6)
</t>
        </r>
        <r>
          <rPr>
            <sz val="9"/>
            <color indexed="81"/>
            <rFont val="Tahoma"/>
            <family val="2"/>
          </rPr>
          <t xml:space="preserve">
From OFW/WDFW 2022 Joint Staff Report Table 15 p.78
https://www.dfw.state.or.us/fish/OSCRP/CRM/reports/22_reports/2022%20OR_WA%20Spring%20Joint%20Staff%20Report.pdf 
NOTE: The retention of </t>
        </r>
        <r>
          <rPr>
            <b/>
            <sz val="9"/>
            <color indexed="81"/>
            <rFont val="Tahoma"/>
            <family val="2"/>
          </rPr>
          <t>sockeye is prohibited in all Columbia River recreational fisheries</t>
        </r>
        <r>
          <rPr>
            <sz val="9"/>
            <color indexed="81"/>
            <rFont val="Tahoma"/>
            <family val="2"/>
          </rPr>
          <t xml:space="preserve"> under permanent 
regulations. The states may allow sockeye retention in the recreational fishery when the run size 
exceeds 75,000 fish at Bonneville Dam if non-treaty impacts remain less than 1% of the run</t>
        </r>
      </text>
    </comment>
    <comment ref="AK1" authorId="1" shapeId="0" xr:uid="{D87476BD-2CBF-4B22-BFAA-198D258A7F1D}">
      <text>
        <r>
          <rPr>
            <b/>
            <sz val="9"/>
            <color indexed="81"/>
            <rFont val="Tahoma"/>
            <family val="2"/>
          </rPr>
          <t>[hs] :</t>
        </r>
        <r>
          <rPr>
            <sz val="9"/>
            <color indexed="81"/>
            <rFont val="Tahoma"/>
            <family val="2"/>
          </rPr>
          <t xml:space="preserve">
Kept and released</t>
        </r>
      </text>
    </comment>
    <comment ref="AM1" authorId="1" shapeId="0" xr:uid="{5BC01B22-AAEB-43AC-9249-359CE61DE2BE}">
      <text>
        <r>
          <rPr>
            <b/>
            <sz val="9"/>
            <color indexed="81"/>
            <rFont val="Tahoma"/>
            <family val="2"/>
          </rPr>
          <t xml:space="preserve">Data 2012-2022 from Ryan T Fortier WDFW </t>
        </r>
        <r>
          <rPr>
            <sz val="9"/>
            <color indexed="81"/>
            <rFont val="Tahoma"/>
            <family val="2"/>
          </rPr>
          <t>[2023-03-02]
C:\Users\StiffH\Documents\FISHERIES\SALMON INDEX STOCKS\WENATCHEE\HARVEST\[Mid-Columbia RecFish Harvest Estimates .xlsx]</t>
        </r>
      </text>
    </comment>
    <comment ref="AN1" authorId="1" shapeId="0" xr:uid="{57066D6C-90DE-49CE-A080-EBEC22CC3BAC}">
      <text>
        <r>
          <rPr>
            <b/>
            <sz val="9"/>
            <color indexed="81"/>
            <rFont val="Tahoma"/>
            <family val="2"/>
          </rPr>
          <t xml:space="preserve">Data 2012-2022 from Ryan T Fortier WDFW </t>
        </r>
        <r>
          <rPr>
            <sz val="9"/>
            <color indexed="81"/>
            <rFont val="Tahoma"/>
            <family val="2"/>
          </rPr>
          <t>[2023-03-02]
C:\Users\StiffH\Documents\FISHERIES\SALMON INDEX STOCKS\WENATCHEE\HARVEST\[Mid-Columbia RecFish Harvest Estimates .xlsx]</t>
        </r>
      </text>
    </comment>
    <comment ref="AO1" authorId="1" shapeId="0" xr:uid="{6A547BFB-EE5C-43CE-8D09-EBD775A1637A}">
      <text>
        <r>
          <rPr>
            <b/>
            <sz val="9"/>
            <color indexed="81"/>
            <rFont val="Tahoma"/>
            <family val="2"/>
          </rPr>
          <t xml:space="preserve">Data 2012-2022 from Ryan T Fortier WDFW </t>
        </r>
        <r>
          <rPr>
            <sz val="9"/>
            <color indexed="81"/>
            <rFont val="Tahoma"/>
            <family val="2"/>
          </rPr>
          <t>[2023-03-02]
C:\Users\StiffH\Documents\FISHERIES\SALMON INDEX STOCKS\WENATCHEE\HARVEST\[Mid-Columbia RecFish Harvest Estimates .xlsx]</t>
        </r>
      </text>
    </comment>
    <comment ref="AR1" authorId="0" shapeId="0" xr:uid="{B931A196-FAA4-4500-B33B-F26AD305DA64}">
      <text>
        <r>
          <rPr>
            <b/>
            <sz val="9"/>
            <color indexed="81"/>
            <rFont val="Tahoma"/>
            <family val="2"/>
          </rPr>
          <t xml:space="preserve">Harvest below WELLS (Zones 1-6)
</t>
        </r>
        <r>
          <rPr>
            <sz val="9"/>
            <color indexed="81"/>
            <rFont val="Tahoma"/>
            <family val="2"/>
          </rPr>
          <t xml:space="preserve">
From OFW/WDFW 2022 Joint Staff Report Table 15 p.78
https://www.dfw.state.or.us/fish/OSCRP/CRM/reports/22_reports/2022%20OR_WA%20Spring%20Joint%20Staff%20Report.pdf </t>
        </r>
      </text>
    </comment>
    <comment ref="AS1" authorId="0" shapeId="0" xr:uid="{2A0F1AF8-D7BB-4B2A-833B-7F26A74CD983}">
      <text>
        <r>
          <rPr>
            <b/>
            <sz val="9"/>
            <color indexed="81"/>
            <rFont val="Tahoma"/>
            <family val="2"/>
          </rPr>
          <t>Estimated Harvest of Okanagan-bound SK below WELLS</t>
        </r>
        <r>
          <rPr>
            <sz val="9"/>
            <color indexed="81"/>
            <rFont val="Tahoma"/>
            <family val="2"/>
          </rPr>
          <t xml:space="preserve">
based on Wells:Rock ratio</t>
        </r>
      </text>
    </comment>
    <comment ref="AT1" authorId="0" shapeId="0" xr:uid="{24BAF42E-63F8-44D4-A50D-3F5845B8C0F3}">
      <text>
        <r>
          <rPr>
            <b/>
            <sz val="9"/>
            <color indexed="81"/>
            <rFont val="Tahoma"/>
            <family val="2"/>
          </rPr>
          <t>Estimated Harvest of Okanagan-bound SK below WELLS</t>
        </r>
        <r>
          <rPr>
            <sz val="9"/>
            <color indexed="81"/>
            <rFont val="Tahoma"/>
            <family val="2"/>
          </rPr>
          <t xml:space="preserve">
based on Wells:Rock ratio</t>
        </r>
      </text>
    </comment>
    <comment ref="AU1" authorId="0" shapeId="0" xr:uid="{CFFDADB8-6384-48D1-8004-0B46764AB0E9}">
      <text>
        <r>
          <rPr>
            <b/>
            <sz val="9"/>
            <color indexed="81"/>
            <rFont val="Tahoma"/>
            <family val="2"/>
          </rPr>
          <t>Estimated Harvest of Okanagan-bound SK below WELLS</t>
        </r>
        <r>
          <rPr>
            <sz val="9"/>
            <color indexed="81"/>
            <rFont val="Tahoma"/>
            <family val="2"/>
          </rPr>
          <t xml:space="preserve">
based on Wells:Rock ratio</t>
        </r>
      </text>
    </comment>
    <comment ref="AV1" authorId="0" shapeId="0" xr:uid="{E15F2D4B-B719-4192-A64F-96EE2EB14D48}">
      <text>
        <r>
          <rPr>
            <b/>
            <sz val="9"/>
            <color indexed="81"/>
            <rFont val="Tahoma"/>
            <family val="2"/>
          </rPr>
          <t>Total SK returns to Wells</t>
        </r>
        <r>
          <rPr>
            <sz val="9"/>
            <color indexed="81"/>
            <rFont val="Tahoma"/>
            <family val="2"/>
          </rPr>
          <t xml:space="preserve"> (adjusted for fishing mortality), but not natural mortality</t>
        </r>
      </text>
    </comment>
    <comment ref="AW1" authorId="0" shapeId="0" xr:uid="{1773ED9F-7BD3-4750-96EF-ACC421614D89}">
      <text>
        <r>
          <rPr>
            <b/>
            <sz val="9"/>
            <color indexed="81"/>
            <rFont val="Tahoma"/>
            <family val="2"/>
          </rPr>
          <t>Total SK returns to Wells</t>
        </r>
        <r>
          <rPr>
            <sz val="9"/>
            <color indexed="81"/>
            <rFont val="Tahoma"/>
            <family val="2"/>
          </rPr>
          <t xml:space="preserve"> (adjusted for fishing mortality), but not natural mortality</t>
        </r>
      </text>
    </comment>
    <comment ref="AY1" authorId="2" shapeId="0" xr:uid="{ED74EBC2-E6EA-4BC2-82DD-12DEE3AF4CE8}">
      <text>
        <r>
          <rPr>
            <sz val="9"/>
            <color indexed="81"/>
            <rFont val="Tahoma"/>
            <family val="2"/>
          </rPr>
          <t>No 16-hr counts available at RRH, so start with WELLS M estimate, and subtract RRH-to-WELLS mortality rate to get BONN-to-RRH mort rate (which can't be &gt; Bonn-Wellls mort. Rate)
[2023-01-22]</t>
        </r>
      </text>
    </comment>
    <comment ref="AZ1" authorId="2" shapeId="0" xr:uid="{C673FA24-37C2-4FAF-8964-C6979A747816}">
      <text>
        <r>
          <rPr>
            <sz val="9"/>
            <color indexed="81"/>
            <rFont val="Tahoma"/>
            <family val="2"/>
          </rPr>
          <t>using 16-hr counts at Bonn vs 16-hr counts at Wells, to not bias mainstem mort calculation [2022-10-30]</t>
        </r>
      </text>
    </comment>
    <comment ref="BE1" authorId="1" shapeId="0" xr:uid="{41430746-F03E-49B7-8724-1C0A3A012A92}">
      <text>
        <r>
          <rPr>
            <b/>
            <sz val="9"/>
            <color indexed="81"/>
            <rFont val="Tahoma"/>
            <family val="2"/>
          </rPr>
          <t xml:space="preserve">Data 2012-2022 from Ryan T Fortier WDFW </t>
        </r>
        <r>
          <rPr>
            <sz val="9"/>
            <color indexed="81"/>
            <rFont val="Tahoma"/>
            <family val="2"/>
          </rPr>
          <t>[2023-03-02]
C:\Users\StiffH\Documents\FISHERIES\SALMON INDEX STOCKS\WENATCHEE\HARVEST\[Mid-Columbia RecFish Harvest Estimates .xlsx]</t>
        </r>
      </text>
    </comment>
    <comment ref="BF1" authorId="0" shapeId="0" xr:uid="{392D2650-A9B9-498B-AF27-E5E7488B4ED1}">
      <text>
        <r>
          <rPr>
            <b/>
            <sz val="9"/>
            <color indexed="81"/>
            <rFont val="Tahoma"/>
            <family val="2"/>
          </rPr>
          <t xml:space="preserve">Okanagan Sockeye estimates at COLUMBIA RIVER MOUTH vs WELLS
</t>
        </r>
        <r>
          <rPr>
            <sz val="9"/>
            <color indexed="81"/>
            <rFont val="Tahoma"/>
            <family val="2"/>
          </rPr>
          <t>Should not be negative because that suggests more Ok Sox arrived at Wells than arrived at at the river mouth
This should be a reasonable estimate of natural mortality in the river...</t>
        </r>
      </text>
    </comment>
    <comment ref="BH1" authorId="0" shapeId="0" xr:uid="{F9E8FDC6-0D09-4D4A-BFD3-D39CDD1FEB5A}">
      <text>
        <r>
          <rPr>
            <sz val="9"/>
            <color indexed="81"/>
            <rFont val="Tahoma"/>
            <family val="2"/>
          </rPr>
          <t>Based on comparison of 16-hr counts from Mouth to Wells, but ignores (i.e., incorporates) Ok Harvest, so this is an approx survival rate (a.k.a. "conversion rate") between sites - indicative of river conditions (nat mort).</t>
        </r>
      </text>
    </comment>
    <comment ref="BQ1" authorId="1" shapeId="0" xr:uid="{4F7951CB-A817-4891-B7B0-E9A8273DAB35}">
      <text>
        <r>
          <rPr>
            <sz val="9"/>
            <color indexed="81"/>
            <rFont val="Tahoma"/>
            <family val="2"/>
          </rPr>
          <t>%Natural Origin on the Spawning Grounds (vs Hatchery Origin)</t>
        </r>
      </text>
    </comment>
    <comment ref="BR1" authorId="1" shapeId="0" xr:uid="{195741BE-7957-48A9-A9CC-CB986F990589}">
      <text>
        <r>
          <rPr>
            <b/>
            <sz val="9"/>
            <color indexed="81"/>
            <rFont val="Tahoma"/>
            <family val="2"/>
          </rPr>
          <t>[hs] : preferred est.</t>
        </r>
        <r>
          <rPr>
            <sz val="9"/>
            <color indexed="81"/>
            <rFont val="Tahoma"/>
            <family val="2"/>
          </rPr>
          <t xml:space="preserve">
based on %Skaha in deadpitch * Oka_Abund (RRH dam + F + M) </t>
        </r>
      </text>
    </comment>
    <comment ref="BS1" authorId="1" shapeId="0" xr:uid="{1BE86C2A-3519-4264-B9F4-B61F4E8779F5}">
      <text>
        <r>
          <rPr>
            <b/>
            <sz val="9"/>
            <color indexed="81"/>
            <rFont val="Tahoma"/>
            <family val="2"/>
          </rPr>
          <t>[hs] :</t>
        </r>
        <r>
          <rPr>
            <sz val="9"/>
            <color indexed="81"/>
            <rFont val="Tahoma"/>
            <family val="2"/>
          </rPr>
          <t xml:space="preserve">
from AO file 
SKAHA koksox sprs to 2021.xlsx
[2023-01-19]</t>
        </r>
      </text>
    </comment>
    <comment ref="BV1" authorId="1" shapeId="0" xr:uid="{1C05AD3C-2C4C-431C-8D44-6006C5397046}">
      <text>
        <r>
          <rPr>
            <b/>
            <sz val="9"/>
            <color indexed="81"/>
            <rFont val="Tahoma"/>
            <family val="2"/>
          </rPr>
          <t>[hs] :</t>
        </r>
        <r>
          <rPr>
            <sz val="9"/>
            <color indexed="81"/>
            <rFont val="Tahoma"/>
            <family val="2"/>
          </rPr>
          <t xml:space="preserve">
% of Okanagan Sockeye Returns</t>
        </r>
      </text>
    </comment>
    <comment ref="BW1" authorId="1" shapeId="0" xr:uid="{EA89FD29-BC4E-4E11-B808-AFAD81218E74}">
      <text>
        <r>
          <rPr>
            <b/>
            <sz val="9"/>
            <color indexed="81"/>
            <rFont val="Tahoma"/>
            <family val="2"/>
          </rPr>
          <t>[hs] :</t>
        </r>
        <r>
          <rPr>
            <sz val="9"/>
            <color indexed="81"/>
            <rFont val="Tahoma"/>
            <family val="2"/>
          </rPr>
          <t xml:space="preserve">
preferred estimate using Oka% = RRH:RI ratio
Formulaically duplicated in tab </t>
        </r>
        <r>
          <rPr>
            <i/>
            <sz val="9"/>
            <color indexed="81"/>
            <rFont val="Tahoma"/>
            <family val="2"/>
          </rPr>
          <t xml:space="preserve">ADULT AGE COMPOSITION 230117 </t>
        </r>
        <r>
          <rPr>
            <sz val="9"/>
            <color indexed="81"/>
            <rFont val="Tahoma"/>
            <family val="2"/>
          </rPr>
          <t>and</t>
        </r>
        <r>
          <rPr>
            <i/>
            <sz val="9"/>
            <color indexed="81"/>
            <rFont val="Tahoma"/>
            <family val="2"/>
          </rPr>
          <t xml:space="preserve"> ADULT RETURNS DATA
</t>
        </r>
        <r>
          <rPr>
            <b/>
            <sz val="9"/>
            <color indexed="81"/>
            <rFont val="Tahoma"/>
            <family val="2"/>
          </rPr>
          <t xml:space="preserve">
Does NOT take into account %H-O in lower OK River, as ColinB's method does</t>
        </r>
      </text>
    </comment>
    <comment ref="CD1" authorId="1" shapeId="0" xr:uid="{99C0CC07-4477-4345-8208-CBF853F85440}">
      <text>
        <r>
          <rPr>
            <b/>
            <sz val="9"/>
            <color indexed="81"/>
            <rFont val="Tahoma"/>
            <family val="2"/>
          </rPr>
          <t>[hs] :</t>
        </r>
        <r>
          <rPr>
            <sz val="9"/>
            <color indexed="81"/>
            <rFont val="Tahoma"/>
            <family val="2"/>
          </rPr>
          <t xml:space="preserve">
Percents based on ratios in tab </t>
        </r>
        <r>
          <rPr>
            <b/>
            <sz val="9"/>
            <color indexed="81"/>
            <rFont val="Tahoma"/>
            <family val="2"/>
          </rPr>
          <t>Spawn Grounds Sumry by Substock</t>
        </r>
        <r>
          <rPr>
            <sz val="9"/>
            <color indexed="81"/>
            <rFont val="Tahoma"/>
            <family val="2"/>
          </rPr>
          <t xml:space="preserve"> (not CB's estimates) [2023-09-26]</t>
        </r>
      </text>
    </comment>
    <comment ref="CG1" authorId="1" shapeId="0" xr:uid="{14D75B34-D640-4BB5-9430-559C246516A9}">
      <text>
        <r>
          <rPr>
            <b/>
            <sz val="9"/>
            <color indexed="81"/>
            <rFont val="Tahoma"/>
            <family val="2"/>
          </rPr>
          <t>[hs] :</t>
        </r>
        <r>
          <rPr>
            <sz val="9"/>
            <color indexed="81"/>
            <rFont val="Tahoma"/>
            <family val="2"/>
          </rPr>
          <t xml:space="preserve">
These numbers are formulaically copied into sheets </t>
        </r>
        <r>
          <rPr>
            <b/>
            <sz val="9"/>
            <color indexed="81"/>
            <rFont val="Tahoma"/>
            <family val="2"/>
          </rPr>
          <t>ADULT AGE COMPOSITION 230117</t>
        </r>
        <r>
          <rPr>
            <sz val="9"/>
            <color indexed="81"/>
            <rFont val="Tahoma"/>
            <family val="2"/>
          </rPr>
          <t xml:space="preserve"> and </t>
        </r>
        <r>
          <rPr>
            <b/>
            <sz val="9"/>
            <color indexed="81"/>
            <rFont val="Tahoma"/>
            <family val="2"/>
          </rPr>
          <t>ADULT</t>
        </r>
        <r>
          <rPr>
            <sz val="9"/>
            <color indexed="81"/>
            <rFont val="Tahoma"/>
            <family val="2"/>
          </rPr>
          <t xml:space="preserve"> </t>
        </r>
        <r>
          <rPr>
            <b/>
            <sz val="9"/>
            <color indexed="81"/>
            <rFont val="Tahoma"/>
            <family val="2"/>
          </rPr>
          <t>RETURNS DATA,</t>
        </r>
        <r>
          <rPr>
            <sz val="9"/>
            <color indexed="81"/>
            <rFont val="Tahoma"/>
            <family val="2"/>
          </rPr>
          <t xml:space="preserve"> for pivoting to SAR estimates by Smolt Year in </t>
        </r>
        <r>
          <rPr>
            <b/>
            <sz val="9"/>
            <color indexed="81"/>
            <rFont val="Tahoma"/>
            <family val="2"/>
          </rPr>
          <t>Smolt to Adult Survival</t>
        </r>
        <r>
          <rPr>
            <sz val="9"/>
            <color indexed="81"/>
            <rFont val="Tahoma"/>
            <family val="2"/>
          </rPr>
          <t xml:space="preserve">.  [2023-05-26]
These recruitment estimates should be used in published analyses since they contain </t>
        </r>
        <r>
          <rPr>
            <b/>
            <i/>
            <sz val="9"/>
            <color indexed="81"/>
            <rFont val="Tahoma"/>
            <family val="2"/>
          </rPr>
          <t>best estimates of HO:NO fish on all spawning grounds,</t>
        </r>
        <r>
          <rPr>
            <sz val="9"/>
            <color indexed="81"/>
            <rFont val="Tahoma"/>
            <family val="2"/>
          </rPr>
          <t xml:space="preserve"> whereas this workbook does not yet handle the HO:NO details in the lower OkR as comprehensively.
[2023-05-26]</t>
        </r>
      </text>
    </comment>
    <comment ref="B2" authorId="1" shapeId="0" xr:uid="{CEF535A1-0313-4055-8C0B-2B9D15AF6B22}">
      <text>
        <r>
          <rPr>
            <b/>
            <sz val="9"/>
            <color indexed="81"/>
            <rFont val="Tahoma"/>
            <family val="2"/>
          </rPr>
          <t>[hs] :</t>
        </r>
        <r>
          <rPr>
            <sz val="9"/>
            <color indexed="81"/>
            <rFont val="Tahoma"/>
            <family val="2"/>
          </rPr>
          <t xml:space="preserve">
Unknown downstream harvest...</t>
        </r>
      </text>
    </comment>
    <comment ref="E2" authorId="1" shapeId="0" xr:uid="{BC34796B-5EDD-45E9-AE23-F7432F4A36BB}">
      <text>
        <r>
          <rPr>
            <b/>
            <sz val="9"/>
            <color indexed="81"/>
            <rFont val="Tahoma"/>
            <family val="2"/>
          </rPr>
          <t>[hs] :</t>
        </r>
        <r>
          <rPr>
            <sz val="9"/>
            <color indexed="81"/>
            <rFont val="Tahoma"/>
            <family val="2"/>
          </rPr>
          <t xml:space="preserve">
Estimate 24-hr count based on 16-hr count and weighted multi-year 16-to-24 hr count adjustment for 1994-2002. 
See tab </t>
        </r>
        <r>
          <rPr>
            <b/>
            <sz val="9"/>
            <color indexed="81"/>
            <rFont val="Tahoma"/>
            <family val="2"/>
          </rPr>
          <t>BON Count Adjustment</t>
        </r>
      </text>
    </comment>
    <comment ref="F2" authorId="1" shapeId="0" xr:uid="{2A9BF715-81F7-4B58-91A5-6C03208C02B3}">
      <text>
        <r>
          <rPr>
            <b/>
            <sz val="9"/>
            <color indexed="81"/>
            <rFont val="Tahoma"/>
            <family val="2"/>
          </rPr>
          <t>[hs] :</t>
        </r>
        <r>
          <rPr>
            <sz val="9"/>
            <color indexed="81"/>
            <rFont val="Tahoma"/>
            <family val="2"/>
          </rPr>
          <t xml:space="preserve">
Lower Granite dam count only</t>
        </r>
      </text>
    </comment>
    <comment ref="I2" authorId="1" shapeId="0" xr:uid="{489F329E-7379-4405-98C3-53D23411AAED}">
      <text>
        <r>
          <rPr>
            <b/>
            <sz val="9"/>
            <color indexed="81"/>
            <rFont val="Tahoma"/>
            <family val="2"/>
          </rPr>
          <t>[hs] :</t>
        </r>
        <r>
          <rPr>
            <sz val="9"/>
            <color indexed="81"/>
            <rFont val="Tahoma"/>
            <family val="2"/>
          </rPr>
          <t xml:space="preserve">
</t>
        </r>
        <r>
          <rPr>
            <b/>
            <sz val="9"/>
            <color indexed="81"/>
            <rFont val="Tahoma"/>
            <family val="2"/>
          </rPr>
          <t>Using 16-to-24-hr adj factor (1.12)</t>
        </r>
        <r>
          <rPr>
            <sz val="9"/>
            <color indexed="81"/>
            <rFont val="Tahoma"/>
            <family val="2"/>
          </rPr>
          <t xml:space="preserve"> up to 1993 based on multi-year avg 2004-2011 at RRH (from CW WDFW)
[2023-02-02]</t>
        </r>
      </text>
    </comment>
    <comment ref="L2" authorId="0" shapeId="0" xr:uid="{1EB13749-C40A-4361-8069-017CEB5390C2}">
      <text>
        <r>
          <rPr>
            <sz val="9"/>
            <color indexed="81"/>
            <rFont val="Tahoma"/>
            <family val="2"/>
          </rPr>
          <t>Estimated from 16-hr counts (pre-1998) + average annual difference 13.2% between 16- and 24-hour counts (1998-2022; Tom Kahler pers. comm.), i.e. 16-hr count x 1.132 [hs 2022-10-17]</t>
        </r>
      </text>
    </comment>
    <comment ref="CG2" authorId="1" shapeId="0" xr:uid="{F4A9DA16-5783-42BA-ADD7-5599E8D81986}">
      <text>
        <r>
          <rPr>
            <b/>
            <sz val="9"/>
            <color indexed="81"/>
            <rFont val="Tahoma"/>
            <family val="2"/>
          </rPr>
          <t>[hs] :</t>
        </r>
        <r>
          <rPr>
            <sz val="9"/>
            <color indexed="81"/>
            <rFont val="Tahoma"/>
            <family val="2"/>
          </rPr>
          <t xml:space="preserve">
red text means
Minor differences vs Colin B's Table 1
[23.11.06]</t>
        </r>
      </text>
    </comment>
    <comment ref="B3" authorId="1" shapeId="0" xr:uid="{DD97AA86-F582-4EBA-B8ED-AFEA2ADC1F21}">
      <text>
        <r>
          <rPr>
            <b/>
            <sz val="9"/>
            <color indexed="81"/>
            <rFont val="Tahoma"/>
            <family val="2"/>
          </rPr>
          <t>[hs] :</t>
        </r>
        <r>
          <rPr>
            <sz val="9"/>
            <color indexed="81"/>
            <rFont val="Tahoma"/>
            <family val="2"/>
          </rPr>
          <t xml:space="preserve">
Unknown downstream harvest...</t>
        </r>
      </text>
    </comment>
    <comment ref="E3" authorId="1" shapeId="0" xr:uid="{98053752-D73A-4A05-A094-19E1C71FD42F}">
      <text>
        <r>
          <rPr>
            <b/>
            <sz val="9"/>
            <color indexed="81"/>
            <rFont val="Tahoma"/>
            <family val="2"/>
          </rPr>
          <t>[hs] :</t>
        </r>
        <r>
          <rPr>
            <sz val="9"/>
            <color indexed="81"/>
            <rFont val="Tahoma"/>
            <family val="2"/>
          </rPr>
          <t xml:space="preserve">
Estimate 24-hr count based on 16-hr count and multi-year 16-to-24 hr count adjustment for 1994-2002. See tab </t>
        </r>
        <r>
          <rPr>
            <b/>
            <sz val="9"/>
            <color indexed="81"/>
            <rFont val="Tahoma"/>
            <family val="2"/>
          </rPr>
          <t>BON Count Adjustment</t>
        </r>
      </text>
    </comment>
    <comment ref="F3" authorId="1" shapeId="0" xr:uid="{C1D35199-6968-4A10-8FFD-F79BC00F3E0D}">
      <text>
        <r>
          <rPr>
            <b/>
            <sz val="9"/>
            <color indexed="81"/>
            <rFont val="Tahoma"/>
            <family val="2"/>
          </rPr>
          <t>[hs] :</t>
        </r>
        <r>
          <rPr>
            <sz val="9"/>
            <color indexed="81"/>
            <rFont val="Tahoma"/>
            <family val="2"/>
          </rPr>
          <t xml:space="preserve">
Lower Granite dam count only</t>
        </r>
      </text>
    </comment>
    <comment ref="I3" authorId="1" shapeId="0" xr:uid="{14BE2673-5B05-4DA6-94E1-14CB2A670022}">
      <text>
        <r>
          <rPr>
            <b/>
            <sz val="9"/>
            <color indexed="81"/>
            <rFont val="Tahoma"/>
            <family val="2"/>
          </rPr>
          <t>[hs] :</t>
        </r>
        <r>
          <rPr>
            <sz val="9"/>
            <color indexed="81"/>
            <rFont val="Tahoma"/>
            <family val="2"/>
          </rPr>
          <t xml:space="preserve">
</t>
        </r>
        <r>
          <rPr>
            <b/>
            <sz val="9"/>
            <color indexed="81"/>
            <rFont val="Tahoma"/>
            <family val="2"/>
          </rPr>
          <t>Using 16-to-24-hr adj factor (1.12)</t>
        </r>
        <r>
          <rPr>
            <sz val="9"/>
            <color indexed="81"/>
            <rFont val="Tahoma"/>
            <family val="2"/>
          </rPr>
          <t xml:space="preserve"> up to 1993 based on multi-year avg 2004-2011 at RRH (from CW WDFW)
[2023-02-02]</t>
        </r>
      </text>
    </comment>
    <comment ref="L3" authorId="0" shapeId="0" xr:uid="{ADED6051-A2E5-4AA1-A53A-3F274B43292A}">
      <text>
        <r>
          <rPr>
            <sz val="9"/>
            <color indexed="81"/>
            <rFont val="Tahoma"/>
            <family val="2"/>
          </rPr>
          <t>Estimated from 16-hr counts (pre-1998) + average annual difference 13.2% between 16- and 24-hour counts (1998-2022; Tom Kahler pers. comm.), i.e. 16-hr count x 1.132 [hs 2022-10-17]</t>
        </r>
      </text>
    </comment>
    <comment ref="B4" authorId="1" shapeId="0" xr:uid="{A4DC5C36-5155-4097-8543-0527E7FD69E3}">
      <text>
        <r>
          <rPr>
            <b/>
            <sz val="9"/>
            <color indexed="81"/>
            <rFont val="Tahoma"/>
            <family val="2"/>
          </rPr>
          <t>[hs] :</t>
        </r>
        <r>
          <rPr>
            <sz val="9"/>
            <color indexed="81"/>
            <rFont val="Tahoma"/>
            <family val="2"/>
          </rPr>
          <t xml:space="preserve">
Unknown downstream harvest...</t>
        </r>
      </text>
    </comment>
    <comment ref="E4" authorId="1" shapeId="0" xr:uid="{ED2EFE7A-9273-4069-A64B-FA5A5EDDC7AB}">
      <text>
        <r>
          <rPr>
            <b/>
            <sz val="9"/>
            <color indexed="81"/>
            <rFont val="Tahoma"/>
            <family val="2"/>
          </rPr>
          <t>[hs] :</t>
        </r>
        <r>
          <rPr>
            <sz val="9"/>
            <color indexed="81"/>
            <rFont val="Tahoma"/>
            <family val="2"/>
          </rPr>
          <t xml:space="preserve">
Estimate 24-hr count based on 16-hr count and multi-year 16-to-24 hr count adjustment for 1994-2002. See tab </t>
        </r>
        <r>
          <rPr>
            <b/>
            <sz val="9"/>
            <color indexed="81"/>
            <rFont val="Tahoma"/>
            <family val="2"/>
          </rPr>
          <t>BON Count Adjustment</t>
        </r>
      </text>
    </comment>
    <comment ref="F4" authorId="1" shapeId="0" xr:uid="{9CD014B2-1F66-430C-8688-639A98E9594B}">
      <text>
        <r>
          <rPr>
            <b/>
            <sz val="9"/>
            <color indexed="81"/>
            <rFont val="Tahoma"/>
            <family val="2"/>
          </rPr>
          <t>[hs] :</t>
        </r>
        <r>
          <rPr>
            <sz val="9"/>
            <color indexed="81"/>
            <rFont val="Tahoma"/>
            <family val="2"/>
          </rPr>
          <t xml:space="preserve">
Lower Granite dam count only</t>
        </r>
      </text>
    </comment>
    <comment ref="I4" authorId="1" shapeId="0" xr:uid="{D00F4495-6A8F-42EC-894C-867BFDB72ECC}">
      <text>
        <r>
          <rPr>
            <b/>
            <sz val="9"/>
            <color indexed="81"/>
            <rFont val="Tahoma"/>
            <family val="2"/>
          </rPr>
          <t>[hs] :</t>
        </r>
        <r>
          <rPr>
            <sz val="9"/>
            <color indexed="81"/>
            <rFont val="Tahoma"/>
            <family val="2"/>
          </rPr>
          <t xml:space="preserve">
</t>
        </r>
        <r>
          <rPr>
            <b/>
            <sz val="9"/>
            <color indexed="81"/>
            <rFont val="Tahoma"/>
            <family val="2"/>
          </rPr>
          <t>Using 16-to-24-hr adj factor (1.12)</t>
        </r>
        <r>
          <rPr>
            <sz val="9"/>
            <color indexed="81"/>
            <rFont val="Tahoma"/>
            <family val="2"/>
          </rPr>
          <t xml:space="preserve"> up to 1993 based on multi-year avg 2004-2011 at RRH (from CW WDFW)
[2023-02-02]</t>
        </r>
      </text>
    </comment>
    <comment ref="E5" authorId="1" shapeId="0" xr:uid="{B4CEA82F-00F7-4E49-A151-D288218A35E7}">
      <text>
        <r>
          <rPr>
            <b/>
            <sz val="9"/>
            <color indexed="81"/>
            <rFont val="Tahoma"/>
            <family val="2"/>
          </rPr>
          <t>[hs] :</t>
        </r>
        <r>
          <rPr>
            <sz val="9"/>
            <color indexed="81"/>
            <rFont val="Tahoma"/>
            <family val="2"/>
          </rPr>
          <t xml:space="preserve">
Estimate 24-hr count based on 16-hr count and multi-year 16-to-24 hr count adjustment for 1994-2002. See tab </t>
        </r>
        <r>
          <rPr>
            <b/>
            <sz val="9"/>
            <color indexed="81"/>
            <rFont val="Tahoma"/>
            <family val="2"/>
          </rPr>
          <t>BON Count Adjustment</t>
        </r>
      </text>
    </comment>
    <comment ref="I5" authorId="1" shapeId="0" xr:uid="{6AFA98A3-888F-44B9-AB89-F4B0A2815F8B}">
      <text>
        <r>
          <rPr>
            <b/>
            <sz val="9"/>
            <color indexed="81"/>
            <rFont val="Tahoma"/>
            <family val="2"/>
          </rPr>
          <t>[hs] :</t>
        </r>
        <r>
          <rPr>
            <sz val="9"/>
            <color indexed="81"/>
            <rFont val="Tahoma"/>
            <family val="2"/>
          </rPr>
          <t xml:space="preserve">
</t>
        </r>
        <r>
          <rPr>
            <b/>
            <sz val="9"/>
            <color indexed="81"/>
            <rFont val="Tahoma"/>
            <family val="2"/>
          </rPr>
          <t>Using 16-to-24-hr adj factor (1.12)</t>
        </r>
        <r>
          <rPr>
            <sz val="9"/>
            <color indexed="81"/>
            <rFont val="Tahoma"/>
            <family val="2"/>
          </rPr>
          <t xml:space="preserve"> up to 1993 based on multi-year avg 2004-2011 at RRH (from CW WDFW)
[2023-02-02]</t>
        </r>
      </text>
    </comment>
    <comment ref="L5" authorId="0" shapeId="0" xr:uid="{18B8A502-9700-40D9-A84A-7B54DC5124BC}">
      <text>
        <r>
          <rPr>
            <sz val="9"/>
            <color indexed="81"/>
            <rFont val="Tahoma"/>
            <family val="2"/>
          </rPr>
          <t>Estimated from 16-hr counts (pre-1998) + average annual difference 13.2% between 16- and 24-hour counts (1998-2022; Tom Kahler pers. comm.), i.e. 16-hr count x 1.132 [hs 2022-10-17]</t>
        </r>
      </text>
    </comment>
    <comment ref="E6" authorId="1" shapeId="0" xr:uid="{5762C52E-1BA4-487D-AE29-AC3CD3C3DB2E}">
      <text>
        <r>
          <rPr>
            <b/>
            <sz val="9"/>
            <color indexed="81"/>
            <rFont val="Tahoma"/>
            <family val="2"/>
          </rPr>
          <t>[hs] :</t>
        </r>
        <r>
          <rPr>
            <sz val="9"/>
            <color indexed="81"/>
            <rFont val="Tahoma"/>
            <family val="2"/>
          </rPr>
          <t xml:space="preserve">
Estimate 24-hr count based on 16-hr count and multi-year 16-to-24 hr count adjustment for 1994-2002. See tab </t>
        </r>
        <r>
          <rPr>
            <b/>
            <sz val="9"/>
            <color indexed="81"/>
            <rFont val="Tahoma"/>
            <family val="2"/>
          </rPr>
          <t>BON Count Adjustment</t>
        </r>
      </text>
    </comment>
    <comment ref="I6" authorId="1" shapeId="0" xr:uid="{1A7988DB-8D30-4277-ACA0-FBDE6C0BE39A}">
      <text>
        <r>
          <rPr>
            <b/>
            <sz val="9"/>
            <color indexed="81"/>
            <rFont val="Tahoma"/>
            <family val="2"/>
          </rPr>
          <t>[hs] :</t>
        </r>
        <r>
          <rPr>
            <sz val="9"/>
            <color indexed="81"/>
            <rFont val="Tahoma"/>
            <family val="2"/>
          </rPr>
          <t xml:space="preserve">
</t>
        </r>
        <r>
          <rPr>
            <b/>
            <sz val="9"/>
            <color indexed="81"/>
            <rFont val="Tahoma"/>
            <family val="2"/>
          </rPr>
          <t>Using 16-to-24-hr adj factor (1.12)</t>
        </r>
        <r>
          <rPr>
            <sz val="9"/>
            <color indexed="81"/>
            <rFont val="Tahoma"/>
            <family val="2"/>
          </rPr>
          <t xml:space="preserve"> up to 1993 based on multi-year avg 2004-2011 at RRH (from CW WDFW)
[2023-02-02]</t>
        </r>
      </text>
    </comment>
    <comment ref="L6" authorId="0" shapeId="0" xr:uid="{EB176E4D-56EC-470F-8F37-37497FA6D95D}">
      <text>
        <r>
          <rPr>
            <sz val="9"/>
            <color indexed="81"/>
            <rFont val="Tahoma"/>
            <family val="2"/>
          </rPr>
          <t>Estimated from 16-hr counts (pre-1998) + average annual difference 13.2% between 16- and 24-hour counts (1998-2022; Tom Kahler pers. comm.), i.e. 16-hr count x 1.132 [hs 2022-10-17]</t>
        </r>
      </text>
    </comment>
    <comment ref="E7" authorId="1" shapeId="0" xr:uid="{421773A2-CCE6-471F-87D2-111BE65DB3A0}">
      <text>
        <r>
          <rPr>
            <b/>
            <sz val="9"/>
            <color indexed="81"/>
            <rFont val="Tahoma"/>
            <family val="2"/>
          </rPr>
          <t>[hs] :</t>
        </r>
        <r>
          <rPr>
            <sz val="9"/>
            <color indexed="81"/>
            <rFont val="Tahoma"/>
            <family val="2"/>
          </rPr>
          <t xml:space="preserve">
Estimate 24-hr count based on 16-hr count and multi-year 16-to-24 hr count adjustment for 1994-2002. See tab </t>
        </r>
        <r>
          <rPr>
            <b/>
            <sz val="9"/>
            <color indexed="81"/>
            <rFont val="Tahoma"/>
            <family val="2"/>
          </rPr>
          <t>BON Count Adjustment</t>
        </r>
      </text>
    </comment>
    <comment ref="I7" authorId="1" shapeId="0" xr:uid="{11B71524-B998-4CD4-89AB-A9D8443535E5}">
      <text>
        <r>
          <rPr>
            <b/>
            <sz val="9"/>
            <color indexed="81"/>
            <rFont val="Tahoma"/>
            <family val="2"/>
          </rPr>
          <t>[hs] :</t>
        </r>
        <r>
          <rPr>
            <sz val="9"/>
            <color indexed="81"/>
            <rFont val="Tahoma"/>
            <family val="2"/>
          </rPr>
          <t xml:space="preserve">
</t>
        </r>
        <r>
          <rPr>
            <b/>
            <sz val="9"/>
            <color indexed="81"/>
            <rFont val="Tahoma"/>
            <family val="2"/>
          </rPr>
          <t>Using 16-to-24-hr adj factor (1.12)</t>
        </r>
        <r>
          <rPr>
            <sz val="9"/>
            <color indexed="81"/>
            <rFont val="Tahoma"/>
            <family val="2"/>
          </rPr>
          <t xml:space="preserve"> up to 1993 based on multi-year avg 2004-2011 at RRH (from CW WDFW)
[2023-02-02]</t>
        </r>
      </text>
    </comment>
    <comment ref="L7" authorId="0" shapeId="0" xr:uid="{9D4DF1DC-6917-4976-B7AC-2474B55A99B3}">
      <text>
        <r>
          <rPr>
            <sz val="9"/>
            <color indexed="81"/>
            <rFont val="Tahoma"/>
            <family val="2"/>
          </rPr>
          <t>Estimated from 16-hr counts (pre-1998) + average annual difference 13.2% between 16- and 24-hour counts (1998-2022; Tom Kahler pers. comm.), i.e. 16-hr count x 1.132 [hs 2022-10-17]</t>
        </r>
      </text>
    </comment>
    <comment ref="E8" authorId="1" shapeId="0" xr:uid="{E8428061-2246-4F82-9EFE-CA89E30C4A91}">
      <text>
        <r>
          <rPr>
            <b/>
            <sz val="9"/>
            <color indexed="81"/>
            <rFont val="Tahoma"/>
            <family val="2"/>
          </rPr>
          <t>[hs] :</t>
        </r>
        <r>
          <rPr>
            <sz val="9"/>
            <color indexed="81"/>
            <rFont val="Tahoma"/>
            <family val="2"/>
          </rPr>
          <t xml:space="preserve">
Estimate 24-hr count based on 16-hr count and multi-year 16-to-24 hr count adjustment for 1994-2002. See tab </t>
        </r>
        <r>
          <rPr>
            <b/>
            <sz val="9"/>
            <color indexed="81"/>
            <rFont val="Tahoma"/>
            <family val="2"/>
          </rPr>
          <t>BON Count Adjustment</t>
        </r>
      </text>
    </comment>
    <comment ref="I8" authorId="1" shapeId="0" xr:uid="{FA09CA7A-0AA8-4CBA-979D-1CA85628BAE5}">
      <text>
        <r>
          <rPr>
            <b/>
            <sz val="9"/>
            <color indexed="81"/>
            <rFont val="Tahoma"/>
            <family val="2"/>
          </rPr>
          <t>[hs] :</t>
        </r>
        <r>
          <rPr>
            <sz val="9"/>
            <color indexed="81"/>
            <rFont val="Tahoma"/>
            <family val="2"/>
          </rPr>
          <t xml:space="preserve">
</t>
        </r>
        <r>
          <rPr>
            <b/>
            <sz val="9"/>
            <color indexed="81"/>
            <rFont val="Tahoma"/>
            <family val="2"/>
          </rPr>
          <t>Using 16-to-24-hr adj factor (1.12)</t>
        </r>
        <r>
          <rPr>
            <sz val="9"/>
            <color indexed="81"/>
            <rFont val="Tahoma"/>
            <family val="2"/>
          </rPr>
          <t xml:space="preserve"> up to 1993 based on multi-year avg 2004-2011 at RRH (from CW WDFW)
[2023-02-02]</t>
        </r>
      </text>
    </comment>
    <comment ref="L8" authorId="0" shapeId="0" xr:uid="{7250E8D9-E65C-496A-961F-1159DB60B717}">
      <text>
        <r>
          <rPr>
            <sz val="9"/>
            <color indexed="81"/>
            <rFont val="Tahoma"/>
            <family val="2"/>
          </rPr>
          <t>Estimated from 16-hr counts (pre-1998) + average annual difference 13.2% between 16- and 24-hour counts (1998-2022; Tom Kahler pers. comm.), i.e. 16-hr count x 1.132 [hs 2022-10-17]</t>
        </r>
      </text>
    </comment>
    <comment ref="E9" authorId="1" shapeId="0" xr:uid="{93514EE2-2205-4622-A7BA-F52BF5D3F5ED}">
      <text>
        <r>
          <rPr>
            <b/>
            <sz val="9"/>
            <color indexed="81"/>
            <rFont val="Tahoma"/>
            <family val="2"/>
          </rPr>
          <t>[hs] :</t>
        </r>
        <r>
          <rPr>
            <sz val="9"/>
            <color indexed="81"/>
            <rFont val="Tahoma"/>
            <family val="2"/>
          </rPr>
          <t xml:space="preserve">
Estimate 24-hr count based on 16-hr count and multi-year 16-to-24 hr count adjustment for 1994-2002. See tab </t>
        </r>
        <r>
          <rPr>
            <b/>
            <sz val="9"/>
            <color indexed="81"/>
            <rFont val="Tahoma"/>
            <family val="2"/>
          </rPr>
          <t>BON Count Adjustment</t>
        </r>
      </text>
    </comment>
    <comment ref="I9" authorId="1" shapeId="0" xr:uid="{0A68FB4A-EA4A-4E15-9262-8655442E6EFC}">
      <text>
        <r>
          <rPr>
            <b/>
            <sz val="9"/>
            <color indexed="81"/>
            <rFont val="Tahoma"/>
            <family val="2"/>
          </rPr>
          <t>[hs] :</t>
        </r>
        <r>
          <rPr>
            <sz val="9"/>
            <color indexed="81"/>
            <rFont val="Tahoma"/>
            <family val="2"/>
          </rPr>
          <t xml:space="preserve">
</t>
        </r>
        <r>
          <rPr>
            <b/>
            <sz val="9"/>
            <color indexed="81"/>
            <rFont val="Tahoma"/>
            <family val="2"/>
          </rPr>
          <t>Using 16-to-24-hr adj factor (1.12)</t>
        </r>
        <r>
          <rPr>
            <sz val="9"/>
            <color indexed="81"/>
            <rFont val="Tahoma"/>
            <family val="2"/>
          </rPr>
          <t xml:space="preserve"> up to 1993 based on multi-year avg 2004-2011 at RRH (from CW WDFW)
[2023-02-02]</t>
        </r>
      </text>
    </comment>
    <comment ref="L9" authorId="0" shapeId="0" xr:uid="{0843098C-67A4-43FB-81D2-E2A3695C31FB}">
      <text>
        <r>
          <rPr>
            <sz val="9"/>
            <color indexed="81"/>
            <rFont val="Tahoma"/>
            <family val="2"/>
          </rPr>
          <t>Estimated from 16-hr counts (pre-1998) + average annual difference 13.2% between 16- and 24-hour counts (1998-2022; Tom Kahler pers. comm.), i.e. 16-hr count x 1.132 [hs 2022-10-17]</t>
        </r>
      </text>
    </comment>
    <comment ref="E10" authorId="1" shapeId="0" xr:uid="{5A345E31-FDB8-471A-A0CD-2F24FB59F0C3}">
      <text>
        <r>
          <rPr>
            <b/>
            <sz val="9"/>
            <color indexed="81"/>
            <rFont val="Tahoma"/>
            <family val="2"/>
          </rPr>
          <t>[hs] :</t>
        </r>
        <r>
          <rPr>
            <sz val="9"/>
            <color indexed="81"/>
            <rFont val="Tahoma"/>
            <family val="2"/>
          </rPr>
          <t xml:space="preserve">
Estimate 24-hr count based on 16-hr count and multi-year 16-to-24 hr count adjustment for 1994-2002. See tab </t>
        </r>
        <r>
          <rPr>
            <b/>
            <sz val="9"/>
            <color indexed="81"/>
            <rFont val="Tahoma"/>
            <family val="2"/>
          </rPr>
          <t>BON Count Adjustment</t>
        </r>
      </text>
    </comment>
    <comment ref="I10" authorId="1" shapeId="0" xr:uid="{89041C23-9DEE-41DC-BE3E-DBA87E0BD2D5}">
      <text>
        <r>
          <rPr>
            <b/>
            <sz val="9"/>
            <color indexed="81"/>
            <rFont val="Tahoma"/>
            <family val="2"/>
          </rPr>
          <t>[hs] :</t>
        </r>
        <r>
          <rPr>
            <sz val="9"/>
            <color indexed="81"/>
            <rFont val="Tahoma"/>
            <family val="2"/>
          </rPr>
          <t xml:space="preserve">
</t>
        </r>
        <r>
          <rPr>
            <b/>
            <sz val="9"/>
            <color indexed="81"/>
            <rFont val="Tahoma"/>
            <family val="2"/>
          </rPr>
          <t>Using 16-to-24-hr adj factor (1.12)</t>
        </r>
        <r>
          <rPr>
            <sz val="9"/>
            <color indexed="81"/>
            <rFont val="Tahoma"/>
            <family val="2"/>
          </rPr>
          <t xml:space="preserve"> up to 1993 based on multi-year avg 2004-2011 at RRH (from CW WDFW)
[2023-02-02]</t>
        </r>
      </text>
    </comment>
    <comment ref="L10" authorId="0" shapeId="0" xr:uid="{BCA20931-3461-4924-BFB3-F20AD2EA58CB}">
      <text>
        <r>
          <rPr>
            <sz val="9"/>
            <color indexed="81"/>
            <rFont val="Tahoma"/>
            <family val="2"/>
          </rPr>
          <t>Estimated from 16-hr counts (pre-1998) + average annual difference 13.2% between 16- and 24-hour counts (1998-2022; Tom Kahler pers. comm.), i.e. 16-hr count x 1.132 [hs 2022-10-17]</t>
        </r>
      </text>
    </comment>
    <comment ref="E11" authorId="1" shapeId="0" xr:uid="{02F85149-F870-48BA-AF7D-F5FDF62C8140}">
      <text>
        <r>
          <rPr>
            <b/>
            <sz val="9"/>
            <color indexed="81"/>
            <rFont val="Tahoma"/>
            <family val="2"/>
          </rPr>
          <t>[hs] :</t>
        </r>
        <r>
          <rPr>
            <sz val="9"/>
            <color indexed="81"/>
            <rFont val="Tahoma"/>
            <family val="2"/>
          </rPr>
          <t xml:space="preserve">
Estimate 24-hr count based on 16-hr count and multi-year 16-to-24 hr count adjustment for 1994-2002. See tab </t>
        </r>
        <r>
          <rPr>
            <b/>
            <sz val="9"/>
            <color indexed="81"/>
            <rFont val="Tahoma"/>
            <family val="2"/>
          </rPr>
          <t>BON Count Adjustment</t>
        </r>
      </text>
    </comment>
    <comment ref="G11" authorId="1" shapeId="0" xr:uid="{8F52B392-9397-4E3C-8457-6083587B3E84}">
      <text>
        <r>
          <rPr>
            <b/>
            <sz val="9"/>
            <color indexed="81"/>
            <rFont val="Tahoma"/>
            <family val="2"/>
          </rPr>
          <t>[hs] :</t>
        </r>
        <r>
          <rPr>
            <sz val="9"/>
            <color indexed="81"/>
            <rFont val="Tahoma"/>
            <family val="2"/>
          </rPr>
          <t xml:space="preserve">
was 49,788 in FPC;
99,576 in CBR-DART [2023-02-02]</t>
        </r>
      </text>
    </comment>
    <comment ref="H11" authorId="1" shapeId="0" xr:uid="{B53F7480-2DB4-48FC-8A8B-1B054FEE23D2}">
      <text>
        <r>
          <rPr>
            <b/>
            <sz val="9"/>
            <color indexed="81"/>
            <rFont val="Tahoma"/>
            <family val="2"/>
          </rPr>
          <t>[hs] :</t>
        </r>
        <r>
          <rPr>
            <sz val="9"/>
            <color indexed="81"/>
            <rFont val="Tahoma"/>
            <family val="2"/>
          </rPr>
          <t xml:space="preserve">
 32,908 in FPC
 65,816 in CBR-DART! 
[2023-02-02]</t>
        </r>
      </text>
    </comment>
    <comment ref="I11" authorId="1" shapeId="0" xr:uid="{175E83F3-D307-4421-9B07-F29C3A4E6380}">
      <text>
        <r>
          <rPr>
            <b/>
            <sz val="9"/>
            <color indexed="81"/>
            <rFont val="Tahoma"/>
            <family val="2"/>
          </rPr>
          <t>[hs] :</t>
        </r>
        <r>
          <rPr>
            <sz val="9"/>
            <color indexed="81"/>
            <rFont val="Tahoma"/>
            <family val="2"/>
          </rPr>
          <t xml:space="preserve">
</t>
        </r>
        <r>
          <rPr>
            <b/>
            <sz val="9"/>
            <color indexed="81"/>
            <rFont val="Tahoma"/>
            <family val="2"/>
          </rPr>
          <t>Using 16-to-24-hr adj factor (1.12)</t>
        </r>
        <r>
          <rPr>
            <sz val="9"/>
            <color indexed="81"/>
            <rFont val="Tahoma"/>
            <family val="2"/>
          </rPr>
          <t xml:space="preserve"> up to 1993 based on multi-year avg 2004-2011 at RRH (from CW WDFW)
[2023-02-02]</t>
        </r>
      </text>
    </comment>
    <comment ref="L11" authorId="0" shapeId="0" xr:uid="{237CA34B-ED52-4668-9B4C-E6575E1EE017}">
      <text>
        <r>
          <rPr>
            <sz val="9"/>
            <color indexed="81"/>
            <rFont val="Tahoma"/>
            <family val="2"/>
          </rPr>
          <t>Estimated from 16-hr counts (pre-1998) + average annual difference 13.2% between 16- and 24-hour counts (1998-2022; Tom Kahler pers. comm.), i.e. 16-hr count x 1.132 [hs 2022-10-17]</t>
        </r>
      </text>
    </comment>
    <comment ref="E12" authorId="1" shapeId="0" xr:uid="{CEE27720-3C17-4F0E-B745-2BB1DC159FD0}">
      <text>
        <r>
          <rPr>
            <b/>
            <sz val="9"/>
            <color indexed="81"/>
            <rFont val="Tahoma"/>
            <family val="2"/>
          </rPr>
          <t>[hs] :</t>
        </r>
        <r>
          <rPr>
            <sz val="9"/>
            <color indexed="81"/>
            <rFont val="Tahoma"/>
            <family val="2"/>
          </rPr>
          <t xml:space="preserve">
Estimate 24-hr count based on 16-hr count and multi-year 16-to-24 hr count adjustment for 1994-2002. See tab </t>
        </r>
        <r>
          <rPr>
            <b/>
            <sz val="9"/>
            <color indexed="81"/>
            <rFont val="Tahoma"/>
            <family val="2"/>
          </rPr>
          <t>BON Count Adjustment</t>
        </r>
      </text>
    </comment>
    <comment ref="I12" authorId="1" shapeId="0" xr:uid="{966012F6-BDD6-44CF-B76E-F35765779B94}">
      <text>
        <r>
          <rPr>
            <b/>
            <sz val="9"/>
            <color indexed="81"/>
            <rFont val="Tahoma"/>
            <family val="2"/>
          </rPr>
          <t>[hs] :</t>
        </r>
        <r>
          <rPr>
            <sz val="9"/>
            <color indexed="81"/>
            <rFont val="Tahoma"/>
            <family val="2"/>
          </rPr>
          <t xml:space="preserve">
</t>
        </r>
        <r>
          <rPr>
            <b/>
            <sz val="9"/>
            <color indexed="81"/>
            <rFont val="Tahoma"/>
            <family val="2"/>
          </rPr>
          <t>Using 16-to-24-hr adj factor (1.12)</t>
        </r>
        <r>
          <rPr>
            <sz val="9"/>
            <color indexed="81"/>
            <rFont val="Tahoma"/>
            <family val="2"/>
          </rPr>
          <t xml:space="preserve"> up to 1993 based on multi-year avg 2004-2011 at RRH (from CW WDFW)
[2023-02-02]</t>
        </r>
      </text>
    </comment>
    <comment ref="L12" authorId="0" shapeId="0" xr:uid="{2C29F53B-7470-4FD0-B3F7-F769E75408C6}">
      <text>
        <r>
          <rPr>
            <sz val="9"/>
            <color indexed="81"/>
            <rFont val="Tahoma"/>
            <family val="2"/>
          </rPr>
          <t>Estimated from 16-hr counts (pre-1998) + average annual difference 13.2% between 16- and 24-hour counts (1998-2022; Tom Kahler pers. comm.), i.e. 16-hr count x 1.132 [hs 2022-10-17]</t>
        </r>
      </text>
    </comment>
    <comment ref="S12" authorId="0" shapeId="0" xr:uid="{C7F04449-7105-4897-90D9-FB206F4281F4}">
      <text>
        <r>
          <rPr>
            <sz val="9"/>
            <color indexed="81"/>
            <rFont val="Tahoma"/>
            <family val="2"/>
          </rPr>
          <t>Need to examine the PIT tag and/or DNA methods available for these years to determine whether these are better than Wells:Rock ratio for stock composition.</t>
        </r>
      </text>
    </comment>
    <comment ref="E13" authorId="1" shapeId="0" xr:uid="{255C88BE-35AD-4833-9644-206DB08E7BAE}">
      <text>
        <r>
          <rPr>
            <b/>
            <sz val="9"/>
            <color indexed="81"/>
            <rFont val="Tahoma"/>
            <family val="2"/>
          </rPr>
          <t>[hs] :</t>
        </r>
        <r>
          <rPr>
            <sz val="9"/>
            <color indexed="81"/>
            <rFont val="Tahoma"/>
            <family val="2"/>
          </rPr>
          <t xml:space="preserve">
Estimate 24-hr count based on 16-hr count and multi-year 16-to-24 hr count adjustment for 1994-2002. See tab </t>
        </r>
        <r>
          <rPr>
            <b/>
            <sz val="9"/>
            <color indexed="81"/>
            <rFont val="Tahoma"/>
            <family val="2"/>
          </rPr>
          <t>BON Count Adjustment</t>
        </r>
      </text>
    </comment>
    <comment ref="I13" authorId="1" shapeId="0" xr:uid="{ED9E415F-ED73-451A-8BD2-2E1E38A9E291}">
      <text>
        <r>
          <rPr>
            <b/>
            <sz val="9"/>
            <color indexed="81"/>
            <rFont val="Tahoma"/>
            <family val="2"/>
          </rPr>
          <t>[hs] :</t>
        </r>
        <r>
          <rPr>
            <sz val="9"/>
            <color indexed="81"/>
            <rFont val="Tahoma"/>
            <family val="2"/>
          </rPr>
          <t xml:space="preserve">
</t>
        </r>
        <r>
          <rPr>
            <b/>
            <sz val="9"/>
            <color indexed="81"/>
            <rFont val="Tahoma"/>
            <family val="2"/>
          </rPr>
          <t>Using 16-to-24-hr adj factor (1.12)</t>
        </r>
        <r>
          <rPr>
            <sz val="9"/>
            <color indexed="81"/>
            <rFont val="Tahoma"/>
            <family val="2"/>
          </rPr>
          <t xml:space="preserve"> up to 1993 based on multi-year avg 2004-2011 at RRH (from CW WDFW)
[2023-02-02]</t>
        </r>
      </text>
    </comment>
    <comment ref="L13" authorId="0" shapeId="0" xr:uid="{FAFE9A6D-B9D3-4B95-BD48-6986EDCED05C}">
      <text>
        <r>
          <rPr>
            <sz val="9"/>
            <color indexed="81"/>
            <rFont val="Tahoma"/>
            <family val="2"/>
          </rPr>
          <t>Estimated from 16-hr counts (pre-1998) + average annual difference 13.2% between 16- and 24-hour counts (1998-2022; Tom Kahler pers. comm.), i.e. 16-hr count x 1.132 [hs 2022-10-17]</t>
        </r>
      </text>
    </comment>
    <comment ref="E14" authorId="1" shapeId="0" xr:uid="{9B8FDBAA-D535-40B8-AB88-F3B3F4C384C4}">
      <text>
        <r>
          <rPr>
            <b/>
            <sz val="9"/>
            <color indexed="81"/>
            <rFont val="Tahoma"/>
            <family val="2"/>
          </rPr>
          <t>[hs] :</t>
        </r>
        <r>
          <rPr>
            <sz val="9"/>
            <color indexed="81"/>
            <rFont val="Tahoma"/>
            <family val="2"/>
          </rPr>
          <t xml:space="preserve">
Estimate 24-hr count based on 16-hr count and multi-year 16-to-24 hr count adjustment for 1994-2002. See tab </t>
        </r>
        <r>
          <rPr>
            <b/>
            <sz val="9"/>
            <color indexed="81"/>
            <rFont val="Tahoma"/>
            <family val="2"/>
          </rPr>
          <t>BON Count Adjustment</t>
        </r>
      </text>
    </comment>
    <comment ref="I14" authorId="1" shapeId="0" xr:uid="{ADFACA00-4EFF-4A02-9139-6434502AB485}">
      <text>
        <r>
          <rPr>
            <b/>
            <sz val="9"/>
            <color indexed="81"/>
            <rFont val="Tahoma"/>
            <family val="2"/>
          </rPr>
          <t>[hs] :</t>
        </r>
        <r>
          <rPr>
            <sz val="9"/>
            <color indexed="81"/>
            <rFont val="Tahoma"/>
            <family val="2"/>
          </rPr>
          <t xml:space="preserve">
</t>
        </r>
        <r>
          <rPr>
            <b/>
            <sz val="9"/>
            <color indexed="81"/>
            <rFont val="Tahoma"/>
            <family val="2"/>
          </rPr>
          <t>Using 16-to-24-hr adj factor (1.12)</t>
        </r>
        <r>
          <rPr>
            <sz val="9"/>
            <color indexed="81"/>
            <rFont val="Tahoma"/>
            <family val="2"/>
          </rPr>
          <t xml:space="preserve"> up to 1993 based on multi-year avg 2004-2011 at RRH (from CW WDFW)
[2023-02-02]</t>
        </r>
      </text>
    </comment>
    <comment ref="L14" authorId="0" shapeId="0" xr:uid="{DA01626B-45CB-487A-80BA-E8C7AEA2896A}">
      <text>
        <r>
          <rPr>
            <sz val="9"/>
            <color indexed="81"/>
            <rFont val="Tahoma"/>
            <family val="2"/>
          </rPr>
          <t>Estimated from 16-hr counts (pre-1998) + average annual difference 13.2% between 16- and 24-hour counts (1998-2022; Tom Kahler pers. comm.), i.e. 16-hr count x 1.132 [hs 2022-10-17]</t>
        </r>
      </text>
    </comment>
    <comment ref="U14" authorId="1" shapeId="0" xr:uid="{38AEDD16-C93A-4C5D-90A1-2B8919781CCF}">
      <text>
        <r>
          <rPr>
            <b/>
            <sz val="9"/>
            <color indexed="81"/>
            <rFont val="Tahoma"/>
            <family val="2"/>
          </rPr>
          <t>[hs] :</t>
        </r>
        <r>
          <rPr>
            <sz val="9"/>
            <color indexed="81"/>
            <rFont val="Tahoma"/>
            <family val="2"/>
          </rPr>
          <t xml:space="preserve">
CB's calc matches this, so seems to be handling TUM difference from RI/RRH ratio method...</t>
        </r>
      </text>
    </comment>
    <comment ref="E15" authorId="1" shapeId="0" xr:uid="{4B0DBF65-20D0-4324-BFE1-259CE42C517C}">
      <text>
        <r>
          <rPr>
            <b/>
            <sz val="9"/>
            <color indexed="81"/>
            <rFont val="Tahoma"/>
            <family val="2"/>
          </rPr>
          <t>[hs] :</t>
        </r>
        <r>
          <rPr>
            <sz val="9"/>
            <color indexed="81"/>
            <rFont val="Tahoma"/>
            <family val="2"/>
          </rPr>
          <t xml:space="preserve">
Estimate 24-hr count based on 16-hr count and multi-year 16-to-24 hr count adjustment for 1994-2002. See tab </t>
        </r>
        <r>
          <rPr>
            <b/>
            <sz val="9"/>
            <color indexed="81"/>
            <rFont val="Tahoma"/>
            <family val="2"/>
          </rPr>
          <t>BON Count Adjustment</t>
        </r>
      </text>
    </comment>
    <comment ref="I15" authorId="1" shapeId="0" xr:uid="{31295973-5B28-4890-829E-C7E0ABEBED9E}">
      <text>
        <r>
          <rPr>
            <b/>
            <sz val="9"/>
            <color indexed="81"/>
            <rFont val="Tahoma"/>
            <family val="2"/>
          </rPr>
          <t>[hs] :</t>
        </r>
        <r>
          <rPr>
            <sz val="9"/>
            <color indexed="81"/>
            <rFont val="Tahoma"/>
            <family val="2"/>
          </rPr>
          <t xml:space="preserve">
</t>
        </r>
        <r>
          <rPr>
            <b/>
            <sz val="9"/>
            <color indexed="81"/>
            <rFont val="Tahoma"/>
            <family val="2"/>
          </rPr>
          <t>Using 16-to-24-hr adj factor (1.12)</t>
        </r>
        <r>
          <rPr>
            <sz val="9"/>
            <color indexed="81"/>
            <rFont val="Tahoma"/>
            <family val="2"/>
          </rPr>
          <t xml:space="preserve"> up to 1993 based on multi-year avg 2004-2011 at RRH (from CW WDFW)
[2023-02-02]</t>
        </r>
      </text>
    </comment>
    <comment ref="L15" authorId="0" shapeId="0" xr:uid="{32BDBB06-6B57-4976-A77E-1749632C4456}">
      <text>
        <r>
          <rPr>
            <sz val="9"/>
            <color indexed="81"/>
            <rFont val="Tahoma"/>
            <family val="2"/>
          </rPr>
          <t>Estimated from 16-hr counts (pre-1998) + average annual difference 13.2% between 16- and 24-hour counts (1998-2022; Tom Kahler pers. comm.), i.e. 16-hr count x 1.132 [hs 2022-10-17]</t>
        </r>
      </text>
    </comment>
    <comment ref="CG15" authorId="1" shapeId="0" xr:uid="{1043906A-6667-4A68-95C3-143C3437FA85}">
      <text>
        <r>
          <rPr>
            <b/>
            <sz val="9"/>
            <color indexed="81"/>
            <rFont val="Tahoma"/>
            <family val="2"/>
          </rPr>
          <t>[hs] :</t>
        </r>
        <r>
          <rPr>
            <sz val="9"/>
            <color indexed="81"/>
            <rFont val="Tahoma"/>
            <family val="2"/>
          </rPr>
          <t xml:space="preserve">
red text means
Minor differences vs Colin B's Table 1
[23.11.06]</t>
        </r>
      </text>
    </comment>
    <comment ref="E16" authorId="1" shapeId="0" xr:uid="{FD8A5EE6-647F-4467-B7FF-965A98363381}">
      <text>
        <r>
          <rPr>
            <b/>
            <sz val="9"/>
            <color indexed="81"/>
            <rFont val="Tahoma"/>
            <family val="2"/>
          </rPr>
          <t>[hs] :</t>
        </r>
        <r>
          <rPr>
            <sz val="9"/>
            <color indexed="81"/>
            <rFont val="Tahoma"/>
            <family val="2"/>
          </rPr>
          <t xml:space="preserve">
Estimate 24-hr count based on 16-hr count and multi-year 16-to-24 hr count adjustment for 1994-2002. See tab </t>
        </r>
        <r>
          <rPr>
            <b/>
            <sz val="9"/>
            <color indexed="81"/>
            <rFont val="Tahoma"/>
            <family val="2"/>
          </rPr>
          <t>BON Count Adjustment</t>
        </r>
      </text>
    </comment>
    <comment ref="I16" authorId="1" shapeId="0" xr:uid="{9C875003-354C-4A0B-919D-1F66A3DAF5E1}">
      <text>
        <r>
          <rPr>
            <b/>
            <sz val="9"/>
            <color indexed="81"/>
            <rFont val="Tahoma"/>
            <family val="2"/>
          </rPr>
          <t>[hs] :</t>
        </r>
        <r>
          <rPr>
            <sz val="9"/>
            <color indexed="81"/>
            <rFont val="Tahoma"/>
            <family val="2"/>
          </rPr>
          <t xml:space="preserve">
</t>
        </r>
        <r>
          <rPr>
            <b/>
            <sz val="9"/>
            <color indexed="81"/>
            <rFont val="Tahoma"/>
            <family val="2"/>
          </rPr>
          <t>Using 16-to-24-hr adj factor (1.12)</t>
        </r>
        <r>
          <rPr>
            <sz val="9"/>
            <color indexed="81"/>
            <rFont val="Tahoma"/>
            <family val="2"/>
          </rPr>
          <t xml:space="preserve"> up to 1993 based on multi-year avg 2004-2011 at RRH (from CW WDFW)
[2023-02-02]</t>
        </r>
      </text>
    </comment>
    <comment ref="L16" authorId="0" shapeId="0" xr:uid="{A4CA3F1A-A4C0-475F-86F8-2808AF529710}">
      <text>
        <r>
          <rPr>
            <sz val="9"/>
            <color indexed="81"/>
            <rFont val="Tahoma"/>
            <family val="2"/>
          </rPr>
          <t>Estimated from 16-hr counts (pre-1998) + average annual difference 13.2% between 16- and 24-hour counts (1998-2022; Tom Kahler pers. comm.), i.e. 16-hr count x 1.132 [hs 2022-10-17]</t>
        </r>
      </text>
    </comment>
    <comment ref="E17" authorId="1" shapeId="0" xr:uid="{29F96616-086F-4757-A074-A02A74D7DCE8}">
      <text>
        <r>
          <rPr>
            <b/>
            <sz val="9"/>
            <color indexed="81"/>
            <rFont val="Tahoma"/>
            <family val="2"/>
          </rPr>
          <t>[hs] :</t>
        </r>
        <r>
          <rPr>
            <sz val="9"/>
            <color indexed="81"/>
            <rFont val="Tahoma"/>
            <family val="2"/>
          </rPr>
          <t xml:space="preserve">
Estimate 24-hr count based on 16-hr count and multi-year 16-to-24 hr count adjustment for 1994-2002. See tab </t>
        </r>
        <r>
          <rPr>
            <b/>
            <sz val="9"/>
            <color indexed="81"/>
            <rFont val="Tahoma"/>
            <family val="2"/>
          </rPr>
          <t>BON Count Adjustment</t>
        </r>
      </text>
    </comment>
    <comment ref="I17" authorId="1" shapeId="0" xr:uid="{88A8490E-497A-4624-87B6-7817CA499883}">
      <text>
        <r>
          <rPr>
            <b/>
            <sz val="9"/>
            <color indexed="81"/>
            <rFont val="Tahoma"/>
            <family val="2"/>
          </rPr>
          <t>[hs] :</t>
        </r>
        <r>
          <rPr>
            <sz val="9"/>
            <color indexed="81"/>
            <rFont val="Tahoma"/>
            <family val="2"/>
          </rPr>
          <t xml:space="preserve">
</t>
        </r>
        <r>
          <rPr>
            <b/>
            <sz val="9"/>
            <color indexed="81"/>
            <rFont val="Tahoma"/>
            <family val="2"/>
          </rPr>
          <t>Using 16-to-24-hr adj factor (1.12)</t>
        </r>
        <r>
          <rPr>
            <sz val="9"/>
            <color indexed="81"/>
            <rFont val="Tahoma"/>
            <family val="2"/>
          </rPr>
          <t xml:space="preserve"> up to 1993 based on multi-year avg 2004-2011 at RRH (from CW WDFW)
[2023-02-02]</t>
        </r>
      </text>
    </comment>
    <comment ref="L17" authorId="0" shapeId="0" xr:uid="{A702D50C-9668-4F9A-830A-23FAFF3E98B4}">
      <text>
        <r>
          <rPr>
            <sz val="9"/>
            <color indexed="81"/>
            <rFont val="Tahoma"/>
            <family val="2"/>
          </rPr>
          <t>Estimated from 16-hr counts (pre-1998) + average annual difference 13.2% between 16- and 24-hour counts (1998-2022; Tom Kahler pers. comm.), i.e. 16-hr count x 1.132 [hs 2022-10-17]</t>
        </r>
      </text>
    </comment>
    <comment ref="E18" authorId="1" shapeId="0" xr:uid="{BBEC3A3A-FDC8-4231-884C-D97192E1D3CD}">
      <text>
        <r>
          <rPr>
            <b/>
            <sz val="9"/>
            <color indexed="81"/>
            <rFont val="Tahoma"/>
            <family val="2"/>
          </rPr>
          <t>[hs] :</t>
        </r>
        <r>
          <rPr>
            <sz val="9"/>
            <color indexed="81"/>
            <rFont val="Tahoma"/>
            <family val="2"/>
          </rPr>
          <t xml:space="preserve">
Estimate 24-hr count based on 16-hr count and multi-year 16-to-24 hr count adjustment for 1994-2002. See tab </t>
        </r>
        <r>
          <rPr>
            <b/>
            <sz val="9"/>
            <color indexed="81"/>
            <rFont val="Tahoma"/>
            <family val="2"/>
          </rPr>
          <t>BON Count Adjustment</t>
        </r>
      </text>
    </comment>
    <comment ref="I18" authorId="1" shapeId="0" xr:uid="{65731DF2-0CAA-4953-B98D-1C27B67AF7C2}">
      <text>
        <r>
          <rPr>
            <b/>
            <sz val="9"/>
            <color indexed="81"/>
            <rFont val="Tahoma"/>
            <family val="2"/>
          </rPr>
          <t>[hs] :</t>
        </r>
        <r>
          <rPr>
            <sz val="9"/>
            <color indexed="81"/>
            <rFont val="Tahoma"/>
            <family val="2"/>
          </rPr>
          <t xml:space="preserve">
</t>
        </r>
        <r>
          <rPr>
            <b/>
            <sz val="9"/>
            <color indexed="81"/>
            <rFont val="Tahoma"/>
            <family val="2"/>
          </rPr>
          <t>Using 16-to-24-hr adj factor (1.12)</t>
        </r>
        <r>
          <rPr>
            <sz val="9"/>
            <color indexed="81"/>
            <rFont val="Tahoma"/>
            <family val="2"/>
          </rPr>
          <t xml:space="preserve"> up to 1993 based on multi-year avg 2004-2011 at RRH (from CW WDFW)
[2023-02-02]</t>
        </r>
      </text>
    </comment>
    <comment ref="J18" authorId="2" shapeId="0" xr:uid="{F18DF3F9-994E-4F06-B128-F21C6856E9DB}">
      <text>
        <r>
          <rPr>
            <b/>
            <sz val="9"/>
            <color indexed="81"/>
            <rFont val="Tahoma"/>
            <family val="2"/>
          </rPr>
          <t xml:space="preserve">typo in last digit in Joint WDFW/ODFG report table 15? </t>
        </r>
        <r>
          <rPr>
            <sz val="9"/>
            <color indexed="81"/>
            <rFont val="Tahoma"/>
            <family val="2"/>
          </rPr>
          <t>[hs 2022-10-29]</t>
        </r>
      </text>
    </comment>
    <comment ref="L18" authorId="0" shapeId="0" xr:uid="{99C7D7E6-8124-4ADF-ADE1-FE961074A495}">
      <text>
        <r>
          <rPr>
            <sz val="9"/>
            <color indexed="81"/>
            <rFont val="Tahoma"/>
            <family val="2"/>
          </rPr>
          <t>Estimated from 16-hr counts (pre-1998) + average annual difference 13.2% between 16- and 24-hour counts (1998-2022; Tom Kahler pers. comm.), i.e. 16-hr count x 1.132 [hs 2022-10-17]</t>
        </r>
      </text>
    </comment>
    <comment ref="E19" authorId="1" shapeId="0" xr:uid="{F79F9767-2395-40B6-9255-54AEA401CD56}">
      <text>
        <r>
          <rPr>
            <b/>
            <sz val="9"/>
            <color indexed="81"/>
            <rFont val="Tahoma"/>
            <family val="2"/>
          </rPr>
          <t>[hs] :</t>
        </r>
        <r>
          <rPr>
            <sz val="9"/>
            <color indexed="81"/>
            <rFont val="Tahoma"/>
            <family val="2"/>
          </rPr>
          <t xml:space="preserve">
Esimate 24-hr count based on 16-hr count and actual 16-to-24 hr count adjustment for this year via VLOOKUP to tab </t>
        </r>
        <r>
          <rPr>
            <b/>
            <sz val="9"/>
            <color indexed="81"/>
            <rFont val="Tahoma"/>
            <family val="2"/>
          </rPr>
          <t>BON Count Adjustments</t>
        </r>
      </text>
    </comment>
    <comment ref="L19" authorId="0" shapeId="0" xr:uid="{52222E1C-BA52-4B75-835E-8E065EE9020B}">
      <text>
        <r>
          <rPr>
            <sz val="9"/>
            <color indexed="81"/>
            <rFont val="Tahoma"/>
            <family val="2"/>
          </rPr>
          <t>Estimated from 16-hr counts (pre-1998) + average annual difference 13.2% between 16- and 24-hour counts (1998-2022; Tom Kahler pers. comm.), i.e. 16-hr count x 1.132 [hs 2022-10-17]</t>
        </r>
      </text>
    </comment>
    <comment ref="BW19" authorId="1" shapeId="0" xr:uid="{9F0DEA5F-9BDF-4D13-8861-7A85FE664BDA}">
      <text>
        <r>
          <rPr>
            <b/>
            <sz val="9"/>
            <color indexed="81"/>
            <rFont val="Tahoma"/>
            <family val="2"/>
          </rPr>
          <t>[hs] :</t>
        </r>
        <r>
          <rPr>
            <sz val="9"/>
            <color indexed="81"/>
            <rFont val="Tahoma"/>
            <family val="2"/>
          </rPr>
          <t xml:space="preserve">
Same as Ok Returns (column AD)
[2024-01-05]</t>
        </r>
      </text>
    </comment>
    <comment ref="E20" authorId="1" shapeId="0" xr:uid="{33652C14-7BF2-43D2-9D14-3D3688BBD3D5}">
      <text>
        <r>
          <rPr>
            <b/>
            <sz val="9"/>
            <color indexed="81"/>
            <rFont val="Tahoma"/>
            <family val="2"/>
          </rPr>
          <t>[hs] :</t>
        </r>
        <r>
          <rPr>
            <sz val="9"/>
            <color indexed="81"/>
            <rFont val="Tahoma"/>
            <family val="2"/>
          </rPr>
          <t xml:space="preserve">
Esimate 24-hr count based on 16-hr count and actual 16-to-24 hr count adjustment for this year via VLOOKUP to tab </t>
        </r>
        <r>
          <rPr>
            <b/>
            <sz val="9"/>
            <color indexed="81"/>
            <rFont val="Tahoma"/>
            <family val="2"/>
          </rPr>
          <t>BON Count Adjustments</t>
        </r>
      </text>
    </comment>
    <comment ref="G20" authorId="1" shapeId="0" xr:uid="{57F91AB0-33FC-4B6B-BEBA-DFF05B547AD3}">
      <text>
        <r>
          <rPr>
            <b/>
            <sz val="9"/>
            <color indexed="81"/>
            <rFont val="Tahoma"/>
            <family val="2"/>
          </rPr>
          <t>[hs] :</t>
        </r>
        <r>
          <rPr>
            <sz val="9"/>
            <color indexed="81"/>
            <rFont val="Tahoma"/>
            <family val="2"/>
          </rPr>
          <t xml:space="preserve">
may or may not use the 'BonBoostPercent' value to REDUCE Rock Island counts...</t>
        </r>
      </text>
    </comment>
    <comment ref="L20" authorId="0" shapeId="0" xr:uid="{8AA26E4D-A9B7-4AFE-8AC1-4314064F5F78}">
      <text>
        <r>
          <rPr>
            <sz val="9"/>
            <color indexed="81"/>
            <rFont val="Tahoma"/>
            <family val="2"/>
          </rPr>
          <t>Estimated from 16-hr counts (pre-1998) + average annual difference 13.2% between 16- and 24-hour counts (1998-2022; Tom Kahler pers. comm.), i.e. 16-hr count x 1.132 [hs 2022-10-17]</t>
        </r>
      </text>
    </comment>
    <comment ref="U20" authorId="1" shapeId="0" xr:uid="{F4FF9A50-8BAC-400B-89D9-E731D96FE345}">
      <text>
        <r>
          <rPr>
            <b/>
            <sz val="9"/>
            <color indexed="81"/>
            <rFont val="Tahoma"/>
            <family val="2"/>
          </rPr>
          <t>[hs] :</t>
        </r>
        <r>
          <rPr>
            <sz val="9"/>
            <color indexed="81"/>
            <rFont val="Tahoma"/>
            <family val="2"/>
          </rPr>
          <t xml:space="preserve">
note difference with column P (Ok Stock Comp%) [2023-10-05]</t>
        </r>
      </text>
    </comment>
    <comment ref="BW20" authorId="1" shapeId="0" xr:uid="{9F0B386D-CA88-44D3-B54D-FDA8C3C595A8}">
      <text>
        <r>
          <rPr>
            <b/>
            <sz val="9"/>
            <color indexed="81"/>
            <rFont val="Tahoma"/>
            <family val="2"/>
          </rPr>
          <t>[hs] :</t>
        </r>
        <r>
          <rPr>
            <sz val="9"/>
            <color indexed="81"/>
            <rFont val="Tahoma"/>
            <family val="2"/>
          </rPr>
          <t xml:space="preserve">
Same as Ok Returns (column AD)
[2024-01-05]</t>
        </r>
      </text>
    </comment>
    <comment ref="CI20" authorId="1" shapeId="0" xr:uid="{76711219-11C7-4F84-A3F6-A4AE639B4105}">
      <text>
        <r>
          <rPr>
            <b/>
            <sz val="9"/>
            <color indexed="81"/>
            <rFont val="Tahoma"/>
            <family val="2"/>
          </rPr>
          <t>[hs] :</t>
        </r>
        <r>
          <rPr>
            <sz val="9"/>
            <color indexed="81"/>
            <rFont val="Tahoma"/>
            <family val="2"/>
          </rPr>
          <t xml:space="preserve">
diff due to 13% boost of BON counts to mitigate -ve nat mortality in the mainstem</t>
        </r>
      </text>
    </comment>
    <comment ref="E21" authorId="1" shapeId="0" xr:uid="{A2F48713-63DB-48AE-8DE8-8CBC1DE27CC8}">
      <text>
        <r>
          <rPr>
            <b/>
            <sz val="9"/>
            <color indexed="81"/>
            <rFont val="Tahoma"/>
            <family val="2"/>
          </rPr>
          <t>[hs] :</t>
        </r>
        <r>
          <rPr>
            <sz val="9"/>
            <color indexed="81"/>
            <rFont val="Tahoma"/>
            <family val="2"/>
          </rPr>
          <t xml:space="preserve">
Esimate 24-hr count based on 16-hr count and actual 16-to-24 hr count adjustment for this year via VLOOKUP to tab </t>
        </r>
        <r>
          <rPr>
            <b/>
            <sz val="9"/>
            <color indexed="81"/>
            <rFont val="Tahoma"/>
            <family val="2"/>
          </rPr>
          <t>BON Count Adjustments</t>
        </r>
      </text>
    </comment>
    <comment ref="L21" authorId="0" shapeId="0" xr:uid="{10A37C35-08F5-429E-B51C-C4D143984CB5}">
      <text>
        <r>
          <rPr>
            <sz val="9"/>
            <color indexed="81"/>
            <rFont val="Tahoma"/>
            <family val="2"/>
          </rPr>
          <t>Estimated from 16-hr counts (pre-1998) + average annual difference 13.2% between 16- and 24-hour counts (1998-2022; Tom Kahler pers. comm.), i.e. 16-hr count x 1.132 [hs 2022-10-17]</t>
        </r>
      </text>
    </comment>
    <comment ref="BW21" authorId="1" shapeId="0" xr:uid="{55D3B80A-02D3-40F0-AE4B-3D748FBA3C3C}">
      <text>
        <r>
          <rPr>
            <b/>
            <sz val="9"/>
            <color indexed="81"/>
            <rFont val="Tahoma"/>
            <family val="2"/>
          </rPr>
          <t>[hs] :</t>
        </r>
        <r>
          <rPr>
            <sz val="9"/>
            <color indexed="81"/>
            <rFont val="Tahoma"/>
            <family val="2"/>
          </rPr>
          <t xml:space="preserve">
Same as Ok Returns (column AD)
[2024-01-05]</t>
        </r>
      </text>
    </comment>
    <comment ref="E22" authorId="1" shapeId="0" xr:uid="{5C6850FD-2C2A-417A-9075-96554B81CB2B}">
      <text>
        <r>
          <rPr>
            <b/>
            <sz val="9"/>
            <color indexed="81"/>
            <rFont val="Tahoma"/>
            <family val="2"/>
          </rPr>
          <t>[hs] :</t>
        </r>
        <r>
          <rPr>
            <sz val="9"/>
            <color indexed="81"/>
            <rFont val="Tahoma"/>
            <family val="2"/>
          </rPr>
          <t xml:space="preserve">
Esimate 24-hr count based on 16-hr count and actual 16-to-24 hr count adjustment for this year via VLOOKUP to tab </t>
        </r>
        <r>
          <rPr>
            <b/>
            <sz val="9"/>
            <color indexed="81"/>
            <rFont val="Tahoma"/>
            <family val="2"/>
          </rPr>
          <t>BON Count Adjustments</t>
        </r>
      </text>
    </comment>
    <comment ref="L22" authorId="0" shapeId="0" xr:uid="{130A97AA-E08E-4193-A859-593E95E0452E}">
      <text>
        <r>
          <rPr>
            <sz val="9"/>
            <color indexed="81"/>
            <rFont val="Tahoma"/>
            <family val="2"/>
          </rPr>
          <t>Estimated from 16-hr counts (pre-1998) + average annual difference 13.2% between 16- and 24-hour counts (1998-2022; Tom Kahler pers. comm.), i.e. 16-hr count x 1.132 [hs 2022-10-17]</t>
        </r>
      </text>
    </comment>
    <comment ref="BW22" authorId="1" shapeId="0" xr:uid="{61B4F6D7-2C0C-4EB8-BDDD-7F296D83A646}">
      <text>
        <r>
          <rPr>
            <b/>
            <sz val="9"/>
            <color indexed="81"/>
            <rFont val="Tahoma"/>
            <family val="2"/>
          </rPr>
          <t>[hs] :</t>
        </r>
        <r>
          <rPr>
            <sz val="9"/>
            <color indexed="81"/>
            <rFont val="Tahoma"/>
            <family val="2"/>
          </rPr>
          <t xml:space="preserve">
Same as Ok Returns (column AD)
[2024-01-05]</t>
        </r>
      </text>
    </comment>
    <comment ref="E23" authorId="1" shapeId="0" xr:uid="{62858C67-6528-4C88-BAF3-4B3CB02E962B}">
      <text>
        <r>
          <rPr>
            <b/>
            <sz val="9"/>
            <color indexed="81"/>
            <rFont val="Tahoma"/>
            <family val="2"/>
          </rPr>
          <t>[hs] :</t>
        </r>
        <r>
          <rPr>
            <sz val="9"/>
            <color indexed="81"/>
            <rFont val="Tahoma"/>
            <family val="2"/>
          </rPr>
          <t xml:space="preserve">
Esimate 24-hr count based on 16-hr count and actual 16-to-24 hr count adjustment for this year via VLOOKUP to tab </t>
        </r>
        <r>
          <rPr>
            <b/>
            <sz val="9"/>
            <color indexed="81"/>
            <rFont val="Tahoma"/>
            <family val="2"/>
          </rPr>
          <t>BON Count Adjustments</t>
        </r>
      </text>
    </comment>
    <comment ref="J23" authorId="2" shapeId="0" xr:uid="{C6B95C30-CF65-4545-A6E4-BEFDE2642658}">
      <text>
        <r>
          <rPr>
            <b/>
            <sz val="9"/>
            <color indexed="81"/>
            <rFont val="Tahoma"/>
            <family val="2"/>
          </rPr>
          <t xml:space="preserve">typo in last digit in Joint WDFW/ODFG report table 15? </t>
        </r>
        <r>
          <rPr>
            <sz val="9"/>
            <color indexed="81"/>
            <rFont val="Tahoma"/>
            <family val="2"/>
          </rPr>
          <t>[hs 2022-10-29]</t>
        </r>
      </text>
    </comment>
    <comment ref="K23" authorId="0" shapeId="0" xr:uid="{A768D476-DC75-4105-8240-5B2726521882}">
      <text>
        <r>
          <rPr>
            <sz val="9"/>
            <color indexed="81"/>
            <rFont val="Tahoma"/>
            <family val="2"/>
          </rPr>
          <t>Source of 16-hour counts Tom Kahler DCPUD (Oct 2022)</t>
        </r>
      </text>
    </comment>
    <comment ref="BW23" authorId="1" shapeId="0" xr:uid="{36B37899-7C97-4421-9331-E7D9FF5DD845}">
      <text>
        <r>
          <rPr>
            <b/>
            <sz val="9"/>
            <color indexed="81"/>
            <rFont val="Tahoma"/>
            <family val="2"/>
          </rPr>
          <t>[hs] :</t>
        </r>
        <r>
          <rPr>
            <sz val="9"/>
            <color indexed="81"/>
            <rFont val="Tahoma"/>
            <family val="2"/>
          </rPr>
          <t xml:space="preserve">
Same as Ok Returns (column AD)
[2024-01-05]</t>
        </r>
      </text>
    </comment>
    <comment ref="E24" authorId="1" shapeId="0" xr:uid="{E3A7ED84-32F2-42D4-AC1C-9E099D489F4C}">
      <text>
        <r>
          <rPr>
            <b/>
            <sz val="9"/>
            <color indexed="81"/>
            <rFont val="Tahoma"/>
            <family val="2"/>
          </rPr>
          <t>[hs] :</t>
        </r>
        <r>
          <rPr>
            <sz val="9"/>
            <color indexed="81"/>
            <rFont val="Tahoma"/>
            <family val="2"/>
          </rPr>
          <t xml:space="preserve">
Esimate 24-hr count based on 16-hr count and actual 16-to-24 hr count adjustment for this year via VLOOKUP to tab </t>
        </r>
        <r>
          <rPr>
            <b/>
            <sz val="9"/>
            <color indexed="81"/>
            <rFont val="Tahoma"/>
            <family val="2"/>
          </rPr>
          <t>BON Count Adjustments</t>
        </r>
      </text>
    </comment>
    <comment ref="G24" authorId="1" shapeId="0" xr:uid="{E1A10D1A-8DC9-44C2-937D-F397C1EF7DF8}">
      <text>
        <r>
          <rPr>
            <b/>
            <sz val="9"/>
            <color indexed="81"/>
            <rFont val="Tahoma"/>
            <family val="2"/>
          </rPr>
          <t>[hs] :</t>
        </r>
        <r>
          <rPr>
            <sz val="9"/>
            <color indexed="81"/>
            <rFont val="Tahoma"/>
            <family val="2"/>
          </rPr>
          <t xml:space="preserve">
may or may not use the 'BonBoostPercent' value to REDUCE Rock Island counts...</t>
        </r>
      </text>
    </comment>
    <comment ref="K24" authorId="0" shapeId="0" xr:uid="{C324A5F2-8607-4B22-AA10-06E5B307759B}">
      <text>
        <r>
          <rPr>
            <sz val="9"/>
            <color indexed="81"/>
            <rFont val="Tahoma"/>
            <family val="2"/>
          </rPr>
          <t>Source of 16-hour counts Tom Kahler DCPUD (Oct 2022)</t>
        </r>
      </text>
    </comment>
    <comment ref="BW24" authorId="1" shapeId="0" xr:uid="{E6318A76-F3FE-459F-A5EA-1CFDD20AB580}">
      <text>
        <r>
          <rPr>
            <b/>
            <sz val="9"/>
            <color indexed="81"/>
            <rFont val="Tahoma"/>
            <family val="2"/>
          </rPr>
          <t>[hs] :</t>
        </r>
        <r>
          <rPr>
            <sz val="9"/>
            <color indexed="81"/>
            <rFont val="Tahoma"/>
            <family val="2"/>
          </rPr>
          <t xml:space="preserve">
Same as Ok Returns (column AD)
[2024-01-05]</t>
        </r>
      </text>
    </comment>
    <comment ref="CI24" authorId="1" shapeId="0" xr:uid="{6DA08B47-60BA-4D3E-AF53-51F79937D763}">
      <text>
        <r>
          <rPr>
            <b/>
            <sz val="9"/>
            <color indexed="81"/>
            <rFont val="Tahoma"/>
            <family val="2"/>
          </rPr>
          <t>[hs] :</t>
        </r>
        <r>
          <rPr>
            <sz val="9"/>
            <color indexed="81"/>
            <rFont val="Tahoma"/>
            <family val="2"/>
          </rPr>
          <t xml:space="preserve">
diff due to 13% boost of BON counts to mitigate -ve nat mortality in the mainstem</t>
        </r>
      </text>
    </comment>
    <comment ref="E25" authorId="1" shapeId="0" xr:uid="{1CEEF980-AA85-44A5-B012-AD39002EBF78}">
      <text>
        <r>
          <rPr>
            <b/>
            <sz val="9"/>
            <color indexed="81"/>
            <rFont val="Tahoma"/>
            <family val="2"/>
          </rPr>
          <t>[hs] :</t>
        </r>
        <r>
          <rPr>
            <sz val="9"/>
            <color indexed="81"/>
            <rFont val="Tahoma"/>
            <family val="2"/>
          </rPr>
          <t xml:space="preserve">
Esimate 24-hr count based on 16-hr count and actual 16-to-24 hr count adjustment for this year via VLOOKUP to tab </t>
        </r>
        <r>
          <rPr>
            <b/>
            <sz val="9"/>
            <color indexed="81"/>
            <rFont val="Tahoma"/>
            <family val="2"/>
          </rPr>
          <t>BON Count Adjustments</t>
        </r>
      </text>
    </comment>
    <comment ref="K25" authorId="0" shapeId="0" xr:uid="{EBD0E3E3-08B5-41DB-BEF1-625642FDA0DB}">
      <text>
        <r>
          <rPr>
            <sz val="9"/>
            <color indexed="81"/>
            <rFont val="Tahoma"/>
            <family val="2"/>
          </rPr>
          <t>Source of 16-hour counts Tom Kahler DCPUD (Oct 2022)</t>
        </r>
      </text>
    </comment>
    <comment ref="S25" authorId="1" shapeId="0" xr:uid="{701EAB12-522A-40D0-A610-7E779F67D09D}">
      <text>
        <r>
          <rPr>
            <b/>
            <sz val="9"/>
            <color indexed="81"/>
            <rFont val="Tahoma"/>
            <family val="2"/>
          </rPr>
          <t>[hs] :</t>
        </r>
        <r>
          <rPr>
            <sz val="9"/>
            <color indexed="81"/>
            <rFont val="Tahoma"/>
            <family val="2"/>
          </rPr>
          <t xml:space="preserve">
big unexplained diff in dam count vs SPA estimate mentioned in Fryer &amp; Kelsey 2001 CRITFC report </t>
        </r>
      </text>
    </comment>
    <comment ref="BW25" authorId="1" shapeId="0" xr:uid="{29A71600-8E95-448F-B290-B67262E1C8BA}">
      <text>
        <r>
          <rPr>
            <b/>
            <sz val="9"/>
            <color indexed="81"/>
            <rFont val="Tahoma"/>
            <family val="2"/>
          </rPr>
          <t>[hs] :</t>
        </r>
        <r>
          <rPr>
            <sz val="9"/>
            <color indexed="81"/>
            <rFont val="Tahoma"/>
            <family val="2"/>
          </rPr>
          <t xml:space="preserve">
Same as Ok Returns (column AD)
[2024-01-05]</t>
        </r>
      </text>
    </comment>
    <comment ref="E26" authorId="1" shapeId="0" xr:uid="{EDAE28B6-E859-49D5-9974-39F0ADC2A1FE}">
      <text>
        <r>
          <rPr>
            <b/>
            <sz val="9"/>
            <color indexed="81"/>
            <rFont val="Tahoma"/>
            <family val="2"/>
          </rPr>
          <t>[hs] :</t>
        </r>
        <r>
          <rPr>
            <sz val="9"/>
            <color indexed="81"/>
            <rFont val="Tahoma"/>
            <family val="2"/>
          </rPr>
          <t xml:space="preserve">
Estimate 24-hr count based on 16-hr count and multi-year 16-to-24 hr count adjustment for 1994-2002. See tab </t>
        </r>
        <r>
          <rPr>
            <b/>
            <sz val="9"/>
            <color indexed="81"/>
            <rFont val="Tahoma"/>
            <family val="2"/>
          </rPr>
          <t>BON Count Adjustment</t>
        </r>
      </text>
    </comment>
    <comment ref="K26" authorId="0" shapeId="0" xr:uid="{E15E677E-FF15-4D97-BAA3-C316F15C6A24}">
      <text>
        <r>
          <rPr>
            <sz val="9"/>
            <color indexed="81"/>
            <rFont val="Tahoma"/>
            <family val="2"/>
          </rPr>
          <t>Source of 16-hour counts Tom Kahler DCPUD (Oct 2022)</t>
        </r>
      </text>
    </comment>
    <comment ref="S26" authorId="1" shapeId="0" xr:uid="{2360E54E-107B-4CEB-A0BC-0D15DEFC6E8B}">
      <text>
        <r>
          <rPr>
            <b/>
            <sz val="9"/>
            <color indexed="81"/>
            <rFont val="Tahoma"/>
            <family val="2"/>
          </rPr>
          <t>[hs] :</t>
        </r>
        <r>
          <rPr>
            <sz val="9"/>
            <color indexed="81"/>
            <rFont val="Tahoma"/>
            <family val="2"/>
          </rPr>
          <t xml:space="preserve">
"Second straight year that CRITFC SPA study
has estimated a lower proportion of Okanogan sockeye salmon at Bonneville Dam than that estimated from dam counts. There are a number of possible explanations. One possibility is the inaccuracy of dam counts." Fryer &amp; Kelsey 2002 
https://critfc.org/wp-content/uploads/2021/08/02_02report.pdf</t>
        </r>
      </text>
    </comment>
    <comment ref="BW26" authorId="1" shapeId="0" xr:uid="{643C357E-D2EB-4E41-A13C-D850251A346E}">
      <text>
        <r>
          <rPr>
            <b/>
            <sz val="9"/>
            <color indexed="81"/>
            <rFont val="Tahoma"/>
            <family val="2"/>
          </rPr>
          <t>[hs] :</t>
        </r>
        <r>
          <rPr>
            <sz val="9"/>
            <color indexed="81"/>
            <rFont val="Tahoma"/>
            <family val="2"/>
          </rPr>
          <t xml:space="preserve">
Same as Ok Returns (column AD)
[2024-01-05]</t>
        </r>
      </text>
    </comment>
    <comment ref="CG26" authorId="1" shapeId="0" xr:uid="{24422AD1-CFBE-4DA4-BDDD-F4AD683DE799}">
      <text>
        <r>
          <rPr>
            <b/>
            <sz val="9"/>
            <color indexed="81"/>
            <rFont val="Tahoma"/>
            <family val="2"/>
          </rPr>
          <t>[hs] :</t>
        </r>
        <r>
          <rPr>
            <sz val="9"/>
            <color indexed="81"/>
            <rFont val="Tahoma"/>
            <family val="2"/>
          </rPr>
          <t xml:space="preserve">
red text means
Minor differences vs Colin B's Table 1
[23.11.06]</t>
        </r>
      </text>
    </comment>
    <comment ref="E27" authorId="1" shapeId="0" xr:uid="{78E86C67-0FDB-4414-AA8F-C2575B5088B7}">
      <text>
        <r>
          <rPr>
            <b/>
            <sz val="9"/>
            <color indexed="81"/>
            <rFont val="Tahoma"/>
            <family val="2"/>
          </rPr>
          <t>[hs] :</t>
        </r>
        <r>
          <rPr>
            <sz val="9"/>
            <color indexed="81"/>
            <rFont val="Tahoma"/>
            <family val="2"/>
          </rPr>
          <t xml:space="preserve">
Esimate 24-hr count based on 16-hr count and actual 16-to-24 hr count adjustment for this year via VLOOKUP to tab </t>
        </r>
        <r>
          <rPr>
            <b/>
            <sz val="9"/>
            <color indexed="81"/>
            <rFont val="Tahoma"/>
            <family val="2"/>
          </rPr>
          <t>BON Count Adjustments</t>
        </r>
      </text>
    </comment>
    <comment ref="K27" authorId="0" shapeId="0" xr:uid="{2A2FBD54-A1A6-4A1C-A054-9B83459A3319}">
      <text>
        <r>
          <rPr>
            <sz val="9"/>
            <color indexed="81"/>
            <rFont val="Tahoma"/>
            <family val="2"/>
          </rPr>
          <t>Source of 16-hour counts Tom Kahler DCPUD (Oct 2022)</t>
        </r>
      </text>
    </comment>
    <comment ref="BW27" authorId="1" shapeId="0" xr:uid="{DD056F61-5C4C-4710-8A6A-39E6FBD0C724}">
      <text>
        <r>
          <rPr>
            <b/>
            <sz val="9"/>
            <color indexed="81"/>
            <rFont val="Tahoma"/>
            <family val="2"/>
          </rPr>
          <t>[hs] :</t>
        </r>
        <r>
          <rPr>
            <sz val="9"/>
            <color indexed="81"/>
            <rFont val="Tahoma"/>
            <family val="2"/>
          </rPr>
          <t xml:space="preserve">
Same as Ok Returns (column AD)
[2024-01-05]</t>
        </r>
      </text>
    </comment>
    <comment ref="E28" authorId="1" shapeId="0" xr:uid="{7B613228-A6DF-41C0-95B5-5C8F7DD9E3DC}">
      <text>
        <r>
          <rPr>
            <b/>
            <sz val="9"/>
            <color indexed="81"/>
            <rFont val="Tahoma"/>
            <family val="2"/>
          </rPr>
          <t>[hs] :</t>
        </r>
        <r>
          <rPr>
            <sz val="9"/>
            <color indexed="81"/>
            <rFont val="Tahoma"/>
            <family val="2"/>
          </rPr>
          <t xml:space="preserve">
Estimate 24-hr count based on 16-hr count and multi-year 16-to-24 hr count adjustment averaged between 1994-2002 and 2013-2022, under the assumption that the adjustment is probably somewhere in between the two m-yr means. 
See tab </t>
        </r>
        <r>
          <rPr>
            <b/>
            <sz val="9"/>
            <color indexed="81"/>
            <rFont val="Tahoma"/>
            <family val="2"/>
          </rPr>
          <t>BON Count Adjustment</t>
        </r>
      </text>
    </comment>
    <comment ref="K28" authorId="0" shapeId="0" xr:uid="{0691610B-F2D8-48BA-A68A-AEAEF5759358}">
      <text>
        <r>
          <rPr>
            <sz val="9"/>
            <color indexed="81"/>
            <rFont val="Tahoma"/>
            <family val="2"/>
          </rPr>
          <t>Source of 16-hour counts Tom Kahler DCPUD (Oct 2022)</t>
        </r>
      </text>
    </comment>
    <comment ref="BW28" authorId="1" shapeId="0" xr:uid="{987C373D-4EDE-4A37-BA05-C871C96DAD66}">
      <text>
        <r>
          <rPr>
            <b/>
            <sz val="9"/>
            <color indexed="81"/>
            <rFont val="Tahoma"/>
            <family val="2"/>
          </rPr>
          <t>[hs] :</t>
        </r>
        <r>
          <rPr>
            <sz val="9"/>
            <color indexed="81"/>
            <rFont val="Tahoma"/>
            <family val="2"/>
          </rPr>
          <t xml:space="preserve">
Same as Ok Returns (column AD)
[2024-01-05]</t>
        </r>
      </text>
    </comment>
    <comment ref="E29" authorId="1" shapeId="0" xr:uid="{84241990-7F3C-4D41-B874-7DB430B68DA4}">
      <text>
        <r>
          <rPr>
            <b/>
            <sz val="9"/>
            <color indexed="81"/>
            <rFont val="Tahoma"/>
            <family val="2"/>
          </rPr>
          <t>[hs] :</t>
        </r>
        <r>
          <rPr>
            <sz val="9"/>
            <color indexed="81"/>
            <rFont val="Tahoma"/>
            <family val="2"/>
          </rPr>
          <t xml:space="preserve">
Estimate 24-hr count based on 16-hr count and multi-year 16-to-24 hr count adjustment averaged between 1994-2002 and 2013-2022, under the assumption that the adjustment is probably somewhere in between the two m-yr means. 
See tab </t>
        </r>
        <r>
          <rPr>
            <b/>
            <sz val="9"/>
            <color indexed="81"/>
            <rFont val="Tahoma"/>
            <family val="2"/>
          </rPr>
          <t>BON Count Adjustment</t>
        </r>
      </text>
    </comment>
    <comment ref="K29" authorId="0" shapeId="0" xr:uid="{A65A5A3E-13F2-44C5-8EC1-D87C8894F416}">
      <text>
        <r>
          <rPr>
            <sz val="9"/>
            <color indexed="81"/>
            <rFont val="Tahoma"/>
            <family val="2"/>
          </rPr>
          <t>Source of 16-hour counts Tom Kahler DCPUD (Oct 2022)</t>
        </r>
      </text>
    </comment>
    <comment ref="BW29" authorId="1" shapeId="0" xr:uid="{A8449A5C-0D89-4783-9A27-8D14B2CDDCCC}">
      <text>
        <r>
          <rPr>
            <b/>
            <sz val="9"/>
            <color indexed="81"/>
            <rFont val="Tahoma"/>
            <family val="2"/>
          </rPr>
          <t>[hs] :</t>
        </r>
        <r>
          <rPr>
            <sz val="9"/>
            <color indexed="81"/>
            <rFont val="Tahoma"/>
            <family val="2"/>
          </rPr>
          <t xml:space="preserve">
Same as Ok Returns (column AD)
[2024-01-05]</t>
        </r>
      </text>
    </comment>
    <comment ref="E30" authorId="1" shapeId="0" xr:uid="{E1CF2748-876D-4A88-B211-B38045E72C5C}">
      <text>
        <r>
          <rPr>
            <b/>
            <sz val="9"/>
            <color indexed="81"/>
            <rFont val="Tahoma"/>
            <family val="2"/>
          </rPr>
          <t>[hs] :</t>
        </r>
        <r>
          <rPr>
            <sz val="9"/>
            <color indexed="81"/>
            <rFont val="Tahoma"/>
            <family val="2"/>
          </rPr>
          <t xml:space="preserve">
Estimate 24-hr count based on 16-hr count and multi-year 16-to-24 hr count adjustment averaged between 1994-2002 and 2013-2022, under the assumption that the adjustment is probably somewhere in between the two m-yr means. 
See tab </t>
        </r>
        <r>
          <rPr>
            <b/>
            <sz val="9"/>
            <color indexed="81"/>
            <rFont val="Tahoma"/>
            <family val="2"/>
          </rPr>
          <t>BON Count Adjustment</t>
        </r>
      </text>
    </comment>
    <comment ref="K30" authorId="0" shapeId="0" xr:uid="{1F130311-7AB7-49AF-ACE9-637D8C26E2ED}">
      <text>
        <r>
          <rPr>
            <sz val="9"/>
            <color indexed="81"/>
            <rFont val="Tahoma"/>
            <family val="2"/>
          </rPr>
          <t>Source of 16-hour counts Tom Kahler DCPUD (Oct 2022)</t>
        </r>
      </text>
    </comment>
    <comment ref="AM30" authorId="3" shapeId="0" xr:uid="{9230DE44-6321-4C61-B0A0-70613B8B13C4}">
      <text>
        <t>[Threaded comment]
Your version of Excel allows you to read this threaded comment; however, any edits to it will get removed if the file is opened in a newer version of Excel. Learn more: https://go.microsoft.com/fwlink/?linkid=870924
Comment:
    Recfish data for 2005 N/A [23.03.06]</t>
      </text>
    </comment>
    <comment ref="AN30" authorId="4" shapeId="0" xr:uid="{92C20FDC-115C-451A-8A61-7C4116E12377}">
      <text>
        <t>[Threaded comment]
Your version of Excel allows you to read this threaded comment; however, any edits to it will get removed if the file is opened in a newer version of Excel. Learn more: https://go.microsoft.com/fwlink/?linkid=870924
Comment:
    Recfish data for 2005 N/A [23.03.06]</t>
      </text>
    </comment>
    <comment ref="AO30" authorId="5" shapeId="0" xr:uid="{6DAC55CD-FB69-4F46-A5C3-BE3830DBDFFC}">
      <text>
        <t>[Threaded comment]
Your version of Excel allows you to read this threaded comment; however, any edits to it will get removed if the file is opened in a newer version of Excel. Learn more: https://go.microsoft.com/fwlink/?linkid=870924
Comment:
    Recfish data for 2005 N/A [23.03.06]</t>
      </text>
    </comment>
    <comment ref="BW30" authorId="1" shapeId="0" xr:uid="{B2EDFB3B-60FC-493F-A43B-5D965C96C0E3}">
      <text>
        <r>
          <rPr>
            <b/>
            <sz val="9"/>
            <color indexed="81"/>
            <rFont val="Tahoma"/>
            <family val="2"/>
          </rPr>
          <t>[hs] :</t>
        </r>
        <r>
          <rPr>
            <sz val="9"/>
            <color indexed="81"/>
            <rFont val="Tahoma"/>
            <family val="2"/>
          </rPr>
          <t xml:space="preserve">
Same as Ok Returns (column AD)
[2024-01-05]</t>
        </r>
      </text>
    </comment>
    <comment ref="E31" authorId="1" shapeId="0" xr:uid="{58D72862-EA81-43BC-848A-A115B1277B6C}">
      <text>
        <r>
          <rPr>
            <b/>
            <sz val="9"/>
            <color indexed="81"/>
            <rFont val="Tahoma"/>
            <family val="2"/>
          </rPr>
          <t>[hs] :</t>
        </r>
        <r>
          <rPr>
            <sz val="9"/>
            <color indexed="81"/>
            <rFont val="Tahoma"/>
            <family val="2"/>
          </rPr>
          <t xml:space="preserve">
Estimate 24-hr count based on 16-hr count and multi-year 16-to-24 hr count adjustment averaged between 1994-2002 and 2013-2022, under the assumption that the adjustment is probably somewhere in between the two m-yr means. 
See tab </t>
        </r>
        <r>
          <rPr>
            <b/>
            <sz val="9"/>
            <color indexed="81"/>
            <rFont val="Tahoma"/>
            <family val="2"/>
          </rPr>
          <t>BON Count Adjustment</t>
        </r>
      </text>
    </comment>
    <comment ref="K31" authorId="0" shapeId="0" xr:uid="{7F5DE7FD-97F3-4212-815C-0C92F343C37A}">
      <text>
        <r>
          <rPr>
            <sz val="9"/>
            <color indexed="81"/>
            <rFont val="Tahoma"/>
            <family val="2"/>
          </rPr>
          <t>Source of 16-hour counts Tom Kahler DCPUD (Oct 2022)</t>
        </r>
      </text>
    </comment>
    <comment ref="BW31" authorId="1" shapeId="0" xr:uid="{110B187D-AFBF-4095-8FAC-5CDA2EEA3DDD}">
      <text>
        <r>
          <rPr>
            <b/>
            <sz val="9"/>
            <color indexed="81"/>
            <rFont val="Tahoma"/>
            <family val="2"/>
          </rPr>
          <t>[hs] :</t>
        </r>
        <r>
          <rPr>
            <sz val="9"/>
            <color indexed="81"/>
            <rFont val="Tahoma"/>
            <family val="2"/>
          </rPr>
          <t xml:space="preserve">
Same as Ok Returns (column AD)
[2024-01-05]</t>
        </r>
      </text>
    </comment>
    <comment ref="E32" authorId="1" shapeId="0" xr:uid="{E944FE29-F949-4EE1-A173-4B7D6C0DCFD4}">
      <text>
        <r>
          <rPr>
            <b/>
            <sz val="9"/>
            <color indexed="81"/>
            <rFont val="Tahoma"/>
            <family val="2"/>
          </rPr>
          <t>[hs] :</t>
        </r>
        <r>
          <rPr>
            <sz val="9"/>
            <color indexed="81"/>
            <rFont val="Tahoma"/>
            <family val="2"/>
          </rPr>
          <t xml:space="preserve">
Esimate 24-hr count based on 16-hr count and actual 16-to-24 hr count adjustment for this year via VLOOKUP to tab </t>
        </r>
        <r>
          <rPr>
            <b/>
            <sz val="9"/>
            <color indexed="81"/>
            <rFont val="Tahoma"/>
            <family val="2"/>
          </rPr>
          <t>BON Count Adjustments</t>
        </r>
      </text>
    </comment>
    <comment ref="G32" authorId="1" shapeId="0" xr:uid="{AB152481-01C1-457D-A7D4-95036590394F}">
      <text>
        <r>
          <rPr>
            <b/>
            <sz val="9"/>
            <color indexed="81"/>
            <rFont val="Tahoma"/>
            <family val="2"/>
          </rPr>
          <t>[hs] :</t>
        </r>
        <r>
          <rPr>
            <sz val="9"/>
            <color indexed="81"/>
            <rFont val="Tahoma"/>
            <family val="2"/>
          </rPr>
          <t xml:space="preserve">
may or may not use the 'BonBoostPercent' value to REDUCE Rock Island counts...</t>
        </r>
      </text>
    </comment>
    <comment ref="K32" authorId="0" shapeId="0" xr:uid="{525B5044-CE7A-412A-9AF5-78A9C09C6B7C}">
      <text>
        <r>
          <rPr>
            <sz val="9"/>
            <color indexed="81"/>
            <rFont val="Tahoma"/>
            <family val="2"/>
          </rPr>
          <t>Source of 16-hour counts Tom Kahler DCPUD (Oct 2022)</t>
        </r>
      </text>
    </comment>
    <comment ref="BQ32" authorId="1" shapeId="0" xr:uid="{F9FFE46E-D907-4CE5-91CF-70FE619C069F}">
      <text>
        <r>
          <rPr>
            <sz val="9"/>
            <color indexed="81"/>
            <rFont val="Tahoma"/>
            <family val="2"/>
          </rPr>
          <t>Based on proportion of thermal marks in deadpitch recoveries on the spawning grounds [2024-01-23]</t>
        </r>
      </text>
    </comment>
    <comment ref="CI32" authorId="1" shapeId="0" xr:uid="{5E8ACFD4-0E4B-4138-AAA2-6B3681A2D4C7}">
      <text>
        <r>
          <rPr>
            <b/>
            <sz val="9"/>
            <color indexed="81"/>
            <rFont val="Tahoma"/>
            <family val="2"/>
          </rPr>
          <t>[hs] :</t>
        </r>
        <r>
          <rPr>
            <sz val="9"/>
            <color indexed="81"/>
            <rFont val="Tahoma"/>
            <family val="2"/>
          </rPr>
          <t xml:space="preserve">
diff due to 13% boost of BON counts to mitigate -ve nat mortality in the mainstem</t>
        </r>
      </text>
    </comment>
    <comment ref="E33" authorId="1" shapeId="0" xr:uid="{D8A73000-8F5B-498C-9B61-1EAA44B6C38B}">
      <text>
        <r>
          <rPr>
            <b/>
            <sz val="9"/>
            <color indexed="81"/>
            <rFont val="Tahoma"/>
            <family val="2"/>
          </rPr>
          <t>[hs] :</t>
        </r>
        <r>
          <rPr>
            <sz val="9"/>
            <color indexed="81"/>
            <rFont val="Tahoma"/>
            <family val="2"/>
          </rPr>
          <t xml:space="preserve">
Estimate 24-hr count based on 16-hr count and multi-year 16-to-24 hr count adjustment averaged between 1994-2002 and 2013-2022, under the assumption that the adjustment is probably somewhere in between the two m-yr means. 
See tab </t>
        </r>
        <r>
          <rPr>
            <b/>
            <sz val="9"/>
            <color indexed="81"/>
            <rFont val="Tahoma"/>
            <family val="2"/>
          </rPr>
          <t>BON Count Adjustment</t>
        </r>
      </text>
    </comment>
    <comment ref="K33" authorId="0" shapeId="0" xr:uid="{B100C01C-8644-4E87-B08F-1A3EFBD8B5BF}">
      <text>
        <r>
          <rPr>
            <sz val="9"/>
            <color indexed="81"/>
            <rFont val="Tahoma"/>
            <family val="2"/>
          </rPr>
          <t>Source of 16-hour counts Tom Kahler DCPUD (Oct 2022)</t>
        </r>
      </text>
    </comment>
    <comment ref="E34" authorId="1" shapeId="0" xr:uid="{29BC2511-913D-4947-AE57-B6E1C1B6D9A9}">
      <text>
        <r>
          <rPr>
            <b/>
            <sz val="9"/>
            <color indexed="81"/>
            <rFont val="Tahoma"/>
            <family val="2"/>
          </rPr>
          <t>[hs] : Added 1.0 to estimate to match up with CB's estimate [2024-01-03]</t>
        </r>
        <r>
          <rPr>
            <sz val="9"/>
            <color indexed="81"/>
            <rFont val="Tahoma"/>
            <family val="2"/>
          </rPr>
          <t xml:space="preserve">
Estimate 24-hr count based on 16-hr count and multi-year 16-to-24 hr count adjustment averaged between 1994-2002 and 2013-2022, under the assumption that the adjustment is probably somewhere in between the two m-yr means. 
See tab </t>
        </r>
        <r>
          <rPr>
            <b/>
            <sz val="9"/>
            <color indexed="81"/>
            <rFont val="Tahoma"/>
            <family val="2"/>
          </rPr>
          <t>BON Count Adjustment</t>
        </r>
      </text>
    </comment>
    <comment ref="K34" authorId="0" shapeId="0" xr:uid="{D6A17456-8DE3-42B9-8D13-4D6DBC847C44}">
      <text>
        <r>
          <rPr>
            <sz val="9"/>
            <color indexed="81"/>
            <rFont val="Tahoma"/>
            <family val="2"/>
          </rPr>
          <t>Source of 16-hour counts Tom Kahler DCPUD (Oct 2022)</t>
        </r>
      </text>
    </comment>
    <comment ref="E35" authorId="1" shapeId="0" xr:uid="{29092A1D-02F3-43E9-B31D-9395CDD31B9D}">
      <text>
        <r>
          <rPr>
            <b/>
            <sz val="9"/>
            <color indexed="81"/>
            <rFont val="Tahoma"/>
            <family val="2"/>
          </rPr>
          <t>[hs] :</t>
        </r>
        <r>
          <rPr>
            <sz val="9"/>
            <color indexed="81"/>
            <rFont val="Tahoma"/>
            <family val="2"/>
          </rPr>
          <t xml:space="preserve">
Estimate 24-hr count based on 16-hr count and multi-year 16-to-24 hr count adjustment averaged between 1994-2002 and 2013-2022, under the assumption that the adjustment is probably somewhere in between the two m-yr means. 
See tab </t>
        </r>
        <r>
          <rPr>
            <b/>
            <sz val="9"/>
            <color indexed="81"/>
            <rFont val="Tahoma"/>
            <family val="2"/>
          </rPr>
          <t>BON Count Adjustment</t>
        </r>
      </text>
    </comment>
    <comment ref="K35" authorId="0" shapeId="0" xr:uid="{A623F4A8-9B9D-4ABF-AABB-1E483AA345F5}">
      <text>
        <r>
          <rPr>
            <sz val="9"/>
            <color indexed="81"/>
            <rFont val="Tahoma"/>
            <family val="2"/>
          </rPr>
          <t>Source of 16-hour counts Tom Kahler DCPUD (Oct 2022)</t>
        </r>
      </text>
    </comment>
    <comment ref="E36" authorId="1" shapeId="0" xr:uid="{0F44119D-744F-4054-9260-E115CFCDCE41}">
      <text>
        <r>
          <rPr>
            <b/>
            <sz val="9"/>
            <color indexed="81"/>
            <rFont val="Tahoma"/>
            <family val="2"/>
          </rPr>
          <t>[hs] :</t>
        </r>
        <r>
          <rPr>
            <sz val="9"/>
            <color indexed="81"/>
            <rFont val="Tahoma"/>
            <family val="2"/>
          </rPr>
          <t xml:space="preserve">
Estimate 24-hr count based on 16-hr count and multi-year 16-to-24 hr count adjustment averaged between 1994-2002 and 2013-2022, under the assumption that the adjustment is probably somewhere in between the two m-yr means. 
See tab </t>
        </r>
        <r>
          <rPr>
            <b/>
            <sz val="9"/>
            <color indexed="81"/>
            <rFont val="Tahoma"/>
            <family val="2"/>
          </rPr>
          <t>BON Count Adjustment</t>
        </r>
      </text>
    </comment>
    <comment ref="K36" authorId="0" shapeId="0" xr:uid="{9533EE34-91B6-4F19-ADE0-7AE6A523E13D}">
      <text>
        <r>
          <rPr>
            <sz val="9"/>
            <color indexed="81"/>
            <rFont val="Tahoma"/>
            <family val="2"/>
          </rPr>
          <t>Source of 16-hour counts Tom Kahler DCPUD (Oct 2022)</t>
        </r>
      </text>
    </comment>
    <comment ref="U36" authorId="1" shapeId="0" xr:uid="{809D4F4E-0703-48F6-A084-978499CAEFB3}">
      <text>
        <r>
          <rPr>
            <b/>
            <sz val="9"/>
            <color indexed="81"/>
            <rFont val="Tahoma"/>
            <family val="2"/>
          </rPr>
          <t>[hs] :</t>
        </r>
        <r>
          <rPr>
            <sz val="9"/>
            <color indexed="81"/>
            <rFont val="Tahoma"/>
            <family val="2"/>
          </rPr>
          <t xml:space="preserve">
wide range in estimates</t>
        </r>
      </text>
    </comment>
    <comment ref="CG36" authorId="1" shapeId="0" xr:uid="{F59B6D37-8C07-44AC-9D21-3D394EE6ED6A}">
      <text>
        <r>
          <rPr>
            <b/>
            <sz val="9"/>
            <color indexed="81"/>
            <rFont val="Tahoma"/>
            <family val="2"/>
          </rPr>
          <t>[hs] :</t>
        </r>
        <r>
          <rPr>
            <sz val="9"/>
            <color indexed="81"/>
            <rFont val="Tahoma"/>
            <family val="2"/>
          </rPr>
          <t xml:space="preserve">
was 107,334 in 23.09.01
CB's OSO data report Table 1 indicates 59,581 but Table 3 suggests &gt;100K in SY2009, so may not have been changed? [hs 2023-11-07]
waiting for CB's new estimate given change in OSO:SKA ratio, and entering 100,000 for now [hs 2023-09-22]</t>
        </r>
      </text>
    </comment>
    <comment ref="E37" authorId="1" shapeId="0" xr:uid="{0DAF414B-5504-49C1-95FA-58A54834101E}">
      <text>
        <r>
          <rPr>
            <b/>
            <sz val="9"/>
            <color indexed="81"/>
            <rFont val="Tahoma"/>
            <family val="2"/>
          </rPr>
          <t>[hs] :</t>
        </r>
        <r>
          <rPr>
            <sz val="9"/>
            <color indexed="81"/>
            <rFont val="Tahoma"/>
            <family val="2"/>
          </rPr>
          <t xml:space="preserve">
Estimate 24-hr count based on 16-hr count and multi-year 16-to-24 hr count adjustment averaged between 1994-2002 and 2013-2022, under the assumption that the adjustment is probably somewhere in between the two m-yr means. 
See tab </t>
        </r>
        <r>
          <rPr>
            <b/>
            <sz val="9"/>
            <color indexed="81"/>
            <rFont val="Tahoma"/>
            <family val="2"/>
          </rPr>
          <t>BON Count Adjustment</t>
        </r>
      </text>
    </comment>
    <comment ref="K37" authorId="0" shapeId="0" xr:uid="{70F58395-BD7E-408D-8FA4-666EB5EB4219}">
      <text>
        <r>
          <rPr>
            <sz val="9"/>
            <color indexed="81"/>
            <rFont val="Tahoma"/>
            <family val="2"/>
          </rPr>
          <t>Source of 16-hour counts Tom Kahler DCPUD (Oct 2022)</t>
        </r>
      </text>
    </comment>
    <comment ref="CG37" authorId="1" shapeId="0" xr:uid="{6F19B2B7-626E-4CD9-869B-5D516984B0FD}">
      <text>
        <r>
          <rPr>
            <b/>
            <sz val="9"/>
            <color indexed="81"/>
            <rFont val="Tahoma"/>
            <family val="2"/>
          </rPr>
          <t>[hs] :</t>
        </r>
        <r>
          <rPr>
            <sz val="9"/>
            <color indexed="81"/>
            <rFont val="Tahoma"/>
            <family val="2"/>
          </rPr>
          <t xml:space="preserve">
red text means
Minor differences vs Colin B's Table 1
[23.11.06]</t>
        </r>
      </text>
    </comment>
    <comment ref="E38" authorId="1" shapeId="0" xr:uid="{CB36898B-BB59-42EF-8BFC-B61A9D4A2C20}">
      <text>
        <r>
          <rPr>
            <b/>
            <sz val="9"/>
            <color indexed="81"/>
            <rFont val="Tahoma"/>
            <family val="2"/>
          </rPr>
          <t>[hs] :</t>
        </r>
        <r>
          <rPr>
            <sz val="9"/>
            <color indexed="81"/>
            <rFont val="Tahoma"/>
            <family val="2"/>
          </rPr>
          <t xml:space="preserve">
Esimate 24-hr count based on 16-hr count and actual 16-to-24 hr count adjustment for this year via VLOOKUP to tab </t>
        </r>
        <r>
          <rPr>
            <b/>
            <sz val="9"/>
            <color indexed="81"/>
            <rFont val="Tahoma"/>
            <family val="2"/>
          </rPr>
          <t>BON Count Adjustments</t>
        </r>
      </text>
    </comment>
    <comment ref="K38" authorId="0" shapeId="0" xr:uid="{AB4F0A16-8307-4E56-8749-84733298F6E7}">
      <text>
        <r>
          <rPr>
            <sz val="9"/>
            <color indexed="81"/>
            <rFont val="Tahoma"/>
            <family val="2"/>
          </rPr>
          <t>Source of 16-hour counts Tom Kahler DCPUD (Oct 2022)</t>
        </r>
      </text>
    </comment>
    <comment ref="CG38" authorId="1" shapeId="0" xr:uid="{2DA8AA5C-40CE-4039-938C-0084AFA8AEE8}">
      <text>
        <r>
          <rPr>
            <b/>
            <sz val="9"/>
            <color indexed="81"/>
            <rFont val="Tahoma"/>
            <family val="2"/>
          </rPr>
          <t>[hs] :</t>
        </r>
        <r>
          <rPr>
            <sz val="9"/>
            <color indexed="81"/>
            <rFont val="Tahoma"/>
            <family val="2"/>
          </rPr>
          <t xml:space="preserve">
red text means
Minor differences vs Colin B's Table 1
[23.11.06]</t>
        </r>
      </text>
    </comment>
    <comment ref="E39" authorId="1" shapeId="0" xr:uid="{CFEE33BC-BF8E-4A19-A0C8-0F487BC6F1D4}">
      <text>
        <r>
          <rPr>
            <b/>
            <sz val="9"/>
            <color indexed="81"/>
            <rFont val="Tahoma"/>
            <family val="2"/>
          </rPr>
          <t>[hs] :</t>
        </r>
        <r>
          <rPr>
            <sz val="9"/>
            <color indexed="81"/>
            <rFont val="Tahoma"/>
            <family val="2"/>
          </rPr>
          <t xml:space="preserve">
Esimate 24-hr count based on 16-hr count and actual 16-to-24 hr count adjustment for this year via VLOOKUP to tab </t>
        </r>
        <r>
          <rPr>
            <b/>
            <sz val="9"/>
            <color indexed="81"/>
            <rFont val="Tahoma"/>
            <family val="2"/>
          </rPr>
          <t>BON Count Adjustments</t>
        </r>
      </text>
    </comment>
    <comment ref="K39" authorId="0" shapeId="0" xr:uid="{F96A51D9-0808-4E4A-BF3D-BBDD532514E5}">
      <text>
        <r>
          <rPr>
            <sz val="9"/>
            <color indexed="81"/>
            <rFont val="Tahoma"/>
            <family val="2"/>
          </rPr>
          <t>Source of 16-hour counts Tom Kahler DCPUD (Oct 2022)</t>
        </r>
      </text>
    </comment>
    <comment ref="CG39" authorId="1" shapeId="0" xr:uid="{62459B1E-AA53-4FFE-B166-041B2F8A2550}">
      <text>
        <r>
          <rPr>
            <b/>
            <sz val="9"/>
            <color indexed="81"/>
            <rFont val="Tahoma"/>
            <family val="2"/>
          </rPr>
          <t>[hs] :</t>
        </r>
        <r>
          <rPr>
            <sz val="9"/>
            <color indexed="81"/>
            <rFont val="Tahoma"/>
            <family val="2"/>
          </rPr>
          <t xml:space="preserve">
red text means
Minor differences vs Colin B's Table 1
[23.11.06]</t>
        </r>
      </text>
    </comment>
    <comment ref="E40" authorId="1" shapeId="0" xr:uid="{8C533B69-425B-42C0-AC47-477E5394EB0A}">
      <text>
        <r>
          <rPr>
            <b/>
            <sz val="9"/>
            <color indexed="81"/>
            <rFont val="Tahoma"/>
            <family val="2"/>
          </rPr>
          <t>[hs] :</t>
        </r>
        <r>
          <rPr>
            <sz val="9"/>
            <color indexed="81"/>
            <rFont val="Tahoma"/>
            <family val="2"/>
          </rPr>
          <t xml:space="preserve">
Esimate 24-hr count based on 16-hr count and actual 16-to-24 hr count adjustment for this year via VLOOKUP to tab </t>
        </r>
        <r>
          <rPr>
            <b/>
            <sz val="9"/>
            <color indexed="81"/>
            <rFont val="Tahoma"/>
            <family val="2"/>
          </rPr>
          <t>BON Count Adjustments</t>
        </r>
      </text>
    </comment>
    <comment ref="K40" authorId="0" shapeId="0" xr:uid="{A2EFE412-5975-4CCB-A523-F80D21B4D5E1}">
      <text>
        <r>
          <rPr>
            <sz val="9"/>
            <color indexed="81"/>
            <rFont val="Tahoma"/>
            <family val="2"/>
          </rPr>
          <t>Source of 16-hour counts Tom Kahler DCPUD (Oct 2022)</t>
        </r>
      </text>
    </comment>
    <comment ref="CG40" authorId="1" shapeId="0" xr:uid="{6B0EAC97-7607-4D7C-9856-E153927C09F8}">
      <text>
        <r>
          <rPr>
            <b/>
            <sz val="9"/>
            <color indexed="81"/>
            <rFont val="Tahoma"/>
            <family val="2"/>
          </rPr>
          <t>[hs] :</t>
        </r>
        <r>
          <rPr>
            <sz val="9"/>
            <color indexed="81"/>
            <rFont val="Tahoma"/>
            <family val="2"/>
          </rPr>
          <t xml:space="preserve">
red text means
Minor differences vs Colin B's Table 1
[23.11.06]</t>
        </r>
      </text>
    </comment>
    <comment ref="E41" authorId="1" shapeId="0" xr:uid="{63E0240E-F07A-4D4F-9988-0465A189858E}">
      <text>
        <r>
          <rPr>
            <b/>
            <sz val="9"/>
            <color indexed="81"/>
            <rFont val="Tahoma"/>
            <family val="2"/>
          </rPr>
          <t>[hs] :</t>
        </r>
        <r>
          <rPr>
            <sz val="9"/>
            <color indexed="81"/>
            <rFont val="Tahoma"/>
            <family val="2"/>
          </rPr>
          <t xml:space="preserve">
Esimate 24-hr count based on 16-hr count and actual 16-to-24 hr count adjustment for this year via VLOOKUP to tab </t>
        </r>
        <r>
          <rPr>
            <b/>
            <sz val="9"/>
            <color indexed="81"/>
            <rFont val="Tahoma"/>
            <family val="2"/>
          </rPr>
          <t>BON Count Adjustments</t>
        </r>
      </text>
    </comment>
    <comment ref="K41" authorId="0" shapeId="0" xr:uid="{CE12A7C5-0EB6-4817-976D-5A1194D4A974}">
      <text>
        <r>
          <rPr>
            <sz val="9"/>
            <color indexed="81"/>
            <rFont val="Tahoma"/>
            <family val="2"/>
          </rPr>
          <t>Source of 16-hour counts Tom Kahler DCPUD (Oct 2022)</t>
        </r>
      </text>
    </comment>
    <comment ref="U41" authorId="1" shapeId="0" xr:uid="{5FAD6B33-F82A-421B-9913-C191C35953C8}">
      <text>
        <r>
          <rPr>
            <b/>
            <sz val="9"/>
            <color indexed="81"/>
            <rFont val="Tahoma"/>
            <family val="2"/>
          </rPr>
          <t>[hs] :</t>
        </r>
        <r>
          <rPr>
            <sz val="9"/>
            <color indexed="81"/>
            <rFont val="Tahoma"/>
            <family val="2"/>
          </rPr>
          <t xml:space="preserve">
wide range in estimates</t>
        </r>
      </text>
    </comment>
    <comment ref="CG41" authorId="1" shapeId="0" xr:uid="{271C81CB-C1D0-49D3-ADF5-15E4D10ABF1B}">
      <text>
        <r>
          <rPr>
            <b/>
            <sz val="9"/>
            <color indexed="81"/>
            <rFont val="Tahoma"/>
            <family val="2"/>
          </rPr>
          <t>[hs] :</t>
        </r>
        <r>
          <rPr>
            <sz val="9"/>
            <color indexed="81"/>
            <rFont val="Tahoma"/>
            <family val="2"/>
          </rPr>
          <t xml:space="preserve">
red text means
Minor differences vs Colin B's Table 1
[23.11.06]</t>
        </r>
      </text>
    </comment>
    <comment ref="E42" authorId="1" shapeId="0" xr:uid="{2AFE82A7-04C4-4579-9E8A-6167CF87B5F6}">
      <text>
        <r>
          <rPr>
            <b/>
            <sz val="9"/>
            <color indexed="81"/>
            <rFont val="Tahoma"/>
            <family val="2"/>
          </rPr>
          <t>[hs] : Added 1.0 to estimate to match up with CB's estimate [2024-01-03]</t>
        </r>
        <r>
          <rPr>
            <sz val="9"/>
            <color indexed="81"/>
            <rFont val="Tahoma"/>
            <family val="2"/>
          </rPr>
          <t xml:space="preserve">
Esimate 24-hr count based on 16-hr count and actual 16-to-24 hr count adjustment for this year via VLOOKUP to tab </t>
        </r>
        <r>
          <rPr>
            <b/>
            <sz val="9"/>
            <color indexed="81"/>
            <rFont val="Tahoma"/>
            <family val="2"/>
          </rPr>
          <t>BON Count Adjustments</t>
        </r>
      </text>
    </comment>
    <comment ref="K42" authorId="0" shapeId="0" xr:uid="{CD55B620-D5F5-4B52-87EB-AA7322EA7353}">
      <text>
        <r>
          <rPr>
            <sz val="9"/>
            <color indexed="81"/>
            <rFont val="Tahoma"/>
            <family val="2"/>
          </rPr>
          <t>Source of 16-hour counts Tom Kahler DCPUD (Oct 2022)</t>
        </r>
      </text>
    </comment>
    <comment ref="CG42" authorId="1" shapeId="0" xr:uid="{22B414BE-7074-40BD-A79A-321824D2C2AA}">
      <text>
        <r>
          <rPr>
            <b/>
            <sz val="9"/>
            <color indexed="81"/>
            <rFont val="Tahoma"/>
            <family val="2"/>
          </rPr>
          <t>[hs] :</t>
        </r>
        <r>
          <rPr>
            <sz val="9"/>
            <color indexed="81"/>
            <rFont val="Tahoma"/>
            <family val="2"/>
          </rPr>
          <t xml:space="preserve">
red text means
Minor differences vs Colin B's Table 1
[23.11.06]</t>
        </r>
      </text>
    </comment>
    <comment ref="E43" authorId="1" shapeId="0" xr:uid="{4BD4A6DE-B03D-4768-990B-5EF170A20C3B}">
      <text>
        <r>
          <rPr>
            <b/>
            <sz val="9"/>
            <color indexed="81"/>
            <rFont val="Tahoma"/>
            <family val="2"/>
          </rPr>
          <t>[hs] :</t>
        </r>
        <r>
          <rPr>
            <sz val="9"/>
            <color indexed="81"/>
            <rFont val="Tahoma"/>
            <family val="2"/>
          </rPr>
          <t xml:space="preserve">
Esimate 24-hr count based on 16-hr count and actual 16-to-24 hr count adjustment for this year via VLOOKUP to tab </t>
        </r>
        <r>
          <rPr>
            <b/>
            <sz val="9"/>
            <color indexed="81"/>
            <rFont val="Tahoma"/>
            <family val="2"/>
          </rPr>
          <t>BON Count Adjustments</t>
        </r>
      </text>
    </comment>
    <comment ref="K43" authorId="0" shapeId="0" xr:uid="{42679EFC-091D-473C-ADA1-A73D73473492}">
      <text>
        <r>
          <rPr>
            <sz val="9"/>
            <color indexed="81"/>
            <rFont val="Tahoma"/>
            <family val="2"/>
          </rPr>
          <t>Source of 16-hour counts Tom Kahler DCPUD (Oct 2022)</t>
        </r>
      </text>
    </comment>
    <comment ref="CG43" authorId="1" shapeId="0" xr:uid="{8F228C3B-1B94-4DBC-9D25-A98AA58BD7EE}">
      <text>
        <r>
          <rPr>
            <sz val="9"/>
            <color indexed="81"/>
            <rFont val="Tahoma"/>
            <family val="2"/>
          </rPr>
          <t>was 103,427 in April 2023</t>
        </r>
      </text>
    </comment>
    <comment ref="E44" authorId="1" shapeId="0" xr:uid="{399628F5-7896-4244-880E-D0E1F1F15DCA}">
      <text>
        <r>
          <rPr>
            <b/>
            <sz val="9"/>
            <color indexed="81"/>
            <rFont val="Tahoma"/>
            <family val="2"/>
          </rPr>
          <t>[hs] :</t>
        </r>
        <r>
          <rPr>
            <sz val="9"/>
            <color indexed="81"/>
            <rFont val="Tahoma"/>
            <family val="2"/>
          </rPr>
          <t xml:space="preserve">
Esimate 24-hr count based on 16-hr count and actual 16-to-24 hr count adjustment for this year via VLOOKUP to tab </t>
        </r>
        <r>
          <rPr>
            <b/>
            <sz val="9"/>
            <color indexed="81"/>
            <rFont val="Tahoma"/>
            <family val="2"/>
          </rPr>
          <t>BON Count Adjustments</t>
        </r>
      </text>
    </comment>
    <comment ref="K44" authorId="0" shapeId="0" xr:uid="{27CC082D-052A-48CB-8A66-58A495C8B7CE}">
      <text>
        <r>
          <rPr>
            <sz val="9"/>
            <color indexed="81"/>
            <rFont val="Tahoma"/>
            <family val="2"/>
          </rPr>
          <t>Source of 16-hour counts Tom Kahler DCPUD (Oct 2022)</t>
        </r>
      </text>
    </comment>
    <comment ref="BQ44" authorId="1" shapeId="0" xr:uid="{5F742592-54C0-415F-836C-CF7203963EC3}">
      <text>
        <r>
          <rPr>
            <sz val="9"/>
            <color indexed="81"/>
            <rFont val="Tahoma"/>
            <family val="2"/>
          </rPr>
          <t>No thermal mark data available in 2019; estimated via spline analysis (Pthompson 2024-01-23]</t>
        </r>
      </text>
    </comment>
    <comment ref="CG44" authorId="1" shapeId="0" xr:uid="{933A2F68-7EBD-4B18-A360-16155946F0E9}">
      <text>
        <r>
          <rPr>
            <b/>
            <sz val="9"/>
            <color indexed="81"/>
            <rFont val="Tahoma"/>
            <family val="2"/>
          </rPr>
          <t>[hs] :</t>
        </r>
        <r>
          <rPr>
            <sz val="9"/>
            <color indexed="81"/>
            <rFont val="Tahoma"/>
            <family val="2"/>
          </rPr>
          <t xml:space="preserve">
red text means
Minor differences vs Colin B's Table 1
[23.11.06]</t>
        </r>
      </text>
    </comment>
    <comment ref="E45" authorId="1" shapeId="0" xr:uid="{BE36B344-A0EC-4E74-ACF3-1437AFB57B40}">
      <text>
        <r>
          <rPr>
            <b/>
            <sz val="9"/>
            <color indexed="81"/>
            <rFont val="Tahoma"/>
            <family val="2"/>
          </rPr>
          <t>[hs] :</t>
        </r>
        <r>
          <rPr>
            <sz val="9"/>
            <color indexed="81"/>
            <rFont val="Tahoma"/>
            <family val="2"/>
          </rPr>
          <t xml:space="preserve">
Esimate 24-hr count based on 16-hr count and actual 16-to-24 hr count adjustment for this year via VLOOKUP to tab </t>
        </r>
        <r>
          <rPr>
            <b/>
            <sz val="9"/>
            <color indexed="81"/>
            <rFont val="Tahoma"/>
            <family val="2"/>
          </rPr>
          <t>BON Count Adjustments</t>
        </r>
      </text>
    </comment>
    <comment ref="K45" authorId="0" shapeId="0" xr:uid="{7C03C55D-28F5-4D78-89F6-2FA0D7081F9D}">
      <text>
        <r>
          <rPr>
            <sz val="9"/>
            <color indexed="81"/>
            <rFont val="Tahoma"/>
            <family val="2"/>
          </rPr>
          <t>Source of 16-hour counts Tom Kahler DCPUD (Oct 2022)</t>
        </r>
      </text>
    </comment>
    <comment ref="S45" authorId="1" shapeId="0" xr:uid="{6ADDD295-37C3-42A9-8044-FC1558C084FD}">
      <text>
        <r>
          <rPr>
            <b/>
            <sz val="9"/>
            <color indexed="81"/>
            <rFont val="Tahoma"/>
            <family val="2"/>
          </rPr>
          <t>[hs] :</t>
        </r>
        <r>
          <rPr>
            <sz val="9"/>
            <color indexed="81"/>
            <rFont val="Tahoma"/>
            <family val="2"/>
          </rPr>
          <t xml:space="preserve">
Genetic stock identification (GSI) and Parental Based tagging (PBT) was 
combined with site of last PIT tag detection and used to classify the stock of 1718 Sockeye 
Salmon sampled at Bonneville Dam in 2020. Stock composition at Bonneville Dam in 2020 was estimated as 80.7% Okanagan, 17.1% Wenatchee, 2.2% Yakima, and less than 0.1% Snake. Fryer et al (2021) https://critfc.org/wp-content/uploads/2022/06/22_02.pdf</t>
        </r>
      </text>
    </comment>
    <comment ref="CG45" authorId="1" shapeId="0" xr:uid="{DBE40B42-7BD2-4140-9C3D-4C1BC5E3FCDF}">
      <text>
        <r>
          <rPr>
            <b/>
            <sz val="9"/>
            <color indexed="81"/>
            <rFont val="Tahoma"/>
            <family val="2"/>
          </rPr>
          <t>[hs] :</t>
        </r>
        <r>
          <rPr>
            <sz val="9"/>
            <color indexed="81"/>
            <rFont val="Tahoma"/>
            <family val="2"/>
          </rPr>
          <t xml:space="preserve">
red text means
Minor differences vs Colin B's Table 1
[23.11.06]</t>
        </r>
      </text>
    </comment>
    <comment ref="E46" authorId="1" shapeId="0" xr:uid="{A44AFC7C-B57C-4149-B89D-2855D9B4C28F}">
      <text>
        <r>
          <rPr>
            <b/>
            <sz val="9"/>
            <color indexed="81"/>
            <rFont val="Tahoma"/>
            <family val="2"/>
          </rPr>
          <t>[hs] :</t>
        </r>
        <r>
          <rPr>
            <sz val="9"/>
            <color indexed="81"/>
            <rFont val="Tahoma"/>
            <family val="2"/>
          </rPr>
          <t xml:space="preserve">
Esimate 24-hr count based on 16-hr count and actual 16-to-24 hr count adjustment for this year via VLOOKUP to tab </t>
        </r>
        <r>
          <rPr>
            <b/>
            <sz val="9"/>
            <color indexed="81"/>
            <rFont val="Tahoma"/>
            <family val="2"/>
          </rPr>
          <t>BON Count Adjustments</t>
        </r>
      </text>
    </comment>
    <comment ref="F46" authorId="1" shapeId="0" xr:uid="{B812ECE3-4135-4C1D-AEFF-FBEF7A31561C}">
      <text>
        <r>
          <rPr>
            <b/>
            <sz val="9"/>
            <color indexed="81"/>
            <rFont val="Tahoma"/>
            <family val="2"/>
          </rPr>
          <t>DART - Ice Harbor</t>
        </r>
      </text>
    </comment>
    <comment ref="K46" authorId="0" shapeId="0" xr:uid="{0C199B9F-17EF-4238-9AE8-ED45AA0711CB}">
      <text>
        <r>
          <rPr>
            <sz val="9"/>
            <color indexed="81"/>
            <rFont val="Tahoma"/>
            <family val="2"/>
          </rPr>
          <t>Source of 16-hour counts Tom Kahler DCPUD (Oct 2022)</t>
        </r>
      </text>
    </comment>
    <comment ref="CG46" authorId="1" shapeId="0" xr:uid="{F4B36B52-5837-4A2D-9994-2BC0DE9D94F5}">
      <text>
        <r>
          <rPr>
            <b/>
            <sz val="9"/>
            <color indexed="81"/>
            <rFont val="Tahoma"/>
            <family val="2"/>
          </rPr>
          <t>[hs] :</t>
        </r>
        <r>
          <rPr>
            <sz val="9"/>
            <color indexed="81"/>
            <rFont val="Tahoma"/>
            <family val="2"/>
          </rPr>
          <t xml:space="preserve">
red text means
Minor differences vs Colin B's Table 1
[23.11.06]</t>
        </r>
      </text>
    </comment>
    <comment ref="B47" authorId="2" shapeId="0" xr:uid="{66C6880C-9B10-4E2A-8786-D2315C7C6B3E}">
      <text>
        <r>
          <rPr>
            <sz val="9"/>
            <color indexed="81"/>
            <rFont val="Tahoma"/>
            <family val="2"/>
          </rPr>
          <t>No harvest data in Zones 1-6 available yet (2022-10-30)</t>
        </r>
      </text>
    </comment>
    <comment ref="E47" authorId="1" shapeId="0" xr:uid="{7C68FBCB-F431-4773-9AA9-AAEDCB180C44}">
      <text>
        <r>
          <rPr>
            <b/>
            <sz val="9"/>
            <color indexed="81"/>
            <rFont val="Tahoma"/>
            <family val="2"/>
          </rPr>
          <t>[hs] :</t>
        </r>
        <r>
          <rPr>
            <sz val="9"/>
            <color indexed="81"/>
            <rFont val="Tahoma"/>
            <family val="2"/>
          </rPr>
          <t xml:space="preserve">
Esimate 24-hr count based on 16-hr count and actual 16-to-24 hr count adjustment for this year via VLOOKUP to tab </t>
        </r>
        <r>
          <rPr>
            <b/>
            <sz val="9"/>
            <color indexed="81"/>
            <rFont val="Tahoma"/>
            <family val="2"/>
          </rPr>
          <t>BON Count Adjustments</t>
        </r>
      </text>
    </comment>
    <comment ref="F47" authorId="1" shapeId="0" xr:uid="{94A25F16-2723-4C4E-8ADF-146671B1A956}">
      <text>
        <r>
          <rPr>
            <b/>
            <sz val="9"/>
            <color indexed="81"/>
            <rFont val="Tahoma"/>
            <family val="2"/>
          </rPr>
          <t>DART - Ice Harbor</t>
        </r>
      </text>
    </comment>
    <comment ref="K47" authorId="0" shapeId="0" xr:uid="{33C0CA6A-02D5-49C5-918A-A81FD177E6E0}">
      <text>
        <r>
          <rPr>
            <sz val="9"/>
            <color indexed="81"/>
            <rFont val="Tahoma"/>
            <family val="2"/>
          </rPr>
          <t>Source of 16-hour counts Tom Kahler DCPUD (Oct 2022)</t>
        </r>
      </text>
    </comment>
    <comment ref="BD47" authorId="1" shapeId="0" xr:uid="{2E0F91CF-A76A-4DBD-857D-8730BC14C9A1}">
      <text>
        <r>
          <rPr>
            <b/>
            <sz val="9"/>
            <color indexed="81"/>
            <rFont val="Tahoma"/>
            <family val="2"/>
          </rPr>
          <t>[hs] :</t>
        </r>
        <r>
          <rPr>
            <sz val="9"/>
            <color indexed="81"/>
            <rFont val="Tahoma"/>
            <family val="2"/>
          </rPr>
          <t xml:space="preserve">
Preliminary [2022-10-30</t>
        </r>
      </text>
    </comment>
    <comment ref="BR47" authorId="1" shapeId="0" xr:uid="{E29C27EC-94E2-4685-9566-630A3C620278}">
      <text>
        <r>
          <rPr>
            <b/>
            <sz val="9"/>
            <color indexed="81"/>
            <rFont val="Tahoma"/>
            <family val="2"/>
          </rPr>
          <t>[hs] : CAUTION</t>
        </r>
        <r>
          <rPr>
            <sz val="9"/>
            <color indexed="81"/>
            <rFont val="Tahoma"/>
            <family val="2"/>
          </rPr>
          <t xml:space="preserve">
Multi-year average applied in tab HATCHERY ORIGIN RETURNS !!</t>
        </r>
      </text>
    </comment>
    <comment ref="BS47" authorId="1" shapeId="0" xr:uid="{D7458566-D814-4477-8A86-98803FA4C49E}">
      <text>
        <r>
          <rPr>
            <b/>
            <sz val="9"/>
            <color indexed="81"/>
            <rFont val="Tahoma"/>
            <family val="2"/>
          </rPr>
          <t xml:space="preserve">[hs] 
</t>
        </r>
        <r>
          <rPr>
            <sz val="9"/>
            <color indexed="81"/>
            <rFont val="Tahoma"/>
            <family val="2"/>
          </rPr>
          <t>from Skaha_Abundance_AO.xlsx (for Gottfried) [2024-07-08]</t>
        </r>
      </text>
    </comment>
    <comment ref="BV47" authorId="1" shapeId="0" xr:uid="{CF7FD1A6-FE75-4D6C-95E2-4F1254B0A3A6}">
      <text>
        <r>
          <rPr>
            <sz val="9"/>
            <color indexed="81"/>
            <rFont val="Tahoma"/>
            <family val="2"/>
          </rPr>
          <t>proportion OSO:SKA from spawning ground data [AO 2024-03-22]</t>
        </r>
      </text>
    </comment>
    <comment ref="F48" authorId="1" shapeId="0" xr:uid="{834A019D-C96A-49DE-855B-3A1580F3DF84}">
      <text>
        <r>
          <rPr>
            <b/>
            <sz val="9"/>
            <color indexed="81"/>
            <rFont val="Tahoma"/>
            <family val="2"/>
          </rPr>
          <t>[hs] :</t>
        </r>
        <r>
          <rPr>
            <sz val="9"/>
            <color indexed="81"/>
            <rFont val="Tahoma"/>
            <family val="2"/>
          </rPr>
          <t xml:space="preserve">
2269 at Ice Harbour [2024-02-28]</t>
        </r>
      </text>
    </comment>
    <comment ref="K48" authorId="1" shapeId="0" xr:uid="{8B61331D-B2D1-44F0-A54B-F7A4D4AB1741}">
      <text>
        <r>
          <rPr>
            <b/>
            <sz val="9"/>
            <color indexed="81"/>
            <rFont val="Tahoma"/>
            <family val="2"/>
          </rPr>
          <t>[hs] :</t>
        </r>
        <r>
          <rPr>
            <sz val="9"/>
            <color indexed="81"/>
            <rFont val="Tahoma"/>
            <family val="2"/>
          </rPr>
          <t xml:space="preserve">
Tom K has not provided this number for 2023, so just dividing by 1.132 [2023-12-08]</t>
        </r>
      </text>
    </comment>
    <comment ref="AK48" authorId="1" shapeId="0" xr:uid="{6067D168-0B03-4244-A115-AA4086CE3AFC}">
      <text>
        <r>
          <rPr>
            <b/>
            <sz val="9"/>
            <color indexed="81"/>
            <rFont val="Tahoma"/>
            <family val="2"/>
          </rPr>
          <t>[hs] :</t>
        </r>
        <r>
          <rPr>
            <sz val="9"/>
            <color indexed="81"/>
            <rFont val="Tahoma"/>
            <family val="2"/>
          </rPr>
          <t xml:space="preserve">
plus 71 released (Ryan Lothrop [2024-02-28])</t>
        </r>
      </text>
    </comment>
    <comment ref="AL48" authorId="1" shapeId="0" xr:uid="{81630BEF-5941-4C01-9937-B0E657620B93}">
      <text>
        <r>
          <rPr>
            <b/>
            <sz val="9"/>
            <color indexed="81"/>
            <rFont val="Tahoma"/>
            <family val="2"/>
          </rPr>
          <t>[hs] :</t>
        </r>
        <r>
          <rPr>
            <sz val="9"/>
            <color indexed="81"/>
            <rFont val="Tahoma"/>
            <family val="2"/>
          </rPr>
          <t xml:space="preserve">
plus 32 released (Ryan Lothrop [2024-02-28])</t>
        </r>
      </text>
    </comment>
    <comment ref="BS48" authorId="1" shapeId="0" xr:uid="{73A8F265-7FF5-4DF8-9DA8-5CF2CFF828C0}">
      <text>
        <r>
          <rPr>
            <b/>
            <sz val="9"/>
            <color indexed="81"/>
            <rFont val="Tahoma"/>
            <family val="2"/>
          </rPr>
          <t xml:space="preserve">[hs] 
</t>
        </r>
        <r>
          <rPr>
            <sz val="9"/>
            <color indexed="81"/>
            <rFont val="Tahoma"/>
            <family val="2"/>
          </rPr>
          <t>from Skaha_Abundance_AO.xlsx (for Gottfried) [2024-07-08]</t>
        </r>
      </text>
    </comment>
    <comment ref="BV48" authorId="1" shapeId="0" xr:uid="{B068AB06-5D9B-4CED-B29F-31B9F2386471}">
      <text>
        <r>
          <rPr>
            <sz val="9"/>
            <color indexed="81"/>
            <rFont val="Tahoma"/>
            <family val="2"/>
          </rPr>
          <t>proportion OSO:SKA from spawning ground data [AO 2024-03-22]</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 xml:space="preserve">[hs] </author>
  </authors>
  <commentList>
    <comment ref="G1" authorId="0" shapeId="0" xr:uid="{FC362F37-0995-4E23-9086-BDC55BA455D0}">
      <text>
        <r>
          <rPr>
            <b/>
            <sz val="9"/>
            <color indexed="81"/>
            <rFont val="Tahoma"/>
            <family val="2"/>
          </rPr>
          <t>Monthly mean flow (cms) at OkRiver@Oliver</t>
        </r>
      </text>
    </comment>
    <comment ref="H1" authorId="0" shapeId="0" xr:uid="{F1859417-7FA1-4457-9EA6-A8759A8F30B7}">
      <text>
        <r>
          <rPr>
            <b/>
            <sz val="9"/>
            <color indexed="81"/>
            <rFont val="Tahoma"/>
            <family val="2"/>
          </rPr>
          <t>Monthly mean flow (cms) at OkRiver@Oliver</t>
        </r>
      </text>
    </comment>
    <comment ref="I1" authorId="0" shapeId="0" xr:uid="{3D941DE8-6A0B-47D1-9533-5CE70FC58E9A}">
      <text>
        <r>
          <rPr>
            <sz val="9"/>
            <color indexed="81"/>
            <rFont val="Tahoma"/>
            <family val="2"/>
          </rPr>
          <t>Mean monthly flow (cms) during Spawn Timing (Sep-Oct)</t>
        </r>
      </text>
    </comment>
    <comment ref="E2" authorId="0" shapeId="0" xr:uid="{BD574E1D-2B42-4C54-BB3E-8077FC15AADE}">
      <text>
        <r>
          <rPr>
            <b/>
            <sz val="9"/>
            <color indexed="81"/>
            <rFont val="Tahoma"/>
            <family val="2"/>
          </rPr>
          <t>[hs] :</t>
        </r>
        <r>
          <rPr>
            <sz val="9"/>
            <color indexed="81"/>
            <rFont val="Tahoma"/>
            <family val="2"/>
          </rPr>
          <t xml:space="preserve">
0.02% survival of H-O fish?</t>
        </r>
      </text>
    </comment>
    <comment ref="E3" authorId="0" shapeId="0" xr:uid="{CDB91C3F-1BAF-4C0D-8DCB-F15D5A6F476B}">
      <text>
        <r>
          <rPr>
            <b/>
            <sz val="9"/>
            <color indexed="81"/>
            <rFont val="Tahoma"/>
            <family val="2"/>
          </rPr>
          <t xml:space="preserve">0.08
% </t>
        </r>
        <r>
          <rPr>
            <sz val="9"/>
            <color indexed="81"/>
            <rFont val="Tahoma"/>
            <family val="2"/>
          </rPr>
          <t>survival of H-O fish?</t>
        </r>
      </text>
    </comment>
    <comment ref="C4" authorId="0" shapeId="0" xr:uid="{579F0EA9-F945-47B1-8D09-D41DB77ADB64}">
      <text>
        <r>
          <rPr>
            <sz val="9"/>
            <color indexed="81"/>
            <rFont val="Tahoma"/>
            <family val="2"/>
          </rPr>
          <t>No H-O fish released anywhere in 2014 (BY2013); but 86 H-O fish (probably Age5's from BY2012) were found</t>
        </r>
      </text>
    </comment>
    <comment ref="E4" authorId="0" shapeId="0" xr:uid="{AA4976AE-90F1-4EAE-84C4-75C604D39D27}">
      <text>
        <r>
          <rPr>
            <b/>
            <sz val="9"/>
            <color indexed="81"/>
            <rFont val="Tahoma"/>
            <family val="2"/>
          </rPr>
          <t>86 H-O fish probably Age5's from BY2012</t>
        </r>
        <r>
          <rPr>
            <sz val="9"/>
            <color indexed="81"/>
            <rFont val="Tahoma"/>
            <family val="2"/>
          </rPr>
          <t xml:space="preserve">
</t>
        </r>
      </text>
    </comment>
    <comment ref="G6" authorId="0" shapeId="0" xr:uid="{20F775DE-4714-4EBB-A004-95B23D72E15E}">
      <text>
        <r>
          <rPr>
            <b/>
            <sz val="9"/>
            <color indexed="81"/>
            <rFont val="Tahoma"/>
            <family val="2"/>
          </rPr>
          <t>Monthly mean flow (cms) at OkRiver@Oliver</t>
        </r>
      </text>
    </comment>
    <comment ref="H6" authorId="0" shapeId="0" xr:uid="{C2F54AD9-B4B9-4A81-8A75-4E41453C1C9D}">
      <text>
        <r>
          <rPr>
            <b/>
            <sz val="9"/>
            <color indexed="81"/>
            <rFont val="Tahoma"/>
            <family val="2"/>
          </rPr>
          <t>Monthly mean flow (cms) at OkRiver@Oliver</t>
        </r>
      </text>
    </comment>
    <comment ref="I6" authorId="0" shapeId="0" xr:uid="{ADBF5881-2DFE-4067-AA0F-ED5DF5776774}">
      <text>
        <r>
          <rPr>
            <sz val="9"/>
            <color indexed="81"/>
            <rFont val="Tahoma"/>
            <family val="2"/>
          </rPr>
          <t>Mean monthly flow (cms) during Spawn Timing (Sep-Oct)</t>
        </r>
      </text>
    </comment>
    <comment ref="E7" authorId="0" shapeId="0" xr:uid="{8A000EEB-75BB-4284-B3C9-C2D2986C0A44}">
      <text>
        <r>
          <rPr>
            <b/>
            <sz val="9"/>
            <color indexed="81"/>
            <rFont val="Tahoma"/>
            <family val="2"/>
          </rPr>
          <t>2.2% survival of H-O fish?</t>
        </r>
        <r>
          <rPr>
            <sz val="9"/>
            <color indexed="81"/>
            <rFont val="Tahoma"/>
            <family val="2"/>
          </rPr>
          <t xml:space="preserve">
</t>
        </r>
      </text>
    </comment>
    <comment ref="E8" authorId="0" shapeId="0" xr:uid="{9E4C83C3-A16C-40E8-A5CA-9F962615A25A}">
      <text>
        <r>
          <rPr>
            <b/>
            <sz val="9"/>
            <color indexed="81"/>
            <rFont val="Tahoma"/>
            <family val="2"/>
          </rPr>
          <t>0.7% survival of H-O fish?</t>
        </r>
      </text>
    </comment>
    <comment ref="E9" authorId="0" shapeId="0" xr:uid="{3794C546-6284-426A-96EA-13B33700C9C5}">
      <text>
        <r>
          <rPr>
            <b/>
            <sz val="9"/>
            <color indexed="81"/>
            <rFont val="Tahoma"/>
            <family val="2"/>
          </rPr>
          <t>2.5% survival of H-O fish?</t>
        </r>
        <r>
          <rPr>
            <sz val="9"/>
            <color indexed="81"/>
            <rFont val="Tahoma"/>
            <family val="2"/>
          </rPr>
          <t xml:space="preserve">
</t>
        </r>
      </text>
    </comment>
    <comment ref="E10" authorId="0" shapeId="0" xr:uid="{A56A9768-707B-4B26-9185-37369B96752D}">
      <text>
        <r>
          <rPr>
            <b/>
            <sz val="9"/>
            <color indexed="81"/>
            <rFont val="Tahoma"/>
            <family val="2"/>
          </rPr>
          <t>0.28% survival of H-O fish?</t>
        </r>
      </text>
    </comment>
    <comment ref="E11" authorId="0" shapeId="0" xr:uid="{24B9F778-8318-471D-A631-87481BB97909}">
      <text>
        <r>
          <rPr>
            <b/>
            <sz val="9"/>
            <color indexed="81"/>
            <rFont val="Tahoma"/>
            <family val="2"/>
          </rPr>
          <t>1.3% survival of H-O fish?</t>
        </r>
        <r>
          <rPr>
            <sz val="9"/>
            <color indexed="81"/>
            <rFont val="Tahoma"/>
            <family val="2"/>
          </rPr>
          <t xml:space="preserve">
</t>
        </r>
      </text>
    </comment>
    <comment ref="E12" authorId="0" shapeId="0" xr:uid="{86FD472F-DAC6-4D4F-9DE7-5304BDBC0B94}">
      <text>
        <r>
          <rPr>
            <b/>
            <sz val="9"/>
            <color indexed="81"/>
            <rFont val="Tahoma"/>
            <family val="2"/>
          </rPr>
          <t>0.35% survival of H-O fish?</t>
        </r>
        <r>
          <rPr>
            <sz val="9"/>
            <color indexed="81"/>
            <rFont val="Tahoma"/>
            <family val="2"/>
          </rPr>
          <t xml:space="preserve">
</t>
        </r>
      </text>
    </comment>
    <comment ref="E13" authorId="0" shapeId="0" xr:uid="{83E708C2-AA80-4E55-870B-C69B68F89F04}">
      <text>
        <r>
          <rPr>
            <b/>
            <sz val="9"/>
            <color indexed="81"/>
            <rFont val="Tahoma"/>
            <family val="2"/>
          </rPr>
          <t>0.18% survival of H-O fish?</t>
        </r>
        <r>
          <rPr>
            <sz val="9"/>
            <color indexed="81"/>
            <rFont val="Tahoma"/>
            <family val="2"/>
          </rPr>
          <t xml:space="preserve">
</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 xml:space="preserve">[hs] </author>
    <author>tc={89595FC2-4B6D-44DF-B141-E7376D0E0A19}</author>
    <author>tc={EBBED8E3-33F3-486C-831D-E128766C01F3}</author>
    <author>tc={CECA664E-D315-49F8-9EB7-A451141AE097}</author>
    <author>tc={855050CD-8921-4B0B-8500-7B26435165EE}</author>
    <author>tc={72BDB58C-2D87-4A93-A4F5-447078BACFBE}</author>
  </authors>
  <commentList>
    <comment ref="A1" authorId="0" shapeId="0" xr:uid="{34A47F97-B727-460D-9D82-077B641F675C}">
      <text>
        <r>
          <rPr>
            <b/>
            <sz val="9"/>
            <color indexed="81"/>
            <rFont val="Tahoma"/>
            <family val="2"/>
          </rPr>
          <t>[hs] :</t>
        </r>
        <r>
          <rPr>
            <sz val="9"/>
            <color indexed="81"/>
            <rFont val="Tahoma"/>
            <family val="2"/>
          </rPr>
          <t xml:space="preserve">
data from Braden Judson "tables and figures feb8 2023</t>
        </r>
      </text>
    </comment>
    <comment ref="E1" authorId="0" shapeId="0" xr:uid="{D86A11F5-C7BE-49FC-9317-90CDFA9C6097}">
      <text>
        <r>
          <rPr>
            <b/>
            <sz val="9"/>
            <color indexed="81"/>
            <rFont val="Tahoma"/>
            <family val="2"/>
          </rPr>
          <t>[hs] :</t>
        </r>
        <r>
          <rPr>
            <sz val="9"/>
            <color indexed="81"/>
            <rFont val="Tahoma"/>
            <family val="2"/>
          </rPr>
          <t xml:space="preserve">
from Judson et al 202x </t>
        </r>
        <r>
          <rPr>
            <b/>
            <sz val="9"/>
            <color indexed="81"/>
            <rFont val="Tahoma"/>
            <family val="2"/>
          </rPr>
          <t>Okanagan_spawning_grounds_report_sept.2023 (HS).xlsx</t>
        </r>
        <r>
          <rPr>
            <sz val="9"/>
            <color indexed="81"/>
            <rFont val="Tahoma"/>
            <family val="2"/>
          </rPr>
          <t xml:space="preserve"> </t>
        </r>
        <r>
          <rPr>
            <b/>
            <sz val="9"/>
            <color indexed="81"/>
            <rFont val="Tahoma"/>
            <family val="2"/>
          </rPr>
          <t xml:space="preserve">TABLE 4 </t>
        </r>
        <r>
          <rPr>
            <sz val="9"/>
            <color indexed="81"/>
            <rFont val="Tahoma"/>
            <family val="2"/>
          </rPr>
          <t>in C:\DFO-MPO\OneDrive\OneDrive - DFO-MPO\Sockeye Index Stocks\Okanagan\Spawning Capacity</t>
        </r>
      </text>
    </comment>
    <comment ref="G1" authorId="0" shapeId="0" xr:uid="{E97A24B5-D807-489C-B0C1-B6767C66AA86}">
      <text>
        <r>
          <rPr>
            <b/>
            <sz val="9"/>
            <color indexed="81"/>
            <rFont val="Tahoma"/>
            <family val="2"/>
          </rPr>
          <t xml:space="preserve">BJ: </t>
        </r>
        <r>
          <rPr>
            <sz val="9"/>
            <color indexed="81"/>
            <rFont val="Tahoma"/>
            <family val="2"/>
          </rPr>
          <t>mixed composition of Kokanee and Jack/Jill Sockeye in unknown proportions</t>
        </r>
      </text>
    </comment>
    <comment ref="H1" authorId="0" shapeId="0" xr:uid="{1EE86423-9768-4A9D-BCCE-605FC6BEAA24}">
      <text>
        <r>
          <rPr>
            <b/>
            <sz val="9"/>
            <color indexed="81"/>
            <rFont val="Tahoma"/>
            <family val="2"/>
          </rPr>
          <t xml:space="preserve">BJ: </t>
        </r>
        <r>
          <rPr>
            <sz val="9"/>
            <color indexed="81"/>
            <rFont val="Tahoma"/>
            <family val="2"/>
          </rPr>
          <t>mixed composition of Kokanee and Jack/Jill Sockeye in unknown proportions</t>
        </r>
      </text>
    </comment>
    <comment ref="I1" authorId="0" shapeId="0" xr:uid="{FDD79EF6-C559-488A-8559-7F7D4827A972}">
      <text>
        <r>
          <rPr>
            <b/>
            <sz val="9"/>
            <color indexed="81"/>
            <rFont val="Tahoma"/>
            <family val="2"/>
          </rPr>
          <t xml:space="preserve">BJ: </t>
        </r>
        <r>
          <rPr>
            <sz val="9"/>
            <color indexed="81"/>
            <rFont val="Tahoma"/>
            <family val="2"/>
          </rPr>
          <t>mixed composition of Kokanee and Jack/Jill Sockeye in unknown proportions</t>
        </r>
      </text>
    </comment>
    <comment ref="B10" authorId="0" shapeId="0" xr:uid="{AAF556D2-5197-41B1-A660-55B654868B96}">
      <text>
        <r>
          <rPr>
            <b/>
            <sz val="9"/>
            <color indexed="81"/>
            <rFont val="Tahoma"/>
            <family val="2"/>
          </rPr>
          <t>[hs] :</t>
        </r>
        <r>
          <rPr>
            <sz val="9"/>
            <color indexed="81"/>
            <rFont val="Tahoma"/>
            <family val="2"/>
          </rPr>
          <t xml:space="preserve">
Vaseux L to Osoyoos L</t>
        </r>
      </text>
    </comment>
    <comment ref="C11" authorId="1" shapeId="0" xr:uid="{89595FC2-4B6D-44DF-B141-E7376D0E0A19}">
      <text>
        <t>[Threaded comment]
Your version of Excel allows you to read this threaded comment; however, any edits to it will get removed if the file is opened in a newer version of Excel. Learn more: https://go.microsoft.com/fwlink/?linkid=870924
Comment:
    McIntyre dam floodgates re-engineered in 2009 to ease upstream passage (to mid-OK River)</t>
      </text>
    </comment>
    <comment ref="C13" authorId="2" shapeId="0" xr:uid="{EBBED8E3-33F3-486C-831D-E128766C01F3}">
      <text>
        <t>[Threaded comment]
Your version of Excel allows you to read this threaded comment; however, any edits to it will get removed if the file is opened in a newer version of Excel. Learn more: https://go.microsoft.com/fwlink/?linkid=870924
Comment:
    Fishway below Skaha Lake (Ok Falls Dam) opened for fish passage after 2011. Allows access to upper Ok River (Pen Channel and Shingle Creek).</t>
      </text>
    </comment>
    <comment ref="E13" authorId="0" shapeId="0" xr:uid="{65D76DB9-00E4-4FA8-A402-4E97CEC4AB5D}">
      <text>
        <r>
          <rPr>
            <b/>
            <sz val="9"/>
            <color indexed="81"/>
            <rFont val="Tahoma"/>
            <family val="2"/>
          </rPr>
          <t>[hs] :</t>
        </r>
        <r>
          <rPr>
            <sz val="9"/>
            <color indexed="81"/>
            <rFont val="Tahoma"/>
            <family val="2"/>
          </rPr>
          <t xml:space="preserve">
was 35,900; updated to 13,968 to account for some KO (0.6%) [2023-09-26]
Was 64710; updated to 35900 [from BJudson 230920]
was 42,000; updated to match B-Judson spawning ground report [2023-09-11]</t>
        </r>
      </text>
    </comment>
    <comment ref="M13" authorId="0" shapeId="0" xr:uid="{F4F72D7A-51BE-4FBC-9748-B17E78DB992A}">
      <text>
        <r>
          <rPr>
            <b/>
            <sz val="9"/>
            <color indexed="81"/>
            <rFont val="Tahoma"/>
            <family val="2"/>
          </rPr>
          <t>[hs] :</t>
        </r>
        <r>
          <rPr>
            <sz val="9"/>
            <color indexed="81"/>
            <rFont val="Tahoma"/>
            <family val="2"/>
          </rPr>
          <t xml:space="preserve">
regresssion estimate of 35,900 fish for all Ok-bound Sockeye based on Wells (Bailey et al. 2023), assuming some/most of those fish moved upstream to Mid-Okr or Pen Ch.
Therefore, Lower Ok River fraction based on removal of sp grd estimates in Mid-OkR and removal of Pen Channel estimate (Bailey et al appendix Figure B3)</t>
        </r>
      </text>
    </comment>
    <comment ref="L24" authorId="0" shapeId="0" xr:uid="{F377FD68-33BB-47F7-A852-0D82433E07F6}">
      <text>
        <r>
          <rPr>
            <b/>
            <sz val="9"/>
            <color indexed="81"/>
            <rFont val="Tahoma"/>
            <family val="2"/>
          </rPr>
          <t>[hs] :</t>
        </r>
        <r>
          <rPr>
            <sz val="9"/>
            <color indexed="81"/>
            <rFont val="Tahoma"/>
            <family val="2"/>
          </rPr>
          <t xml:space="preserve">
54,500 OSO  according to Chad Fuller presentation [2023-05-03]</t>
        </r>
      </text>
    </comment>
    <comment ref="B26" authorId="0" shapeId="0" xr:uid="{F71B007A-E9EE-49FB-8782-4860E53ADE8C}">
      <text>
        <r>
          <rPr>
            <b/>
            <sz val="9"/>
            <color indexed="81"/>
            <rFont val="Tahoma"/>
            <family val="2"/>
          </rPr>
          <t>[hs] :</t>
        </r>
        <r>
          <rPr>
            <sz val="9"/>
            <color indexed="81"/>
            <rFont val="Tahoma"/>
            <family val="2"/>
          </rPr>
          <t xml:space="preserve">
Skaha Section 
Skaha L to Vaseux L</t>
        </r>
      </text>
    </comment>
    <comment ref="C26" authorId="3" shapeId="0" xr:uid="{CECA664E-D315-49F8-9EB7-A451141AE097}">
      <text>
        <t>[Threaded comment]
Your version of Excel allows you to read this threaded comment; however, any edits to it will get removed if the file is opened in a newer version of Excel. Learn more: https://go.microsoft.com/fwlink/?linkid=870924
Comment:
    McIntyre dam floodgates re-engineered in 2009 to ease upstream passage (to mid-OK River)</t>
      </text>
    </comment>
    <comment ref="C28" authorId="4" shapeId="0" xr:uid="{855050CD-8921-4B0B-8500-7B26435165EE}">
      <text>
        <t>[Threaded comment]
Your version of Excel allows you to read this threaded comment; however, any edits to it will get removed if the file is opened in a newer version of Excel. Learn more: https://go.microsoft.com/fwlink/?linkid=870924
Comment:
    Fishway below Skaha Lake (Ok Falls Dam) opened for fish passage after 2011. Allows access to upper Ok River (Pen Channel and Shingle Creek).</t>
      </text>
    </comment>
    <comment ref="D28" authorId="0" shapeId="0" xr:uid="{0FD81D5C-C358-4AB5-BBA3-06A56676A393}">
      <text>
        <r>
          <rPr>
            <b/>
            <sz val="9"/>
            <color indexed="81"/>
            <rFont val="Tahoma"/>
            <family val="2"/>
          </rPr>
          <t>[hs] :</t>
        </r>
        <r>
          <rPr>
            <sz val="9"/>
            <color indexed="81"/>
            <rFont val="Tahoma"/>
            <family val="2"/>
          </rPr>
          <t xml:space="preserve">
from streamwalks</t>
        </r>
      </text>
    </comment>
    <comment ref="F33" authorId="0" shapeId="0" xr:uid="{0037E8FA-6339-42E5-8982-9BE72C353F28}">
      <text>
        <r>
          <rPr>
            <b/>
            <sz val="9"/>
            <color indexed="81"/>
            <rFont val="Tahoma"/>
            <family val="2"/>
          </rPr>
          <t>[hs] :</t>
        </r>
        <r>
          <rPr>
            <sz val="9"/>
            <color indexed="81"/>
            <rFont val="Tahoma"/>
            <family val="2"/>
          </rPr>
          <t xml:space="preserve">
no deadpitch data so both Ecotype and H-O composition guesstimated 
[2024-01-04]</t>
        </r>
      </text>
    </comment>
    <comment ref="F36" authorId="0" shapeId="0" xr:uid="{CF24E389-D014-429D-AA64-8F55F73DA07F}">
      <text>
        <r>
          <rPr>
            <b/>
            <sz val="9"/>
            <color indexed="81"/>
            <rFont val="Tahoma"/>
            <family val="2"/>
          </rPr>
          <t>[hs] :</t>
        </r>
        <r>
          <rPr>
            <sz val="9"/>
            <color indexed="81"/>
            <rFont val="Tahoma"/>
            <family val="2"/>
          </rPr>
          <t xml:space="preserve">
no deadpitch data so both Ecotype and H-O composition guesstimated 
[2024-01-04]</t>
        </r>
      </text>
    </comment>
    <comment ref="F37" authorId="0" shapeId="0" xr:uid="{C9BB4509-FB55-412F-8441-405ECA218613}">
      <text>
        <r>
          <rPr>
            <b/>
            <sz val="9"/>
            <color indexed="81"/>
            <rFont val="Tahoma"/>
            <family val="2"/>
          </rPr>
          <t>[hs] :</t>
        </r>
        <r>
          <rPr>
            <sz val="9"/>
            <color indexed="81"/>
            <rFont val="Tahoma"/>
            <family val="2"/>
          </rPr>
          <t xml:space="preserve">
no deadpitch data so both Ecotype and H-O composition guesstimated 
[2024-01-04]</t>
        </r>
      </text>
    </comment>
    <comment ref="F38" authorId="0" shapeId="0" xr:uid="{4FB35E15-0B2E-4282-8D6F-B02D17DF2253}">
      <text>
        <r>
          <rPr>
            <b/>
            <sz val="9"/>
            <color indexed="81"/>
            <rFont val="Tahoma"/>
            <family val="2"/>
          </rPr>
          <t>[hs] :</t>
        </r>
        <r>
          <rPr>
            <sz val="9"/>
            <color indexed="81"/>
            <rFont val="Tahoma"/>
            <family val="2"/>
          </rPr>
          <t xml:space="preserve">
no deadpitch data so both Ecotype and H-O composition guesstimated 
[2024-01-04]</t>
        </r>
      </text>
    </comment>
    <comment ref="F39" authorId="0" shapeId="0" xr:uid="{6EC6F462-07D6-44F5-A064-E1F6F4252848}">
      <text>
        <r>
          <rPr>
            <b/>
            <sz val="9"/>
            <color indexed="81"/>
            <rFont val="Tahoma"/>
            <family val="2"/>
          </rPr>
          <t>[hs] :</t>
        </r>
        <r>
          <rPr>
            <sz val="9"/>
            <color indexed="81"/>
            <rFont val="Tahoma"/>
            <family val="2"/>
          </rPr>
          <t xml:space="preserve">
no deadpitch data so both Ecotype and H-O composition guesstimated 
[2024-01-04]</t>
        </r>
      </text>
    </comment>
    <comment ref="B41" authorId="0" shapeId="0" xr:uid="{47D1A390-AB50-40E6-B0E9-866ACAAFBE54}">
      <text>
        <r>
          <rPr>
            <b/>
            <sz val="9"/>
            <color indexed="81"/>
            <rFont val="Tahoma"/>
            <family val="2"/>
          </rPr>
          <t>[hs] : All Pen Channel numbers updated from Judson et al 23Nov03 version of spawning grounds report.
2024-01-04</t>
        </r>
        <r>
          <rPr>
            <sz val="9"/>
            <color indexed="81"/>
            <rFont val="Tahoma"/>
            <family val="2"/>
          </rPr>
          <t xml:space="preserve">
</t>
        </r>
      </text>
    </comment>
    <comment ref="C41" authorId="5" shapeId="0" xr:uid="{72BDB58C-2D87-4A93-A4F5-447078BACFBE}">
      <text>
        <t>[Threaded comment]
Your version of Excel allows you to read this threaded comment; however, any edits to it will get removed if the file is opened in a newer version of Excel. Learn more: https://go.microsoft.com/fwlink/?linkid=870924
Comment:
    Fishway below Skaha Lake (Ok Falls Dam) opened for fish passage after 2011. Allows access to upper Ok River (Pen Channel and Shingle Creek).</t>
      </text>
    </comment>
    <comment ref="E41" authorId="0" shapeId="0" xr:uid="{55A8DC24-9738-41B8-AC51-762A34D650B5}">
      <text>
        <r>
          <rPr>
            <b/>
            <sz val="9"/>
            <color indexed="81"/>
            <rFont val="Tahoma"/>
            <family val="2"/>
          </rPr>
          <t>[hs] :</t>
        </r>
        <r>
          <rPr>
            <sz val="9"/>
            <color indexed="81"/>
            <rFont val="Tahoma"/>
            <family val="2"/>
          </rPr>
          <t xml:space="preserve">
From Judson et al Table 2</t>
        </r>
      </text>
    </comment>
    <comment ref="J41" authorId="0" shapeId="0" xr:uid="{E5EA3047-8B24-4446-AD33-740FDBFA3897}">
      <text>
        <r>
          <rPr>
            <b/>
            <sz val="9"/>
            <color indexed="81"/>
            <rFont val="Tahoma"/>
            <family val="2"/>
          </rPr>
          <t>[hs] : [2024-01-04]</t>
        </r>
        <r>
          <rPr>
            <sz val="9"/>
            <color indexed="81"/>
            <rFont val="Tahoma"/>
            <family val="2"/>
          </rPr>
          <t xml:space="preserve">
Estimated from a log-log regression model (R2 = 0.48, p = 0.038) relating spawner abundance to presmolt abundance in the subsequent year (Bailey et al., 2023). Therefore, we estimate 22,879 (95% CI: 6,430 – 81,399) Sockeye spawners in Penticton Channel in 2011, although the relative fractions of H-O and N-O fish remain unknown due to a paucity of suitable biometric data.</t>
        </r>
      </text>
    </comment>
    <comment ref="M41" authorId="0" shapeId="0" xr:uid="{B36977B3-5F09-483D-8B27-0E247968EBC6}">
      <text>
        <r>
          <rPr>
            <b/>
            <sz val="9"/>
            <color indexed="81"/>
            <rFont val="Tahoma"/>
            <family val="2"/>
          </rPr>
          <t>[hs] :</t>
        </r>
        <r>
          <rPr>
            <sz val="9"/>
            <color indexed="81"/>
            <rFont val="Tahoma"/>
            <family val="2"/>
          </rPr>
          <t xml:space="preserve">
no change wrt B-Judson spawning ground report as of 2023-09-11</t>
        </r>
      </text>
    </comment>
    <comment ref="N41" authorId="0" shapeId="0" xr:uid="{4AC6E553-1A0F-4BE6-AB4F-5CF8C946F21B}">
      <text>
        <r>
          <rPr>
            <sz val="9"/>
            <color indexed="81"/>
            <rFont val="Tahoma"/>
            <family val="2"/>
          </rPr>
          <t>No thermal data - applying a guesstimated percentage of 80% H-O</t>
        </r>
      </text>
    </comment>
    <comment ref="K42" authorId="0" shapeId="0" xr:uid="{FEDCD1B7-8793-40B5-90AA-1CC50F1BD591}">
      <text>
        <r>
          <rPr>
            <b/>
            <sz val="9"/>
            <color indexed="81"/>
            <rFont val="Tahoma"/>
            <family val="2"/>
          </rPr>
          <t>[BJ] :</t>
        </r>
        <r>
          <rPr>
            <sz val="9"/>
            <color indexed="81"/>
            <rFont val="Tahoma"/>
            <family val="2"/>
          </rPr>
          <t xml:space="preserve">
BY2019 ONA Report says 74.6%, but not sure how this was determined. 
[February 9, 2023 at 2:28 PM]
February 9, 2023 at 2:27 PM</t>
        </r>
      </text>
    </comment>
    <comment ref="N42" authorId="0" shapeId="0" xr:uid="{7984B3A3-3D5A-4D8C-8E40-3C7CFBF7C5C1}">
      <text>
        <r>
          <rPr>
            <b/>
            <sz val="9"/>
            <color indexed="81"/>
            <rFont val="Tahoma"/>
            <family val="2"/>
          </rPr>
          <t>[hs] :</t>
        </r>
        <r>
          <rPr>
            <sz val="9"/>
            <color indexed="81"/>
            <rFont val="Tahoma"/>
            <family val="2"/>
          </rPr>
          <t xml:space="preserve">
no thermal data in 2012, but see column K</t>
        </r>
      </text>
    </comment>
    <comment ref="K45" authorId="0" shapeId="0" xr:uid="{7EC6FBE6-278F-4DF0-A10A-AD5572509A1E}">
      <text>
        <r>
          <rPr>
            <b/>
            <sz val="9"/>
            <color indexed="81"/>
            <rFont val="Tahoma"/>
            <family val="2"/>
          </rPr>
          <t>[hs] :</t>
        </r>
        <r>
          <rPr>
            <sz val="9"/>
            <color indexed="81"/>
            <rFont val="Tahoma"/>
            <family val="2"/>
          </rPr>
          <t xml:space="preserve">
Likely low since no H-O fish were released in Skaha (or Okanagan) in BY2011-2013, so likely no 4-year olds returning in 2015-2017.  Might be some 5 year olds from BY 2010, though! 
[February 4, 2023 at 1:57 PM]
BJ: According to BY2019 ONA report it’s actually 0%, but how this is calculated is not clear to me at all.
[February 9, 2023 at 2:27 PM]</t>
        </r>
      </text>
    </comment>
    <comment ref="K52" authorId="0" shapeId="0" xr:uid="{2FF1E1EB-56BE-47AB-8895-9031E7C53437}">
      <text>
        <r>
          <rPr>
            <b/>
            <sz val="9"/>
            <color indexed="81"/>
            <rFont val="Tahoma"/>
            <family val="2"/>
          </rPr>
          <t>[hs] :</t>
        </r>
        <r>
          <rPr>
            <sz val="9"/>
            <color indexed="81"/>
            <rFont val="Tahoma"/>
            <family val="2"/>
          </rPr>
          <t xml:space="preserve">
based on 8 H-O of 368 Sockeye with proper X.X ages and &gt; 30 cm in file Nerkid (Skaha) Deadpitch Adult Biodata_22.xlsx [2024-07-08]</t>
        </r>
      </text>
    </comment>
    <comment ref="L52" authorId="0" shapeId="0" xr:uid="{DEC79BCE-598A-4664-93A5-99810C1F9EA5}">
      <text>
        <r>
          <rPr>
            <b/>
            <sz val="9"/>
            <color indexed="81"/>
            <rFont val="Tahoma"/>
            <family val="2"/>
          </rPr>
          <t>[hs] :</t>
        </r>
        <r>
          <rPr>
            <sz val="9"/>
            <color indexed="81"/>
            <rFont val="Tahoma"/>
            <family val="2"/>
          </rPr>
          <t xml:space="preserve">
based on 8 H-O of 368 Sockeye with proper X.X ages and &gt; 30 cm in file Nerkid (Skaha) Deadpitch Adult Biodata_22.xlsx [2024-07-08]</t>
        </r>
      </text>
    </comment>
    <comment ref="C54" authorId="0" shapeId="0" xr:uid="{B6C95901-C0BB-4916-A3F0-1FF2D82168F9}">
      <text>
        <r>
          <rPr>
            <b/>
            <sz val="9"/>
            <color indexed="81"/>
            <rFont val="Tahoma"/>
            <family val="2"/>
          </rPr>
          <t>[hs] :</t>
        </r>
        <r>
          <rPr>
            <sz val="9"/>
            <color indexed="81"/>
            <rFont val="Tahoma"/>
            <family val="2"/>
          </rPr>
          <t xml:space="preserve">
first surveys of Shingle Ck</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 xml:space="preserve">[hs] </author>
  </authors>
  <commentList>
    <comment ref="E16" authorId="0" shapeId="0" xr:uid="{C0F32B6B-457E-4C42-80AE-52BC6DB5169E}">
      <text>
        <r>
          <rPr>
            <sz val="9"/>
            <color indexed="81"/>
            <rFont val="Tahoma"/>
            <family val="2"/>
          </rPr>
          <t>Osoyoos Strays ?</t>
        </r>
      </text>
    </comment>
    <comment ref="K18" authorId="0" shapeId="0" xr:uid="{76B4A4AE-1068-4076-BE64-7C104D991BDD}">
      <text>
        <r>
          <rPr>
            <sz val="9"/>
            <color indexed="81"/>
            <rFont val="Tahoma"/>
            <family val="2"/>
          </rPr>
          <t>Osoyoos Strays ?</t>
        </r>
      </text>
    </comment>
    <comment ref="L18" authorId="0" shapeId="0" xr:uid="{C065BDC1-124E-4553-B67E-3D968E794AEF}">
      <text>
        <r>
          <rPr>
            <b/>
            <sz val="9"/>
            <color indexed="81"/>
            <rFont val="Tahoma"/>
            <family val="2"/>
          </rPr>
          <t xml:space="preserve">No thermal mark data for 2011 or 2012, so these are estimates? </t>
        </r>
        <r>
          <rPr>
            <sz val="9"/>
            <color indexed="81"/>
            <rFont val="Tahoma"/>
            <family val="2"/>
          </rPr>
          <t>[hs 2024-02-02]</t>
        </r>
      </text>
    </comment>
    <comment ref="L19" authorId="0" shapeId="0" xr:uid="{8D211C8B-D18C-46E2-9260-01A2214EF709}">
      <text>
        <r>
          <rPr>
            <b/>
            <sz val="9"/>
            <color indexed="81"/>
            <rFont val="Tahoma"/>
            <family val="2"/>
          </rPr>
          <t xml:space="preserve">No thermal mark data for 2011 or 2012, so these are estimates? </t>
        </r>
        <r>
          <rPr>
            <sz val="9"/>
            <color indexed="81"/>
            <rFont val="Tahoma"/>
            <family val="2"/>
          </rPr>
          <t>[hs 2024-02-02]</t>
        </r>
      </text>
    </comment>
    <comment ref="F20" authorId="0" shapeId="0" xr:uid="{8A843F3F-7841-4822-8610-0C7D2012A546}">
      <text>
        <r>
          <rPr>
            <sz val="9"/>
            <color indexed="81"/>
            <rFont val="Tahoma"/>
            <family val="2"/>
          </rPr>
          <t>Might be 50% OSO-origin since fry releases in 2009 were half to SKA and half to OSO lakes</t>
        </r>
      </text>
    </comment>
    <comment ref="L20" authorId="0" shapeId="0" xr:uid="{6E0A0018-FB89-4394-A217-DBB7F4C6466B}">
      <text>
        <r>
          <rPr>
            <sz val="9"/>
            <color indexed="81"/>
            <rFont val="Tahoma"/>
            <family val="2"/>
          </rPr>
          <t>Might be 50% OSO-origin since fry releases in 2009 were half to SKA and half to OSO lakes</t>
        </r>
      </text>
    </comment>
    <comment ref="C22" authorId="0" shapeId="0" xr:uid="{4879123B-B1E6-4878-8C33-4D1D03C27510}">
      <text>
        <r>
          <rPr>
            <sz val="9"/>
            <color indexed="81"/>
            <rFont val="Tahoma"/>
            <family val="2"/>
          </rPr>
          <t xml:space="preserve">All H-O were released into OSO Lake, so all HO's in 2015-2017 are OSO or OSO strays...
</t>
        </r>
      </text>
    </comment>
    <comment ref="F22" authorId="0" shapeId="0" xr:uid="{F59D60EA-48F1-414E-BA3D-4F8A83D26E5B}">
      <text>
        <r>
          <rPr>
            <sz val="9"/>
            <color indexed="81"/>
            <rFont val="Tahoma"/>
            <family val="2"/>
          </rPr>
          <t xml:space="preserve">All H-O were released into OSO Lake, so all HO's in 2015-2017 are OSO or OSO strays...
</t>
        </r>
      </text>
    </comment>
    <comment ref="L22" authorId="0" shapeId="0" xr:uid="{61387435-E886-4052-A551-A69B1CFF9262}">
      <text>
        <r>
          <rPr>
            <sz val="9"/>
            <color indexed="81"/>
            <rFont val="Tahoma"/>
            <family val="2"/>
          </rPr>
          <t>All H-O were released into OSO Lake, so all HO's in 2015-2017 are OSO or OSO strays...</t>
        </r>
        <r>
          <rPr>
            <b/>
            <sz val="9"/>
            <color indexed="81"/>
            <rFont val="Tahoma"/>
            <family val="2"/>
          </rPr>
          <t xml:space="preserve">
However - BJ says no thermal mark data in 2015</t>
        </r>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 xml:space="preserve">[hs] </author>
  </authors>
  <commentList>
    <comment ref="N3" authorId="0" shapeId="0" xr:uid="{03941EFF-C4E4-40F5-9771-9647967CE756}">
      <text>
        <r>
          <rPr>
            <b/>
            <sz val="9"/>
            <color indexed="81"/>
            <rFont val="Tahoma"/>
            <family val="2"/>
          </rPr>
          <t>[hs] :</t>
        </r>
        <r>
          <rPr>
            <sz val="9"/>
            <color indexed="81"/>
            <rFont val="Tahoma"/>
            <family val="2"/>
          </rPr>
          <t xml:space="preserve">
Largely inaccurate and discontinued in 2018</t>
        </r>
      </text>
    </comment>
    <comment ref="Q3" authorId="0" shapeId="0" xr:uid="{9845C5CD-A0C2-440C-889D-590BB4E5EE6C}">
      <text>
        <r>
          <rPr>
            <sz val="9"/>
            <color indexed="81"/>
            <rFont val="Tahoma"/>
            <family val="2"/>
          </rPr>
          <t>of Wells-to-OkR survival</t>
        </r>
      </text>
    </comment>
    <comment ref="R3" authorId="0" shapeId="0" xr:uid="{544558B6-16A0-4A93-A17B-A7FDFCEE9BC3}">
      <text>
        <r>
          <rPr>
            <sz val="9"/>
            <color indexed="81"/>
            <rFont val="Tahoma"/>
            <family val="2"/>
          </rPr>
          <t>of Wells-to-OkR survival</t>
        </r>
      </text>
    </comment>
    <comment ref="M15" authorId="0" shapeId="0" xr:uid="{8EB33E5D-7297-497B-8061-34FE911F2783}">
      <text>
        <r>
          <rPr>
            <b/>
            <sz val="9"/>
            <color indexed="81"/>
            <rFont val="Tahoma"/>
            <family val="2"/>
          </rPr>
          <t>[hs] :</t>
        </r>
        <r>
          <rPr>
            <sz val="9"/>
            <color indexed="81"/>
            <rFont val="Tahoma"/>
            <family val="2"/>
          </rPr>
          <t xml:space="preserve">
CBR-DART indicates 2,005 Sockeye at ZOS</t>
        </r>
      </text>
    </comment>
    <comment ref="O33" authorId="0" shapeId="0" xr:uid="{823BFAE8-1413-4289-8271-2ED9A28C17C3}">
      <text>
        <r>
          <rPr>
            <b/>
            <sz val="9"/>
            <color indexed="81"/>
            <rFont val="Tahoma"/>
            <family val="2"/>
          </rPr>
          <t>[hs] :</t>
        </r>
        <r>
          <rPr>
            <sz val="9"/>
            <color indexed="81"/>
            <rFont val="Tahoma"/>
            <family val="2"/>
          </rPr>
          <t xml:space="preserve">
Weighted average</t>
        </r>
      </text>
    </comment>
    <comment ref="O34" authorId="0" shapeId="0" xr:uid="{966A2281-2C62-4483-8CF8-CF0BB81A96C3}">
      <text>
        <r>
          <rPr>
            <b/>
            <sz val="9"/>
            <color indexed="81"/>
            <rFont val="Tahoma"/>
            <family val="2"/>
          </rPr>
          <t>[hs] :</t>
        </r>
        <r>
          <rPr>
            <sz val="9"/>
            <color indexed="81"/>
            <rFont val="Tahoma"/>
            <family val="2"/>
          </rPr>
          <t xml:space="preserve">
unweighted average</t>
        </r>
      </text>
    </comment>
    <comment ref="G36" authorId="0" shapeId="0" xr:uid="{D8DB9944-68B6-45C0-A0BE-A782B97D0192}">
      <text>
        <r>
          <rPr>
            <b/>
            <sz val="9"/>
            <color indexed="81"/>
            <rFont val="Tahoma"/>
            <family val="2"/>
          </rPr>
          <t>[hs] :</t>
        </r>
        <r>
          <rPr>
            <sz val="9"/>
            <color indexed="81"/>
            <rFont val="Tahoma"/>
            <family val="2"/>
          </rPr>
          <t xml:space="preserve">
Just 2008-end</t>
        </r>
      </text>
    </comment>
    <comment ref="H36" authorId="0" shapeId="0" xr:uid="{0E977866-16A0-4DD1-8F8A-4A7748BED79D}">
      <text>
        <r>
          <rPr>
            <b/>
            <sz val="9"/>
            <color indexed="81"/>
            <rFont val="Tahoma"/>
            <family val="2"/>
          </rPr>
          <t>[hs] :</t>
        </r>
        <r>
          <rPr>
            <sz val="9"/>
            <color indexed="81"/>
            <rFont val="Tahoma"/>
            <family val="2"/>
          </rPr>
          <t xml:space="preserve">
Just 2008-end</t>
        </r>
      </text>
    </comment>
    <comment ref="I36" authorId="0" shapeId="0" xr:uid="{CA3846D9-D142-47F1-B9D1-2146832CB62F}">
      <text>
        <r>
          <rPr>
            <b/>
            <sz val="9"/>
            <color indexed="81"/>
            <rFont val="Tahoma"/>
            <family val="2"/>
          </rPr>
          <t>[hs] :</t>
        </r>
        <r>
          <rPr>
            <sz val="9"/>
            <color indexed="81"/>
            <rFont val="Tahoma"/>
            <family val="2"/>
          </rPr>
          <t xml:space="preserve">
Just 2008-end</t>
        </r>
      </text>
    </comment>
    <comment ref="J36" authorId="0" shapeId="0" xr:uid="{18A615C1-08DE-49BB-BF71-950856AABB13}">
      <text>
        <r>
          <rPr>
            <b/>
            <sz val="9"/>
            <color indexed="81"/>
            <rFont val="Tahoma"/>
            <family val="2"/>
          </rPr>
          <t>[hs] :</t>
        </r>
        <r>
          <rPr>
            <sz val="9"/>
            <color indexed="81"/>
            <rFont val="Tahoma"/>
            <family val="2"/>
          </rPr>
          <t xml:space="preserve">
Weighted average</t>
        </r>
      </text>
    </comment>
    <comment ref="G37" authorId="0" shapeId="0" xr:uid="{2D8A2DA3-6B6C-4D18-BAA8-353925691E87}">
      <text>
        <r>
          <rPr>
            <b/>
            <sz val="9"/>
            <color indexed="81"/>
            <rFont val="Tahoma"/>
            <family val="2"/>
          </rPr>
          <t>[hs] :</t>
        </r>
        <r>
          <rPr>
            <sz val="9"/>
            <color indexed="81"/>
            <rFont val="Tahoma"/>
            <family val="2"/>
          </rPr>
          <t xml:space="preserve">
Just 2008-end</t>
        </r>
      </text>
    </comment>
    <comment ref="H37" authorId="0" shapeId="0" xr:uid="{E0FCA53A-E11C-458A-A310-78BB4B4E8AE1}">
      <text>
        <r>
          <rPr>
            <b/>
            <sz val="9"/>
            <color indexed="81"/>
            <rFont val="Tahoma"/>
            <family val="2"/>
          </rPr>
          <t>[hs] :</t>
        </r>
        <r>
          <rPr>
            <sz val="9"/>
            <color indexed="81"/>
            <rFont val="Tahoma"/>
            <family val="2"/>
          </rPr>
          <t xml:space="preserve">
Just 2008-end</t>
        </r>
      </text>
    </comment>
    <comment ref="I37" authorId="0" shapeId="0" xr:uid="{8509934D-3364-4D79-9F92-64E091278588}">
      <text>
        <r>
          <rPr>
            <b/>
            <sz val="9"/>
            <color indexed="81"/>
            <rFont val="Tahoma"/>
            <family val="2"/>
          </rPr>
          <t>[hs] :</t>
        </r>
        <r>
          <rPr>
            <sz val="9"/>
            <color indexed="81"/>
            <rFont val="Tahoma"/>
            <family val="2"/>
          </rPr>
          <t xml:space="preserve">
Just 2008-end</t>
        </r>
      </text>
    </comment>
    <comment ref="J37" authorId="0" shapeId="0" xr:uid="{2D3C5726-59AC-42B3-A462-AE3ABFAAD3C0}">
      <text>
        <r>
          <rPr>
            <b/>
            <sz val="9"/>
            <color indexed="81"/>
            <rFont val="Tahoma"/>
            <family val="2"/>
          </rPr>
          <t>[hs] :</t>
        </r>
        <r>
          <rPr>
            <sz val="9"/>
            <color indexed="81"/>
            <rFont val="Tahoma"/>
            <family val="2"/>
          </rPr>
          <t xml:space="preserve">
unweighted average</t>
        </r>
      </text>
    </comment>
    <comment ref="G38" authorId="0" shapeId="0" xr:uid="{E384AEB2-8480-47F5-A4C1-6C767FF6BC89}">
      <text>
        <r>
          <rPr>
            <b/>
            <sz val="9"/>
            <color indexed="81"/>
            <rFont val="Tahoma"/>
            <family val="2"/>
          </rPr>
          <t>[hs] :</t>
        </r>
        <r>
          <rPr>
            <sz val="9"/>
            <color indexed="81"/>
            <rFont val="Tahoma"/>
            <family val="2"/>
          </rPr>
          <t xml:space="preserve">
Just 2008-end</t>
        </r>
      </text>
    </comment>
    <comment ref="H38" authorId="0" shapeId="0" xr:uid="{82F6C3CD-461F-4178-95D7-2C9D98132761}">
      <text>
        <r>
          <rPr>
            <b/>
            <sz val="9"/>
            <color indexed="81"/>
            <rFont val="Tahoma"/>
            <family val="2"/>
          </rPr>
          <t>[hs] :</t>
        </r>
        <r>
          <rPr>
            <sz val="9"/>
            <color indexed="81"/>
            <rFont val="Tahoma"/>
            <family val="2"/>
          </rPr>
          <t xml:space="preserve">
Just 2008-end</t>
        </r>
      </text>
    </comment>
    <comment ref="I38" authorId="0" shapeId="0" xr:uid="{81F43CF4-A634-4757-AA55-B1CA969299A3}">
      <text>
        <r>
          <rPr>
            <b/>
            <sz val="9"/>
            <color indexed="81"/>
            <rFont val="Tahoma"/>
            <family val="2"/>
          </rPr>
          <t>[hs] :</t>
        </r>
        <r>
          <rPr>
            <sz val="9"/>
            <color indexed="81"/>
            <rFont val="Tahoma"/>
            <family val="2"/>
          </rPr>
          <t xml:space="preserve">
Just 2008-end</t>
        </r>
      </text>
    </comment>
    <comment ref="G39" authorId="0" shapeId="0" xr:uid="{17E156A3-968D-484A-9486-1FAF56E215C8}">
      <text>
        <r>
          <rPr>
            <b/>
            <sz val="9"/>
            <color indexed="81"/>
            <rFont val="Tahoma"/>
            <family val="2"/>
          </rPr>
          <t>[hs] :</t>
        </r>
        <r>
          <rPr>
            <sz val="9"/>
            <color indexed="81"/>
            <rFont val="Tahoma"/>
            <family val="2"/>
          </rPr>
          <t xml:space="preserve">
Just 2008-end</t>
        </r>
      </text>
    </comment>
    <comment ref="H39" authorId="0" shapeId="0" xr:uid="{EFB3884C-8433-4534-803A-B046732C0267}">
      <text>
        <r>
          <rPr>
            <b/>
            <sz val="9"/>
            <color indexed="81"/>
            <rFont val="Tahoma"/>
            <family val="2"/>
          </rPr>
          <t>[hs] :</t>
        </r>
        <r>
          <rPr>
            <sz val="9"/>
            <color indexed="81"/>
            <rFont val="Tahoma"/>
            <family val="2"/>
          </rPr>
          <t xml:space="preserve">
Just 2008-end</t>
        </r>
      </text>
    </comment>
    <comment ref="I39" authorId="0" shapeId="0" xr:uid="{957E3721-2115-4A4F-9B86-3AFA7F05582E}">
      <text>
        <r>
          <rPr>
            <b/>
            <sz val="9"/>
            <color indexed="81"/>
            <rFont val="Tahoma"/>
            <family val="2"/>
          </rPr>
          <t>[hs] :</t>
        </r>
        <r>
          <rPr>
            <sz val="9"/>
            <color indexed="81"/>
            <rFont val="Tahoma"/>
            <family val="2"/>
          </rPr>
          <t xml:space="preserve">
Just 2008-end</t>
        </r>
      </text>
    </comment>
    <comment ref="G40" authorId="0" shapeId="0" xr:uid="{F80ACADD-C738-4E7C-86C2-B49FB67E576C}">
      <text>
        <r>
          <rPr>
            <b/>
            <sz val="9"/>
            <color indexed="81"/>
            <rFont val="Tahoma"/>
            <family val="2"/>
          </rPr>
          <t>[hs] :</t>
        </r>
        <r>
          <rPr>
            <sz val="9"/>
            <color indexed="81"/>
            <rFont val="Tahoma"/>
            <family val="2"/>
          </rPr>
          <t xml:space="preserve">
Just 2008-end</t>
        </r>
      </text>
    </comment>
    <comment ref="H40" authorId="0" shapeId="0" xr:uid="{7EB8511E-5B52-4CAD-A5C1-0F1F8208528B}">
      <text>
        <r>
          <rPr>
            <b/>
            <sz val="9"/>
            <color indexed="81"/>
            <rFont val="Tahoma"/>
            <family val="2"/>
          </rPr>
          <t>[hs] :</t>
        </r>
        <r>
          <rPr>
            <sz val="9"/>
            <color indexed="81"/>
            <rFont val="Tahoma"/>
            <family val="2"/>
          </rPr>
          <t xml:space="preserve">
Just 2008-end</t>
        </r>
      </text>
    </comment>
    <comment ref="I40" authorId="0" shapeId="0" xr:uid="{2B8C42E6-4125-41A7-BF77-445661C3A82E}">
      <text>
        <r>
          <rPr>
            <b/>
            <sz val="9"/>
            <color indexed="81"/>
            <rFont val="Tahoma"/>
            <family val="2"/>
          </rPr>
          <t>[hs] :</t>
        </r>
        <r>
          <rPr>
            <sz val="9"/>
            <color indexed="81"/>
            <rFont val="Tahoma"/>
            <family val="2"/>
          </rPr>
          <t xml:space="preserve">
Just 2008-end</t>
        </r>
      </text>
    </comment>
  </commentList>
</comments>
</file>

<file path=xl/comments22.xml><?xml version="1.0" encoding="utf-8"?>
<comments xmlns="http://schemas.openxmlformats.org/spreadsheetml/2006/main" xmlns:mc="http://schemas.openxmlformats.org/markup-compatibility/2006" xmlns:xr="http://schemas.microsoft.com/office/spreadsheetml/2014/revision" mc:Ignorable="xr">
  <authors>
    <author xml:space="preserve">[hs] </author>
  </authors>
  <commentList>
    <comment ref="A1" authorId="0" shapeId="0" xr:uid="{A4F6996E-A709-4B58-BBC6-5BC14366A221}">
      <text>
        <r>
          <rPr>
            <b/>
            <sz val="9"/>
            <color indexed="81"/>
            <rFont val="Tahoma"/>
            <family val="2"/>
          </rPr>
          <t>[hs] :</t>
        </r>
        <r>
          <rPr>
            <sz val="9"/>
            <color indexed="81"/>
            <rFont val="Tahoma"/>
            <family val="2"/>
          </rPr>
          <t xml:space="preserve">
see sheet "Hatchery Releases" [2023-02-04]</t>
        </r>
      </text>
    </comment>
  </commentList>
</comments>
</file>

<file path=xl/comments23.xml><?xml version="1.0" encoding="utf-8"?>
<comments xmlns="http://schemas.openxmlformats.org/spreadsheetml/2006/main" xmlns:mc="http://schemas.openxmlformats.org/markup-compatibility/2006" xmlns:xr="http://schemas.microsoft.com/office/spreadsheetml/2014/revision" mc:Ignorable="xr">
  <authors>
    <author xml:space="preserve">[hs] </author>
  </authors>
  <commentList>
    <comment ref="I2" authorId="0" shapeId="0" xr:uid="{4DD61D38-10F7-489C-A2A4-91C6CA1B9EF5}">
      <text>
        <r>
          <rPr>
            <b/>
            <sz val="9"/>
            <color indexed="81"/>
            <rFont val="Tahoma"/>
            <family val="2"/>
          </rPr>
          <t>[hs] :</t>
        </r>
        <r>
          <rPr>
            <sz val="9"/>
            <color indexed="81"/>
            <rFont val="Tahoma"/>
            <family val="2"/>
          </rPr>
          <t xml:space="preserve">
fish/ha</t>
        </r>
      </text>
    </comment>
    <comment ref="J2" authorId="0" shapeId="0" xr:uid="{F95EEBBB-D0F0-4DE4-8870-757219091A97}">
      <text>
        <r>
          <rPr>
            <b/>
            <sz val="9"/>
            <color indexed="81"/>
            <rFont val="Tahoma"/>
            <family val="2"/>
          </rPr>
          <t>[hs] :</t>
        </r>
        <r>
          <rPr>
            <sz val="9"/>
            <color indexed="81"/>
            <rFont val="Tahoma"/>
            <family val="2"/>
          </rPr>
          <t xml:space="preserve">
fish/ha</t>
        </r>
      </text>
    </comment>
    <comment ref="F26" authorId="0" shapeId="0" xr:uid="{963BE28F-22D3-4B7D-84C2-824C5511A973}">
      <text>
        <r>
          <rPr>
            <b/>
            <sz val="9"/>
            <color indexed="81"/>
            <rFont val="Tahoma"/>
            <family val="2"/>
          </rPr>
          <t>[hs] :</t>
        </r>
        <r>
          <rPr>
            <sz val="9"/>
            <color indexed="81"/>
            <rFont val="Tahoma"/>
            <family val="2"/>
          </rPr>
          <t xml:space="preserve">
Should the 1000 releases in UC be removed from total?</t>
        </r>
      </text>
    </comment>
    <comment ref="H26" authorId="0" shapeId="0" xr:uid="{A8FCAC7F-7D0B-4C73-A003-70507E4B6E74}">
      <text>
        <r>
          <rPr>
            <b/>
            <sz val="9"/>
            <color indexed="81"/>
            <rFont val="Tahoma"/>
            <family val="2"/>
          </rPr>
          <t>[hs] :</t>
        </r>
        <r>
          <rPr>
            <sz val="9"/>
            <color indexed="81"/>
            <rFont val="Tahoma"/>
            <family val="2"/>
          </rPr>
          <t xml:space="preserve">
Should the 1000 releases in UC be removed from total?</t>
        </r>
      </text>
    </comment>
  </commentList>
</comments>
</file>

<file path=xl/comments24.xml><?xml version="1.0" encoding="utf-8"?>
<comments xmlns="http://schemas.openxmlformats.org/spreadsheetml/2006/main" xmlns:mc="http://schemas.openxmlformats.org/markup-compatibility/2006" xmlns:xr="http://schemas.microsoft.com/office/spreadsheetml/2014/revision" mc:Ignorable="xr">
  <authors>
    <author xml:space="preserve">[hs] </author>
  </authors>
  <commentList>
    <comment ref="A1" authorId="0" shapeId="0" xr:uid="{47485CFF-9CB7-48FF-88E6-A05533B65DDC}">
      <text>
        <r>
          <rPr>
            <b/>
            <sz val="9"/>
            <color indexed="81"/>
            <rFont val="Tahoma"/>
            <family val="2"/>
          </rPr>
          <t xml:space="preserve">Source: </t>
        </r>
        <r>
          <rPr>
            <sz val="9"/>
            <color indexed="81"/>
            <rFont val="Tahoma"/>
            <family val="2"/>
          </rPr>
          <t>C:\Users\StiffH\Documents\FISHERIES\SALMON INDEX STOCKS\Okanagan\FWMT\Bonneville\[1994-2002 and 2012-2022 Bonneville 16hr 24hr Counts 23.01.24.xlsx]</t>
        </r>
      </text>
    </comment>
    <comment ref="I12" authorId="0" shapeId="0" xr:uid="{FCE63367-70E2-4F82-A4B7-575D1434DEB3}">
      <text>
        <r>
          <rPr>
            <b/>
            <sz val="9"/>
            <color indexed="81"/>
            <rFont val="Tahoma"/>
            <family val="2"/>
          </rPr>
          <t>[hs] :</t>
        </r>
        <r>
          <rPr>
            <sz val="9"/>
            <color indexed="81"/>
            <rFont val="Tahoma"/>
            <family val="2"/>
          </rPr>
          <t xml:space="preserve">
weighted mean</t>
        </r>
      </text>
    </comment>
    <comment ref="F23" authorId="0" shapeId="0" xr:uid="{86623C44-734E-4847-97EB-2CBF08202DD5}">
      <text>
        <r>
          <rPr>
            <b/>
            <sz val="9"/>
            <color indexed="81"/>
            <rFont val="Tahoma"/>
            <family val="2"/>
          </rPr>
          <t>[hs] :</t>
        </r>
        <r>
          <rPr>
            <sz val="9"/>
            <color indexed="81"/>
            <rFont val="Tahoma"/>
            <family val="2"/>
          </rPr>
          <t xml:space="preserve">
weighted mean</t>
        </r>
      </text>
    </comment>
    <comment ref="B27" authorId="0" shapeId="0" xr:uid="{23BCACBD-52CF-47FE-93C4-FAFFD6E3A1F0}">
      <text>
        <r>
          <rPr>
            <b/>
            <sz val="9"/>
            <color indexed="81"/>
            <rFont val="Tahoma"/>
            <family val="2"/>
          </rPr>
          <t>[hs] :</t>
        </r>
        <r>
          <rPr>
            <sz val="9"/>
            <color indexed="81"/>
            <rFont val="Tahoma"/>
            <family val="2"/>
          </rPr>
          <t xml:space="preserve">
= 1.0343 from pointing at $F$23</t>
        </r>
      </text>
    </comment>
    <comment ref="D27" authorId="0" shapeId="0" xr:uid="{645FC5ED-1E3C-48DC-910D-26D74AB67CC4}">
      <text>
        <r>
          <rPr>
            <b/>
            <sz val="9"/>
            <color indexed="81"/>
            <rFont val="Tahoma"/>
            <family val="2"/>
          </rPr>
          <t>[hs] :</t>
        </r>
        <r>
          <rPr>
            <sz val="9"/>
            <color indexed="81"/>
            <rFont val="Tahoma"/>
            <family val="2"/>
          </rPr>
          <t xml:space="preserve">
was -273.65
now CB's estimate</t>
        </r>
      </text>
    </comment>
    <comment ref="E27" authorId="0" shapeId="0" xr:uid="{1F11B664-34BC-4E78-A299-3697E07385C6}">
      <text>
        <r>
          <rPr>
            <b/>
            <sz val="9"/>
            <color indexed="81"/>
            <rFont val="Tahoma"/>
            <family val="2"/>
          </rPr>
          <t>[hs] :</t>
        </r>
        <r>
          <rPr>
            <sz val="9"/>
            <color indexed="81"/>
            <rFont val="Tahoma"/>
            <family val="2"/>
          </rPr>
          <t xml:space="preserve">
was 1.0435
now CB's estimate</t>
        </r>
      </text>
    </comment>
    <comment ref="C53" authorId="0" shapeId="0" xr:uid="{80D3BC82-36B3-4D05-B084-DBFC26EBC183}">
      <text>
        <r>
          <rPr>
            <b/>
            <sz val="9"/>
            <color indexed="81"/>
            <rFont val="Tahoma"/>
            <family val="2"/>
          </rPr>
          <t>[hs] :</t>
        </r>
        <r>
          <rPr>
            <sz val="9"/>
            <color indexed="81"/>
            <rFont val="Tahoma"/>
            <family val="2"/>
          </rPr>
          <t xml:space="preserve">
Assuming these years might be 'somewhere in the middle' of the two timespans for which we have both 16- and 24-hr data</t>
        </r>
      </text>
    </comment>
  </commentList>
</comments>
</file>

<file path=xl/comments25.xml><?xml version="1.0" encoding="utf-8"?>
<comments xmlns="http://schemas.openxmlformats.org/spreadsheetml/2006/main" xmlns:mc="http://schemas.openxmlformats.org/markup-compatibility/2006" xmlns:xr="http://schemas.microsoft.com/office/spreadsheetml/2014/revision" mc:Ignorable="xr">
  <authors>
    <author xml:space="preserve">[hs] </author>
  </authors>
  <commentList>
    <comment ref="A1" authorId="0" shapeId="0" xr:uid="{41C22A49-7EC9-4E0F-9087-F991649D290F}">
      <text>
        <r>
          <rPr>
            <b/>
            <sz val="9"/>
            <color indexed="81"/>
            <rFont val="Tahoma"/>
            <family val="2"/>
          </rPr>
          <t>[hs] :</t>
        </r>
        <r>
          <rPr>
            <sz val="9"/>
            <color indexed="81"/>
            <rFont val="Tahoma"/>
            <family val="2"/>
          </rPr>
          <t xml:space="preserve">
From CB's final estimates for OSO SAR Report [23.11.08)
https://086gc-my.sharepoint.com/:w:/r/personal/colin_bailey_dfo-mpo_gc_ca/_layouts/15/Doc.aspx?sourcedoc=%7B4E6F2379-CA3C-40B4-A2F4-0E2E63258B63%7D&amp;file=Osoyoos_Report_08.11.2023.docx&amp;action=default&amp;mobileredirect=true
</t>
        </r>
      </text>
    </comment>
  </commentList>
</comments>
</file>

<file path=xl/comments26.xml><?xml version="1.0" encoding="utf-8"?>
<comments xmlns="http://schemas.openxmlformats.org/spreadsheetml/2006/main" xmlns:mc="http://schemas.openxmlformats.org/markup-compatibility/2006" xmlns:xr="http://schemas.microsoft.com/office/spreadsheetml/2014/revision" mc:Ignorable="xr">
  <authors>
    <author>HS</author>
    <author xml:space="preserve">[hs] </author>
    <author>Howard Stiff</author>
    <author>AO</author>
  </authors>
  <commentList>
    <comment ref="A1" authorId="0" shapeId="0" xr:uid="{5592CD83-213C-425C-B716-9A0854AB92ED}">
      <text>
        <r>
          <rPr>
            <sz val="9"/>
            <color indexed="81"/>
            <rFont val="Tahoma"/>
            <family val="2"/>
          </rPr>
          <t>Sockeye population (CU) name</t>
        </r>
      </text>
    </comment>
    <comment ref="B1" authorId="0" shapeId="0" xr:uid="{61D2B04D-688C-48B3-A77B-ADD7FD3E98CF}">
      <text>
        <r>
          <rPr>
            <sz val="9"/>
            <color indexed="81"/>
            <rFont val="Tahoma"/>
            <family val="2"/>
          </rPr>
          <t>Year of seaward migration</t>
        </r>
      </text>
    </comment>
    <comment ref="AV1" authorId="0" shapeId="0" xr:uid="{AA74D828-72C3-4D89-A1A6-135B0D96CA45}">
      <text>
        <r>
          <rPr>
            <sz val="9"/>
            <color indexed="81"/>
            <rFont val="Tahoma"/>
            <family val="2"/>
          </rPr>
          <t>Comment on environmental conditions or events potentially impacting fish, rearing locations or migration routes, e.g. floods, droughts, temperature anomalies, fish mortalities, fish conditions, etc.</t>
        </r>
      </text>
    </comment>
    <comment ref="AW1" authorId="0" shapeId="0" xr:uid="{DAD407E9-99A9-43F7-92FD-6DB3BF41852B}">
      <text>
        <r>
          <rPr>
            <sz val="9"/>
            <color indexed="81"/>
            <rFont val="Tahoma"/>
            <family val="2"/>
          </rPr>
          <t>Include any notes and considerations for this year's data. Indicate if any changes have been made to this year's data relative to previous submissions, and why.</t>
        </r>
      </text>
    </comment>
    <comment ref="AX1" authorId="0" shapeId="0" xr:uid="{F57A31F3-6DA1-41B2-89A3-8107753F3E8F}">
      <text>
        <r>
          <rPr>
            <sz val="9"/>
            <color indexed="81"/>
            <rFont val="Tahoma"/>
            <family val="2"/>
          </rPr>
          <t xml:space="preserve">Contact information for this year's data. Example: initials, email, phone, date
</t>
        </r>
      </text>
    </comment>
    <comment ref="K2" authorId="1" shapeId="0" xr:uid="{17B80F4A-BA53-48AE-80D4-4EEE9ABFAAEE}">
      <text>
        <r>
          <rPr>
            <b/>
            <sz val="9"/>
            <color indexed="81"/>
            <rFont val="Tahoma"/>
            <family val="2"/>
          </rPr>
          <t xml:space="preserve">[hs 2022-12-12]
</t>
        </r>
        <r>
          <rPr>
            <sz val="9"/>
            <color indexed="81"/>
            <rFont val="Tahoma"/>
            <family val="2"/>
          </rPr>
          <t>This column contains AO's AUC totals, and are distributed to age based on Adult Age Composition tab. 2022-12-29</t>
        </r>
      </text>
    </comment>
    <comment ref="L2" authorId="0" shapeId="0" xr:uid="{3D7B4B6B-F30F-4641-A7F4-298BF6725F15}">
      <text>
        <r>
          <rPr>
            <sz val="9"/>
            <color indexed="81"/>
            <rFont val="Tahoma"/>
            <family val="2"/>
          </rPr>
          <t>Please note source of  age composition estimates (i.e., assumed annual percent at age, or based on annual biosampling)</t>
        </r>
      </text>
    </comment>
    <comment ref="AH2" authorId="0" shapeId="0" xr:uid="{D969A506-9FD6-4338-BE84-7DD6D301A739}">
      <text>
        <r>
          <rPr>
            <sz val="9"/>
            <color indexed="81"/>
            <rFont val="Tahoma"/>
            <family val="2"/>
          </rPr>
          <t xml:space="preserve">Replace </t>
        </r>
        <r>
          <rPr>
            <b/>
            <sz val="9"/>
            <color indexed="81"/>
            <rFont val="Tahoma"/>
            <family val="2"/>
          </rPr>
          <t>OTHER</t>
        </r>
        <r>
          <rPr>
            <sz val="9"/>
            <color indexed="81"/>
            <rFont val="Tahoma"/>
            <family val="2"/>
          </rPr>
          <t xml:space="preserve"> with additional age in </t>
        </r>
        <r>
          <rPr>
            <b/>
            <sz val="9"/>
            <color indexed="81"/>
            <rFont val="Tahoma"/>
            <family val="2"/>
          </rPr>
          <t>X.Y</t>
        </r>
        <r>
          <rPr>
            <sz val="9"/>
            <color indexed="81"/>
            <rFont val="Tahoma"/>
            <family val="2"/>
          </rPr>
          <t xml:space="preserve"> format</t>
        </r>
      </text>
    </comment>
    <comment ref="AN2" authorId="0" shapeId="0" xr:uid="{0F724D39-1019-4E9B-945C-5FD30569BD30}">
      <text>
        <r>
          <rPr>
            <b/>
            <sz val="9"/>
            <color indexed="81"/>
            <rFont val="Tahoma"/>
            <family val="2"/>
          </rPr>
          <t>Length Type</t>
        </r>
        <r>
          <rPr>
            <sz val="9"/>
            <color indexed="81"/>
            <rFont val="Tahoma"/>
            <family val="2"/>
          </rPr>
          <t xml:space="preserve"> 
Refers to length measurement method
  SL - Std Length
  TL - Total Length
  FL - Fork Length 
  PO - PO-Hypural</t>
        </r>
      </text>
    </comment>
    <comment ref="AO2" authorId="0" shapeId="0" xr:uid="{99852671-19A3-46E8-BFFA-7FDD29313590}">
      <text>
        <r>
          <rPr>
            <sz val="9"/>
            <color indexed="81"/>
            <rFont val="Tahoma"/>
            <family val="2"/>
          </rPr>
          <t>Please note biosampling methods, issues, or data changes.</t>
        </r>
      </text>
    </comment>
    <comment ref="AP2" authorId="0" shapeId="0" xr:uid="{AB7410A8-CD59-4D62-BD99-F81934C1E306}">
      <text>
        <r>
          <rPr>
            <b/>
            <sz val="9"/>
            <color indexed="81"/>
            <rFont val="Tahoma"/>
            <family val="2"/>
          </rPr>
          <t xml:space="preserve">Use either date format:
</t>
        </r>
        <r>
          <rPr>
            <sz val="9"/>
            <color indexed="81"/>
            <rFont val="Tahoma"/>
            <family val="2"/>
          </rPr>
          <t xml:space="preserve">(1) </t>
        </r>
        <r>
          <rPr>
            <b/>
            <sz val="9"/>
            <color indexed="81"/>
            <rFont val="Tahoma"/>
            <family val="2"/>
          </rPr>
          <t>d-mmm-yy</t>
        </r>
        <r>
          <rPr>
            <sz val="9"/>
            <color indexed="81"/>
            <rFont val="Tahoma"/>
            <family val="2"/>
          </rPr>
          <t xml:space="preserve"> (e.g. 11-Apr-21)
(2) </t>
        </r>
        <r>
          <rPr>
            <b/>
            <sz val="9"/>
            <color indexed="81"/>
            <rFont val="Tahoma"/>
            <family val="2"/>
          </rPr>
          <t>yy-mm-dd</t>
        </r>
        <r>
          <rPr>
            <sz val="9"/>
            <color indexed="81"/>
            <rFont val="Tahoma"/>
            <family val="2"/>
          </rPr>
          <t xml:space="preserve"> (e.g. 21-4-11)</t>
        </r>
      </text>
    </comment>
    <comment ref="AQ2" authorId="0" shapeId="0" xr:uid="{50E0B700-7A4E-451A-8F24-65F7F5D88219}">
      <text>
        <r>
          <rPr>
            <b/>
            <sz val="9"/>
            <color indexed="81"/>
            <rFont val="Tahoma"/>
            <family val="2"/>
          </rPr>
          <t xml:space="preserve">Use either date format:
</t>
        </r>
        <r>
          <rPr>
            <sz val="9"/>
            <color indexed="81"/>
            <rFont val="Tahoma"/>
            <family val="2"/>
          </rPr>
          <t xml:space="preserve">(1) </t>
        </r>
        <r>
          <rPr>
            <b/>
            <sz val="9"/>
            <color indexed="81"/>
            <rFont val="Tahoma"/>
            <family val="2"/>
          </rPr>
          <t>d-mmm-yy</t>
        </r>
        <r>
          <rPr>
            <sz val="9"/>
            <color indexed="81"/>
            <rFont val="Tahoma"/>
            <family val="2"/>
          </rPr>
          <t xml:space="preserve"> (e.g. 11-Apr-21)
(2) </t>
        </r>
        <r>
          <rPr>
            <b/>
            <sz val="9"/>
            <color indexed="81"/>
            <rFont val="Tahoma"/>
            <family val="2"/>
          </rPr>
          <t>yy-mm-dd</t>
        </r>
        <r>
          <rPr>
            <sz val="9"/>
            <color indexed="81"/>
            <rFont val="Tahoma"/>
            <family val="2"/>
          </rPr>
          <t xml:space="preserve"> (e.g. 21-4-11)</t>
        </r>
      </text>
    </comment>
    <comment ref="AR2" authorId="0" shapeId="0" xr:uid="{323CC42D-9523-4070-9B3C-0421969943B2}">
      <text>
        <r>
          <rPr>
            <b/>
            <sz val="9"/>
            <color indexed="81"/>
            <rFont val="Tahoma"/>
            <family val="2"/>
          </rPr>
          <t xml:space="preserve">Use either date format:
</t>
        </r>
        <r>
          <rPr>
            <sz val="9"/>
            <color indexed="81"/>
            <rFont val="Tahoma"/>
            <family val="2"/>
          </rPr>
          <t xml:space="preserve">(1) </t>
        </r>
        <r>
          <rPr>
            <b/>
            <sz val="9"/>
            <color indexed="81"/>
            <rFont val="Tahoma"/>
            <family val="2"/>
          </rPr>
          <t>d-mmm-yy</t>
        </r>
        <r>
          <rPr>
            <sz val="9"/>
            <color indexed="81"/>
            <rFont val="Tahoma"/>
            <family val="2"/>
          </rPr>
          <t xml:space="preserve"> (e.g. 11-Apr-21)
(2) </t>
        </r>
        <r>
          <rPr>
            <b/>
            <sz val="9"/>
            <color indexed="81"/>
            <rFont val="Tahoma"/>
            <family val="2"/>
          </rPr>
          <t>yy-mm-dd</t>
        </r>
        <r>
          <rPr>
            <sz val="9"/>
            <color indexed="81"/>
            <rFont val="Tahoma"/>
            <family val="2"/>
          </rPr>
          <t xml:space="preserve"> (e.g. 21-4-11)</t>
        </r>
      </text>
    </comment>
    <comment ref="AS2" authorId="0" shapeId="0" xr:uid="{2BE03222-3D6E-451D-BC65-C2217F4E4867}">
      <text>
        <r>
          <rPr>
            <b/>
            <sz val="9"/>
            <color indexed="81"/>
            <rFont val="Tahoma"/>
            <family val="2"/>
          </rPr>
          <t xml:space="preserve">Use either date format:
</t>
        </r>
        <r>
          <rPr>
            <sz val="9"/>
            <color indexed="81"/>
            <rFont val="Tahoma"/>
            <family val="2"/>
          </rPr>
          <t xml:space="preserve">(1) </t>
        </r>
        <r>
          <rPr>
            <b/>
            <sz val="9"/>
            <color indexed="81"/>
            <rFont val="Tahoma"/>
            <family val="2"/>
          </rPr>
          <t>d-mmm-yy</t>
        </r>
        <r>
          <rPr>
            <sz val="9"/>
            <color indexed="81"/>
            <rFont val="Tahoma"/>
            <family val="2"/>
          </rPr>
          <t xml:space="preserve"> (e.g. 11-Apr-21)
(2) </t>
        </r>
        <r>
          <rPr>
            <b/>
            <sz val="9"/>
            <color indexed="81"/>
            <rFont val="Tahoma"/>
            <family val="2"/>
          </rPr>
          <t>yy-mm-dd</t>
        </r>
        <r>
          <rPr>
            <sz val="9"/>
            <color indexed="81"/>
            <rFont val="Tahoma"/>
            <family val="2"/>
          </rPr>
          <t xml:space="preserve"> (e.g. 21-4-11)</t>
        </r>
      </text>
    </comment>
    <comment ref="AT2" authorId="0" shapeId="0" xr:uid="{11C7E903-A251-414F-94C2-4FDF5746AA54}">
      <text>
        <r>
          <rPr>
            <b/>
            <sz val="9"/>
            <color indexed="81"/>
            <rFont val="Tahoma"/>
            <family val="2"/>
          </rPr>
          <t xml:space="preserve">Use either date format:
</t>
        </r>
        <r>
          <rPr>
            <sz val="9"/>
            <color indexed="81"/>
            <rFont val="Tahoma"/>
            <family val="2"/>
          </rPr>
          <t xml:space="preserve">(1) </t>
        </r>
        <r>
          <rPr>
            <b/>
            <sz val="9"/>
            <color indexed="81"/>
            <rFont val="Tahoma"/>
            <family val="2"/>
          </rPr>
          <t>d-mmm-yy</t>
        </r>
        <r>
          <rPr>
            <sz val="9"/>
            <color indexed="81"/>
            <rFont val="Tahoma"/>
            <family val="2"/>
          </rPr>
          <t xml:space="preserve"> (e.g. 11-Apr-21)
(2) </t>
        </r>
        <r>
          <rPr>
            <b/>
            <sz val="9"/>
            <color indexed="81"/>
            <rFont val="Tahoma"/>
            <family val="2"/>
          </rPr>
          <t>yy-mm-dd</t>
        </r>
        <r>
          <rPr>
            <sz val="9"/>
            <color indexed="81"/>
            <rFont val="Tahoma"/>
            <family val="2"/>
          </rPr>
          <t xml:space="preserve"> (e.g. 21-4-11)</t>
        </r>
      </text>
    </comment>
    <comment ref="AU2" authorId="0" shapeId="0" xr:uid="{87A6BB05-96B7-40C6-A31F-42E35BDCBC2E}">
      <text>
        <r>
          <rPr>
            <sz val="9"/>
            <color indexed="81"/>
            <rFont val="Tahoma"/>
            <family val="2"/>
          </rPr>
          <t xml:space="preserve">Please note migration timing estimation methods, data issues, or data changes.
Do you have migration timing data by </t>
        </r>
        <r>
          <rPr>
            <b/>
            <sz val="9"/>
            <color indexed="81"/>
            <rFont val="Tahoma"/>
            <family val="2"/>
          </rPr>
          <t>Quartiles</t>
        </r>
        <r>
          <rPr>
            <sz val="9"/>
            <color indexed="81"/>
            <rFont val="Tahoma"/>
            <family val="2"/>
          </rPr>
          <t xml:space="preserve"> (i.e. 25th and 75th percentiles)? If so, unhide the columns on either side of </t>
        </r>
        <r>
          <rPr>
            <b/>
            <sz val="9"/>
            <color indexed="81"/>
            <rFont val="Tahoma"/>
            <family val="2"/>
          </rPr>
          <t>Median or Peak Date</t>
        </r>
        <r>
          <rPr>
            <sz val="9"/>
            <color indexed="81"/>
            <rFont val="Tahoma"/>
            <family val="2"/>
          </rPr>
          <t xml:space="preserve"> column. (You will have to unprotect the worksheet first - see READ ME - and don't forget to re-protect the worksheet to prevent errant data entry events.)</t>
        </r>
      </text>
    </comment>
    <comment ref="BF3" authorId="0" shapeId="0" xr:uid="{B105FF9D-239C-4572-B3C8-927C04624271}">
      <text>
        <r>
          <rPr>
            <sz val="9"/>
            <color indexed="81"/>
            <rFont val="Tahoma"/>
            <family val="2"/>
          </rPr>
          <t xml:space="preserve">Replace </t>
        </r>
        <r>
          <rPr>
            <b/>
            <sz val="9"/>
            <color indexed="81"/>
            <rFont val="Tahoma"/>
            <family val="2"/>
          </rPr>
          <t>0.0</t>
        </r>
        <r>
          <rPr>
            <sz val="9"/>
            <color indexed="81"/>
            <rFont val="Tahoma"/>
            <family val="2"/>
          </rPr>
          <t xml:space="preserve"> with additional age in </t>
        </r>
        <r>
          <rPr>
            <b/>
            <sz val="9"/>
            <color indexed="81"/>
            <rFont val="Tahoma"/>
            <family val="2"/>
          </rPr>
          <t>X.Y</t>
        </r>
        <r>
          <rPr>
            <sz val="9"/>
            <color indexed="81"/>
            <rFont val="Tahoma"/>
            <family val="2"/>
          </rPr>
          <t xml:space="preserve"> format</t>
        </r>
      </text>
    </comment>
    <comment ref="J27" authorId="2" shapeId="0" xr:uid="{BB0CFFD3-97E4-40CA-A98C-3530271CFAF6}">
      <text>
        <r>
          <rPr>
            <sz val="9"/>
            <color indexed="81"/>
            <rFont val="Tahoma"/>
            <family val="2"/>
          </rPr>
          <t>This year had 3,684 3.x fish, according to J Fryer:
2,605 x 3.1s
1,042 x 3.2s
37      x  3.3s
and
1,786  x 4.1s (not included in this column)</t>
        </r>
      </text>
    </comment>
    <comment ref="K44" authorId="3" shapeId="0" xr:uid="{AAFF06EF-A87D-4CA8-9A30-9A27E98AB2B5}">
      <text>
        <r>
          <rPr>
            <b/>
            <sz val="9"/>
            <color indexed="81"/>
            <rFont val="Tahoma"/>
            <family val="2"/>
          </rPr>
          <t>AO:</t>
        </r>
        <r>
          <rPr>
            <sz val="9"/>
            <color indexed="81"/>
            <rFont val="Tahoma"/>
            <family val="2"/>
          </rPr>
          <t xml:space="preserve">
Dawn and I found this AUC value in Marc 2022</t>
        </r>
      </text>
    </comment>
    <comment ref="K45" authorId="3" shapeId="0" xr:uid="{61B4F08F-7D78-4048-A307-12B4BE7D314B}">
      <text>
        <r>
          <rPr>
            <b/>
            <sz val="9"/>
            <color indexed="81"/>
            <rFont val="Tahoma"/>
            <family val="2"/>
          </rPr>
          <t>AO:</t>
        </r>
        <r>
          <rPr>
            <sz val="9"/>
            <color indexed="81"/>
            <rFont val="Tahoma"/>
            <family val="2"/>
          </rPr>
          <t xml:space="preserve">
From ONA AUC calc. Need to check</t>
        </r>
      </text>
    </comment>
  </commentList>
</comments>
</file>

<file path=xl/comments27.xml><?xml version="1.0" encoding="utf-8"?>
<comments xmlns="http://schemas.openxmlformats.org/spreadsheetml/2006/main" xmlns:mc="http://schemas.openxmlformats.org/markup-compatibility/2006" xmlns:xr="http://schemas.microsoft.com/office/spreadsheetml/2014/revision" mc:Ignorable="xr">
  <authors>
    <author xml:space="preserve">[hs] </author>
  </authors>
  <commentList>
    <comment ref="C1" authorId="0" shapeId="0" xr:uid="{77179DC6-5C13-4DD5-9D93-47C8FBF5875F}">
      <text>
        <r>
          <rPr>
            <b/>
            <sz val="9"/>
            <color indexed="81"/>
            <rFont val="Tahoma"/>
            <family val="2"/>
          </rPr>
          <t>[hs] : from Scott Akenhead 2023-08-24</t>
        </r>
        <r>
          <rPr>
            <sz val="9"/>
            <color indexed="81"/>
            <rFont val="Tahoma"/>
            <family val="2"/>
          </rPr>
          <t xml:space="preserve">
</t>
        </r>
        <r>
          <rPr>
            <b/>
            <sz val="9"/>
            <color indexed="81"/>
            <rFont val="Tahoma"/>
            <family val="2"/>
          </rPr>
          <t>OSO Sox PC spawner index:</t>
        </r>
        <r>
          <rPr>
            <sz val="9"/>
            <color indexed="81"/>
            <rFont val="Tahoma"/>
            <family val="2"/>
          </rPr>
          <t xml:space="preserve"> PLD and AUC, merged as principal components. PC-1 scaled to same mean and stdev as AUC</t>
        </r>
      </text>
    </comment>
  </commentList>
</comments>
</file>

<file path=xl/comments28.xml><?xml version="1.0" encoding="utf-8"?>
<comments xmlns="http://schemas.openxmlformats.org/spreadsheetml/2006/main" xmlns:mc="http://schemas.openxmlformats.org/markup-compatibility/2006" xmlns:xr="http://schemas.microsoft.com/office/spreadsheetml/2014/revision" mc:Ignorable="xr">
  <authors>
    <author>Howard Stiff (DFO)</author>
  </authors>
  <commentList>
    <comment ref="O4" authorId="0" shapeId="0" xr:uid="{2E5E2159-DE8C-4455-AA70-9B9D694D1C14}">
      <text>
        <r>
          <rPr>
            <sz val="9"/>
            <color indexed="81"/>
            <rFont val="Tahoma"/>
            <family val="2"/>
          </rPr>
          <t>from Sockeye Returns Data tab, column W</t>
        </r>
      </text>
    </comment>
  </commentList>
</comments>
</file>

<file path=xl/comments29.xml><?xml version="1.0" encoding="utf-8"?>
<comments xmlns="http://schemas.openxmlformats.org/spreadsheetml/2006/main" xmlns:mc="http://schemas.openxmlformats.org/markup-compatibility/2006" xmlns:xr="http://schemas.microsoft.com/office/spreadsheetml/2014/revision" mc:Ignorable="xr">
  <authors>
    <author>Howard Stiff (DFO)</author>
  </authors>
  <commentList>
    <comment ref="A1" authorId="0" shapeId="0" xr:uid="{B7FC9005-D8D4-494C-AD59-7888F71EC6FD}">
      <text>
        <r>
          <rPr>
            <sz val="9"/>
            <color indexed="81"/>
            <rFont val="Tahoma"/>
            <family val="2"/>
          </rPr>
          <t>A good way to check that these numbers are correct is to replace Smolt Year with Return Year in the PivotTable Analysis window, and confirm that the values in the Total column match up with the Total in "Annual Ok Sox Returns by RY" tab</t>
        </r>
      </text>
    </comment>
  </commentList>
</comments>
</file>

<file path=xl/comments30.xml><?xml version="1.0" encoding="utf-8"?>
<comments xmlns="http://schemas.openxmlformats.org/spreadsheetml/2006/main" xmlns:mc="http://schemas.openxmlformats.org/markup-compatibility/2006" xmlns:xr="http://schemas.microsoft.com/office/spreadsheetml/2014/revision" mc:Ignorable="xr">
  <authors>
    <author xml:space="preserve">[hs] </author>
  </authors>
  <commentList>
    <comment ref="A1" authorId="0" shapeId="0" xr:uid="{D907B276-BD41-43E9-8E83-0580CD4D4410}">
      <text>
        <r>
          <rPr>
            <b/>
            <sz val="9"/>
            <color indexed="81"/>
            <rFont val="Tahoma"/>
            <family val="2"/>
          </rPr>
          <t>[hs] :</t>
        </r>
        <r>
          <rPr>
            <sz val="9"/>
            <color indexed="81"/>
            <rFont val="Tahoma"/>
            <family val="2"/>
          </rPr>
          <t xml:space="preserve">
Year title corrected from Brood to Return Year</t>
        </r>
      </text>
    </comment>
    <comment ref="B12" authorId="0" shapeId="0" xr:uid="{0C039B24-89E9-4F8C-91DB-EF39112B6002}">
      <text>
        <r>
          <rPr>
            <b/>
            <sz val="9"/>
            <color indexed="81"/>
            <rFont val="Tahoma"/>
            <family val="2"/>
          </rPr>
          <t>[hs] :</t>
        </r>
        <r>
          <rPr>
            <sz val="9"/>
            <color indexed="81"/>
            <rFont val="Tahoma"/>
            <family val="2"/>
          </rPr>
          <t xml:space="preserve">
anecdotally?</t>
        </r>
      </text>
    </comment>
    <comment ref="L16" authorId="0" shapeId="0" xr:uid="{46E1DCC4-75F8-4FB7-B06C-FBB238C1F05B}">
      <text>
        <r>
          <rPr>
            <b/>
            <sz val="9"/>
            <color indexed="81"/>
            <rFont val="Tahoma"/>
            <family val="2"/>
          </rPr>
          <t>[hs] :</t>
        </r>
        <r>
          <rPr>
            <sz val="9"/>
            <color indexed="81"/>
            <rFont val="Tahoma"/>
            <family val="2"/>
          </rPr>
          <t xml:space="preserve">
H-O Proportion in lower Okanagan River dead-pitch. Source: Colin Bailey</t>
        </r>
      </text>
    </comment>
    <comment ref="N16" authorId="0" shapeId="0" xr:uid="{E081D0B9-5AFA-4508-8199-D469ADB60AB9}">
      <text>
        <r>
          <rPr>
            <b/>
            <sz val="9"/>
            <color indexed="81"/>
            <rFont val="Tahoma"/>
            <family val="2"/>
          </rPr>
          <t>[hs] :</t>
        </r>
        <r>
          <rPr>
            <sz val="9"/>
            <color indexed="81"/>
            <rFont val="Tahoma"/>
            <family val="2"/>
          </rPr>
          <t xml:space="preserve">
AUCriver - Total NERKIDS from AUC ESC DATA tab 2023-01-06
</t>
        </r>
        <r>
          <rPr>
            <b/>
            <sz val="9"/>
            <color indexed="81"/>
            <rFont val="Tahoma"/>
            <family val="2"/>
          </rPr>
          <t>Confirmed by Braden J 2023-02-08 (see Tables_and_Figures.Feb8.2023.docx Table 1</t>
        </r>
      </text>
    </comment>
    <comment ref="S16" authorId="0" shapeId="0" xr:uid="{F92B777F-A409-4779-8CFD-B2D21D04DE92}">
      <text>
        <r>
          <rPr>
            <b/>
            <sz val="9"/>
            <color indexed="81"/>
            <rFont val="Tahoma"/>
            <family val="2"/>
          </rPr>
          <t>From: Braden J 2023-02-01</t>
        </r>
        <r>
          <rPr>
            <sz val="9"/>
            <color indexed="81"/>
            <rFont val="Tahoma"/>
            <family val="2"/>
          </rPr>
          <t xml:space="preserve">
An important caveat here is that these AUC estimates are for all nerkids. I’m really unsure as to what proportion of these fish are Kokanee, or if that’s even a non-negligible amount in this system. 
Using the dead pitch data that I have (only has sizes for 2019 and 2020), it suggests 1-2% of fish are under 35cm FL… Tough to say if these are jacks or Kokanee, and using this ratio for previous years seems dicey given the relatively low spawner abundances. 
</t>
        </r>
      </text>
    </comment>
    <comment ref="A20" authorId="0" shapeId="0" xr:uid="{57440C8B-2ABA-419C-AEA0-B7864FA1AA6B}">
      <text>
        <r>
          <rPr>
            <b/>
            <sz val="9"/>
            <color indexed="81"/>
            <rFont val="Tahoma"/>
            <family val="2"/>
          </rPr>
          <t>[hs] :</t>
        </r>
        <r>
          <rPr>
            <sz val="9"/>
            <color indexed="81"/>
            <rFont val="Tahoma"/>
            <family val="2"/>
          </rPr>
          <t xml:space="preserve">
from AO file 
SKAHA koksox sprs to 2021.xlsx
[2023-01-19]</t>
        </r>
      </text>
    </comment>
    <comment ref="B28" authorId="0" shapeId="0" xr:uid="{AEE9B83A-1723-4ACC-B8A7-8A6F99064077}">
      <text>
        <r>
          <rPr>
            <b/>
            <sz val="9"/>
            <color indexed="81"/>
            <rFont val="Tahoma"/>
            <family val="2"/>
          </rPr>
          <t>[hs] :</t>
        </r>
        <r>
          <rPr>
            <sz val="9"/>
            <color indexed="81"/>
            <rFont val="Tahoma"/>
            <family val="2"/>
          </rPr>
          <t xml:space="preserve">
see "Spawning Nerkids" in table below</t>
        </r>
      </text>
    </comment>
    <comment ref="M28" authorId="0" shapeId="0" xr:uid="{09384D43-9856-4C4E-B2C4-59BCF21F759D}">
      <text>
        <r>
          <rPr>
            <b/>
            <sz val="9"/>
            <color indexed="81"/>
            <rFont val="Tahoma"/>
            <family val="2"/>
          </rPr>
          <t>[hs] :</t>
        </r>
        <r>
          <rPr>
            <sz val="9"/>
            <color indexed="81"/>
            <rFont val="Tahoma"/>
            <family val="2"/>
          </rPr>
          <t xml:space="preserve">
unlikely to be &gt;Avg since low Skaha releases from BY2015 (&lt;370K in Skaha+Okanagan)</t>
        </r>
      </text>
    </comment>
    <comment ref="B29" authorId="0" shapeId="0" xr:uid="{FC85712C-D8AE-40A6-8B14-E214AB581349}">
      <text>
        <r>
          <rPr>
            <b/>
            <sz val="9"/>
            <color indexed="81"/>
            <rFont val="Tahoma"/>
            <family val="2"/>
          </rPr>
          <t>[hs] :</t>
        </r>
        <r>
          <rPr>
            <sz val="9"/>
            <color indexed="81"/>
            <rFont val="Tahoma"/>
            <family val="2"/>
          </rPr>
          <t xml:space="preserve">
see "Spawning Nerkids" in table below</t>
        </r>
      </text>
    </comment>
    <comment ref="B30" authorId="0" shapeId="0" xr:uid="{FDE10484-25BF-4EB6-98CD-050903347298}">
      <text>
        <r>
          <rPr>
            <b/>
            <sz val="9"/>
            <color indexed="81"/>
            <rFont val="Tahoma"/>
            <family val="2"/>
          </rPr>
          <t>[hs] :</t>
        </r>
        <r>
          <rPr>
            <sz val="9"/>
            <color indexed="81"/>
            <rFont val="Tahoma"/>
            <family val="2"/>
          </rPr>
          <t xml:space="preserve">
see "Spawning Nerkids" in table below</t>
        </r>
      </text>
    </comment>
    <comment ref="B31" authorId="0" shapeId="0" xr:uid="{4A716B1C-7966-44D3-A677-768A14169680}">
      <text>
        <r>
          <rPr>
            <b/>
            <sz val="9"/>
            <color indexed="81"/>
            <rFont val="Tahoma"/>
            <family val="2"/>
          </rPr>
          <t>[hs] :</t>
        </r>
        <r>
          <rPr>
            <sz val="9"/>
            <color indexed="81"/>
            <rFont val="Tahoma"/>
            <family val="2"/>
          </rPr>
          <t xml:space="preserve">
see "Spawning Nerkids" in table below</t>
        </r>
      </text>
    </comment>
    <comment ref="B32" authorId="0" shapeId="0" xr:uid="{154C3B2B-81E2-48B3-8AD3-BB54C588A015}">
      <text>
        <r>
          <rPr>
            <b/>
            <sz val="9"/>
            <color indexed="81"/>
            <rFont val="Tahoma"/>
            <family val="2"/>
          </rPr>
          <t>[hs] :</t>
        </r>
        <r>
          <rPr>
            <sz val="9"/>
            <color indexed="81"/>
            <rFont val="Tahoma"/>
            <family val="2"/>
          </rPr>
          <t xml:space="preserve">
see "Spawning Nerkids" in table below</t>
        </r>
      </text>
    </comment>
    <comment ref="J32" authorId="0" shapeId="0" xr:uid="{04BEF19C-2B0F-4DA3-AF41-3458FBC8451A}">
      <text>
        <r>
          <rPr>
            <b/>
            <sz val="9"/>
            <color indexed="81"/>
            <rFont val="Tahoma"/>
            <family val="2"/>
          </rPr>
          <t>[hs] :</t>
        </r>
        <r>
          <rPr>
            <sz val="9"/>
            <color indexed="81"/>
            <rFont val="Tahoma"/>
            <family val="2"/>
          </rPr>
          <t xml:space="preserve">
Overall mean for years with actual data: 2011, 2012, 2013, 2015, 2018, 2020 (ignoring 2008-2010 because Skaha-bound fish could not get past McIntyre, so not representative)</t>
        </r>
      </text>
    </comment>
    <comment ref="B33" authorId="0" shapeId="0" xr:uid="{FE5B5B5F-C94C-4B15-BA24-6A2841F2550B}">
      <text>
        <r>
          <rPr>
            <b/>
            <sz val="9"/>
            <color indexed="81"/>
            <rFont val="Tahoma"/>
            <family val="2"/>
          </rPr>
          <t>[hs] :</t>
        </r>
        <r>
          <rPr>
            <sz val="9"/>
            <color indexed="81"/>
            <rFont val="Tahoma"/>
            <family val="2"/>
          </rPr>
          <t xml:space="preserve">
see "Spawning Nerkids" in table below</t>
        </r>
      </text>
    </comment>
    <comment ref="B34" authorId="0" shapeId="0" xr:uid="{F46CCF4B-8D5D-49E5-B66F-28698E15F6CB}">
      <text>
        <r>
          <rPr>
            <b/>
            <sz val="9"/>
            <color indexed="81"/>
            <rFont val="Tahoma"/>
            <family val="2"/>
          </rPr>
          <t>[hs] :</t>
        </r>
        <r>
          <rPr>
            <sz val="9"/>
            <color indexed="81"/>
            <rFont val="Tahoma"/>
            <family val="2"/>
          </rPr>
          <t xml:space="preserve">
see "Spawning Nerkids" in table below</t>
        </r>
      </text>
    </comment>
    <comment ref="B35" authorId="0" shapeId="0" xr:uid="{D46A95E6-DDA7-4CD3-95CE-C43D4DA2068E}">
      <text>
        <r>
          <rPr>
            <b/>
            <sz val="9"/>
            <color indexed="81"/>
            <rFont val="Tahoma"/>
            <family val="2"/>
          </rPr>
          <t>[hs] :</t>
        </r>
        <r>
          <rPr>
            <sz val="9"/>
            <color indexed="81"/>
            <rFont val="Tahoma"/>
            <family val="2"/>
          </rPr>
          <t xml:space="preserve">
see "Spawning Nerkids" in table below</t>
        </r>
      </text>
    </comment>
    <comment ref="B36" authorId="0" shapeId="0" xr:uid="{EABB14F2-77F9-4CB4-9CE0-44C1BD187C58}">
      <text>
        <r>
          <rPr>
            <b/>
            <sz val="9"/>
            <color indexed="81"/>
            <rFont val="Tahoma"/>
            <family val="2"/>
          </rPr>
          <t>[hs] :</t>
        </r>
        <r>
          <rPr>
            <sz val="9"/>
            <color indexed="81"/>
            <rFont val="Tahoma"/>
            <family val="2"/>
          </rPr>
          <t xml:space="preserve">
see "Spawning Nerkids" in table below</t>
        </r>
      </text>
    </comment>
    <comment ref="B37" authorId="0" shapeId="0" xr:uid="{4F1D799E-874E-459D-9A4B-CDC14C842149}">
      <text>
        <r>
          <rPr>
            <b/>
            <sz val="9"/>
            <color indexed="81"/>
            <rFont val="Tahoma"/>
            <family val="2"/>
          </rPr>
          <t>[hs] :</t>
        </r>
        <r>
          <rPr>
            <sz val="9"/>
            <color indexed="81"/>
            <rFont val="Tahoma"/>
            <family val="2"/>
          </rPr>
          <t xml:space="preserve">
see "Spawning Nerkids" in table below</t>
        </r>
      </text>
    </comment>
    <comment ref="B38" authorId="0" shapeId="0" xr:uid="{CE652D4D-0D5E-40F8-B7B3-618F66C1F975}">
      <text>
        <r>
          <rPr>
            <b/>
            <sz val="9"/>
            <color indexed="81"/>
            <rFont val="Tahoma"/>
            <family val="2"/>
          </rPr>
          <t>[hs] :</t>
        </r>
        <r>
          <rPr>
            <sz val="9"/>
            <color indexed="81"/>
            <rFont val="Tahoma"/>
            <family val="2"/>
          </rPr>
          <t xml:space="preserve">
see "Spawning Nerkids" in table below</t>
        </r>
      </text>
    </comment>
    <comment ref="X44" authorId="0" shapeId="0" xr:uid="{F338B011-A1C6-458F-A173-644C925DAFFD}">
      <text>
        <r>
          <rPr>
            <b/>
            <sz val="9"/>
            <color indexed="81"/>
            <rFont val="Tahoma"/>
            <family val="2"/>
          </rPr>
          <t>[hs] :</t>
        </r>
        <r>
          <rPr>
            <sz val="9"/>
            <color indexed="81"/>
            <rFont val="Tahoma"/>
            <family val="2"/>
          </rPr>
          <t xml:space="preserve">
no stock composition data for 2019.  applying recent m-y avg (2014-2022) of 2% H-O
[2023-02-08]</t>
        </r>
      </text>
    </comment>
    <comment ref="F58" authorId="0" shapeId="0" xr:uid="{EFB65371-CF80-4032-90B9-D1C639F582C3}">
      <text>
        <r>
          <rPr>
            <b/>
            <sz val="9"/>
            <color indexed="81"/>
            <rFont val="Tahoma"/>
            <family val="2"/>
          </rPr>
          <t>[hs] :</t>
        </r>
        <r>
          <rPr>
            <sz val="9"/>
            <color indexed="81"/>
            <rFont val="Tahoma"/>
            <family val="2"/>
          </rPr>
          <t xml:space="preserve">
Braden Judson
Table 1 Spawning Data Report
[2023-02-04]</t>
        </r>
      </text>
    </comment>
    <comment ref="E62" authorId="0" shapeId="0" xr:uid="{E93A71C8-B01C-4745-923F-B2E1B1B8BE35}">
      <text>
        <r>
          <rPr>
            <b/>
            <sz val="9"/>
            <color indexed="81"/>
            <rFont val="Tahoma"/>
            <family val="2"/>
          </rPr>
          <t>[hs] :</t>
        </r>
        <r>
          <rPr>
            <sz val="9"/>
            <color indexed="81"/>
            <rFont val="Tahoma"/>
            <family val="2"/>
          </rPr>
          <t xml:space="preserve">
guesstimate 2023-02-04</t>
        </r>
      </text>
    </comment>
  </commentList>
</comments>
</file>

<file path=xl/comments31.xml><?xml version="1.0" encoding="utf-8"?>
<comments xmlns="http://schemas.openxmlformats.org/spreadsheetml/2006/main" xmlns:mc="http://schemas.openxmlformats.org/markup-compatibility/2006" xmlns:xr="http://schemas.microsoft.com/office/spreadsheetml/2014/revision" mc:Ignorable="xr">
  <authors>
    <author>Howard Stiff (DFO)</author>
  </authors>
  <commentList>
    <comment ref="C1" authorId="0" shapeId="0" xr:uid="{FF0F1926-CE35-4F2A-89FB-9E528F293361}">
      <text>
        <r>
          <rPr>
            <b/>
            <sz val="9"/>
            <color indexed="81"/>
            <rFont val="Tahoma"/>
            <family val="2"/>
          </rPr>
          <t xml:space="preserve">From:  FPC Smolt Monitoring Program (SMP) Meta-data </t>
        </r>
        <r>
          <rPr>
            <sz val="9"/>
            <color indexed="81"/>
            <rFont val="Tahoma"/>
            <family val="2"/>
          </rPr>
          <t xml:space="preserve">https://www.fpc.org/documents/metadata/FPC_SMP_Metadata.html [2022-11-08]
</t>
        </r>
        <r>
          <rPr>
            <b/>
            <sz val="9"/>
            <color indexed="81"/>
            <rFont val="Tahoma"/>
            <family val="2"/>
          </rPr>
          <t>Sampling took place Every other day sampling at McNary:</t>
        </r>
        <r>
          <rPr>
            <sz val="9"/>
            <color indexed="81"/>
            <rFont val="Tahoma"/>
            <family val="2"/>
          </rPr>
          <t xml:space="preserve">
2003 - 4/3-6/27
2004 - 4/3-6/23
2005 - 4/3-6/23
2006 - 4/3-7/6
2007 - 4/3 – 8/17
2008 - 4/3 – 7/16
2009 - 4/9 – 7/16
2010 - 4/7 – 7/16
2011 - 4/13 – 7/20
2012 - 4/11 – 8/17
2013 - 4/11 – 9/30
2014 - 4/7 - 9/30</t>
        </r>
      </text>
    </comment>
    <comment ref="B2" authorId="0" shapeId="0" xr:uid="{A67E900A-036F-4330-9674-1256A2822BE0}">
      <text>
        <r>
          <rPr>
            <b/>
            <sz val="9"/>
            <color indexed="81"/>
            <rFont val="Tahoma"/>
            <family val="2"/>
          </rPr>
          <t xml:space="preserve">MMS ATS Equivalents, based on relationship between presmolt abundance as a function of McNary total Sockeye smolt counts… </t>
        </r>
      </text>
    </comment>
    <comment ref="B3" authorId="0" shapeId="0" xr:uid="{0A7DA482-051D-4A18-B561-A930F9E8BFA2}">
      <text>
        <r>
          <rPr>
            <b/>
            <sz val="9"/>
            <color indexed="81"/>
            <rFont val="Tahoma"/>
            <family val="2"/>
          </rPr>
          <t xml:space="preserve">MMS ATS Equivalents, based on relationship between presmolt abundance as a function of McNary total Sockeye smolt counts… </t>
        </r>
      </text>
    </comment>
    <comment ref="B4" authorId="0" shapeId="0" xr:uid="{13AD1B2A-5AE5-4E56-889E-FAD2A92893B8}">
      <text>
        <r>
          <rPr>
            <b/>
            <sz val="9"/>
            <color indexed="81"/>
            <rFont val="Tahoma"/>
            <family val="2"/>
          </rPr>
          <t xml:space="preserve">MMS ATS Equivalents, based on relationship between presmolt abundance as a function of McNary total Sockeye smolt counts… </t>
        </r>
      </text>
    </comment>
    <comment ref="B5" authorId="0" shapeId="0" xr:uid="{D92418DF-07EA-483A-88F4-06FEE317DFB5}">
      <text>
        <r>
          <rPr>
            <b/>
            <sz val="9"/>
            <color indexed="81"/>
            <rFont val="Tahoma"/>
            <family val="2"/>
          </rPr>
          <t xml:space="preserve">MMS ATS Equivalents, based on relationship between presmolt abundance as a function of McNary total Sockeye smolt counts… </t>
        </r>
      </text>
    </comment>
    <comment ref="B6" authorId="0" shapeId="0" xr:uid="{A51A9393-AE88-49AA-A4C2-94A6880F1D04}">
      <text>
        <r>
          <rPr>
            <b/>
            <sz val="9"/>
            <color indexed="81"/>
            <rFont val="Tahoma"/>
            <family val="2"/>
          </rPr>
          <t xml:space="preserve">MMS ATS Equivalents, based on relationship between presmolt abundance as a function of McNary total Sockeye smolt counts… </t>
        </r>
      </text>
    </comment>
    <comment ref="B7" authorId="0" shapeId="0" xr:uid="{B42EA41C-59B7-4D64-B1B3-7D38AF1FA6E8}">
      <text>
        <r>
          <rPr>
            <b/>
            <sz val="9"/>
            <color indexed="81"/>
            <rFont val="Tahoma"/>
            <family val="2"/>
          </rPr>
          <t xml:space="preserve">MMS ATS Equivalents, based on relationship between presmolt abundance as a function of McNary total Sockeye smolt counts… </t>
        </r>
      </text>
    </comment>
    <comment ref="B8" authorId="0" shapeId="0" xr:uid="{883F562F-5665-4AFB-A54A-533DEE13D93D}">
      <text>
        <r>
          <rPr>
            <b/>
            <sz val="9"/>
            <color indexed="81"/>
            <rFont val="Tahoma"/>
            <family val="2"/>
          </rPr>
          <t xml:space="preserve">MMS ATS Equivalents, based on relationship between presmolt abundance as a function of McNary total Sockeye smolt counts… </t>
        </r>
      </text>
    </comment>
    <comment ref="B9" authorId="0" shapeId="0" xr:uid="{DD00963E-4256-484E-95E7-7C2DB81419A0}">
      <text>
        <r>
          <rPr>
            <b/>
            <sz val="9"/>
            <color indexed="81"/>
            <rFont val="Tahoma"/>
            <family val="2"/>
          </rPr>
          <t xml:space="preserve">MMS ATS Equivalents, based on relationship between presmolt abundance as a function of McNary total Sockeye smolt counts… </t>
        </r>
      </text>
    </comment>
    <comment ref="B10" authorId="0" shapeId="0" xr:uid="{941DDB05-C9FC-437E-9D2F-474BE82456A9}">
      <text>
        <r>
          <rPr>
            <b/>
            <sz val="9"/>
            <color indexed="81"/>
            <rFont val="Tahoma"/>
            <family val="2"/>
          </rPr>
          <t xml:space="preserve">MMS ATS Equivalents, based on relationship between presmolt abundance as a function of McNary total Sockeye smolt counts… </t>
        </r>
      </text>
    </comment>
    <comment ref="B11" authorId="0" shapeId="0" xr:uid="{475A5981-2D01-4FFE-A110-F1CA71793E9D}">
      <text>
        <r>
          <rPr>
            <b/>
            <sz val="9"/>
            <color indexed="81"/>
            <rFont val="Tahoma"/>
            <family val="2"/>
          </rPr>
          <t xml:space="preserve">MMS ATS Equivalents, based on relationship between presmolt abundance as a function of McNary total Sockeye smolt counts… </t>
        </r>
      </text>
    </comment>
    <comment ref="B12" authorId="0" shapeId="0" xr:uid="{B752FDB8-D105-4C90-9074-CDEE3615CC62}">
      <text>
        <r>
          <rPr>
            <b/>
            <sz val="9"/>
            <color indexed="81"/>
            <rFont val="Tahoma"/>
            <family val="2"/>
          </rPr>
          <t xml:space="preserve">MMS ATS Equivalents, based on relationship between presmolt abundance as a function of McNary total Sockeye smolt counts… </t>
        </r>
      </text>
    </comment>
    <comment ref="B13" authorId="0" shapeId="0" xr:uid="{7A822104-1871-4196-8E48-9D9759610404}">
      <text>
        <r>
          <rPr>
            <b/>
            <sz val="9"/>
            <color indexed="81"/>
            <rFont val="Tahoma"/>
            <family val="2"/>
          </rPr>
          <t xml:space="preserve">MMS ATS Equivalents, based on relationship between presmolt abundance as a function of McNary total Sockeye smolt counts… </t>
        </r>
      </text>
    </comment>
    <comment ref="B14" authorId="0" shapeId="0" xr:uid="{12C44F74-F52C-4F28-93B1-8EF156AEC3D2}">
      <text>
        <r>
          <rPr>
            <b/>
            <sz val="9"/>
            <color indexed="81"/>
            <rFont val="Tahoma"/>
            <family val="2"/>
          </rPr>
          <t xml:space="preserve">MMS ATS Equivalents, based on relationship between presmolt abundance as a function of McNary total Sockeye smolt counts… </t>
        </r>
      </text>
    </comment>
  </commentList>
</comments>
</file>

<file path=xl/comments32.xml><?xml version="1.0" encoding="utf-8"?>
<comments xmlns="http://schemas.openxmlformats.org/spreadsheetml/2006/main" xmlns:mc="http://schemas.openxmlformats.org/markup-compatibility/2006" xmlns:xr="http://schemas.microsoft.com/office/spreadsheetml/2014/revision" mc:Ignorable="xr">
  <authors>
    <author>Howard Stiff</author>
  </authors>
  <commentList>
    <comment ref="A1" authorId="0" shapeId="0" xr:uid="{193326B4-07EB-4F6E-85A3-1172C81D0977}">
      <text>
        <r>
          <rPr>
            <b/>
            <sz val="9"/>
            <color indexed="81"/>
            <rFont val="Tahoma"/>
            <family val="2"/>
          </rPr>
          <t>Williams et al. 2014. Table 4</t>
        </r>
        <r>
          <rPr>
            <sz val="9"/>
            <color indexed="81"/>
            <rFont val="Tahoma"/>
            <family val="2"/>
          </rPr>
          <t xml:space="preserve">
</t>
        </r>
      </text>
    </comment>
    <comment ref="B1" authorId="0" shapeId="0" xr:uid="{3F50156A-B9BF-42A9-9EF1-FFD50821F20A}">
      <text>
        <r>
          <rPr>
            <b/>
            <sz val="9"/>
            <color indexed="81"/>
            <rFont val="Tahoma"/>
            <family val="2"/>
          </rPr>
          <t>Thousands</t>
        </r>
      </text>
    </comment>
    <comment ref="C1" authorId="0" shapeId="0" xr:uid="{8B46D653-B5D8-43F8-BF9E-BDC94AAFEA73}">
      <text>
        <r>
          <rPr>
            <b/>
            <sz val="9"/>
            <color indexed="81"/>
            <rFont val="Tahoma"/>
            <family val="2"/>
          </rPr>
          <t xml:space="preserve">Thousands
</t>
        </r>
      </text>
    </comment>
  </commentList>
</comments>
</file>

<file path=xl/sharedStrings.xml><?xml version="1.0" encoding="utf-8"?>
<sst xmlns="http://schemas.openxmlformats.org/spreadsheetml/2006/main" count="4167" uniqueCount="1352">
  <si>
    <t>Syear</t>
  </si>
  <si>
    <t>Presmolts</t>
  </si>
  <si>
    <t>Adults_Orig</t>
  </si>
  <si>
    <t>SAR_Orig</t>
  </si>
  <si>
    <t>Adults_New</t>
  </si>
  <si>
    <t>SAR_New</t>
  </si>
  <si>
    <t>NOTE: this worksheet compares final OSO SAR estimates when the BON-16-hr Dam Counts for RY1995, 1999, and 2007 are adjusted upward by 12% (long-term average BON-to-RIS natural mortality), since the published data (JSR 2019, Table 15) for BON Dam counts appears erroneous, yielding negative natural mortality rates between BON and RIS.   Upshot is a minor increase (&lt;1%), usually in the 1st or 2nd decimal place, in marine survival (SAR) estimates for the associated Smolt Years (depending on the age composition).</t>
  </si>
  <si>
    <t>Updated: 2023-04-17</t>
  </si>
  <si>
    <r>
      <t xml:space="preserve">Please fill in the </t>
    </r>
    <r>
      <rPr>
        <b/>
        <sz val="12"/>
        <color rgb="FFFF0000"/>
        <rFont val="Calibri"/>
        <family val="2"/>
        <scheme val="minor"/>
      </rPr>
      <t>age-structured</t>
    </r>
    <r>
      <rPr>
        <sz val="12"/>
        <color rgb="FFFF0000"/>
        <rFont val="Calibri"/>
        <family val="2"/>
        <scheme val="minor"/>
      </rPr>
      <t xml:space="preserve"> </t>
    </r>
    <r>
      <rPr>
        <b/>
        <sz val="12"/>
        <color theme="4" tint="-0.249977111117893"/>
        <rFont val="Calibri"/>
        <family val="2"/>
        <scheme val="minor"/>
      </rPr>
      <t>JUVENILE</t>
    </r>
    <r>
      <rPr>
        <b/>
        <sz val="12"/>
        <color rgb="FFFF0000"/>
        <rFont val="Calibri"/>
        <family val="2"/>
        <scheme val="minor"/>
      </rPr>
      <t xml:space="preserve"> and </t>
    </r>
    <r>
      <rPr>
        <b/>
        <sz val="12"/>
        <color rgb="FFC00000"/>
        <rFont val="Calibri"/>
        <family val="2"/>
        <scheme val="minor"/>
      </rPr>
      <t>ADULT</t>
    </r>
    <r>
      <rPr>
        <sz val="12"/>
        <color rgb="FFFF0000"/>
        <rFont val="Calibri"/>
        <family val="2"/>
        <scheme val="minor"/>
      </rPr>
      <t xml:space="preserve"> worksheets if time and data permit, or use the simpler </t>
    </r>
    <r>
      <rPr>
        <b/>
        <sz val="12"/>
        <color rgb="FFFF0000"/>
        <rFont val="Calibri"/>
        <family val="2"/>
        <scheme val="minor"/>
      </rPr>
      <t xml:space="preserve">SMOLT to ADULT SURVIVAL </t>
    </r>
    <r>
      <rPr>
        <sz val="12"/>
        <color rgb="FFFF0000"/>
        <rFont val="Calibri"/>
        <family val="2"/>
        <scheme val="minor"/>
      </rPr>
      <t xml:space="preserve">worksheet if time is limited and/or component age structure data are not readily available. </t>
    </r>
    <r>
      <rPr>
        <b/>
        <sz val="12"/>
        <color rgb="FFFF0000"/>
        <rFont val="Calibri"/>
        <family val="2"/>
        <scheme val="minor"/>
      </rPr>
      <t>NOTE:</t>
    </r>
    <r>
      <rPr>
        <sz val="12"/>
        <color rgb="FFFF0000"/>
        <rFont val="Calibri"/>
        <family val="2"/>
        <scheme val="minor"/>
      </rPr>
      <t xml:space="preserve"> The </t>
    </r>
    <r>
      <rPr>
        <b/>
        <sz val="12"/>
        <color rgb="FFFF0000"/>
        <rFont val="Calibri"/>
        <family val="2"/>
        <scheme val="minor"/>
      </rPr>
      <t xml:space="preserve">SMOLT to ADULT SURVIVAL </t>
    </r>
    <r>
      <rPr>
        <sz val="12"/>
        <color rgb="FFFF0000"/>
        <rFont val="Calibri"/>
        <family val="2"/>
        <scheme val="minor"/>
      </rPr>
      <t xml:space="preserve">worksheet is filled automatically as </t>
    </r>
    <r>
      <rPr>
        <b/>
        <sz val="12"/>
        <color theme="4" tint="-0.249977111117893"/>
        <rFont val="Calibri"/>
        <family val="2"/>
        <scheme val="minor"/>
      </rPr>
      <t>JUVENILE</t>
    </r>
    <r>
      <rPr>
        <sz val="12"/>
        <color rgb="FFFF0000"/>
        <rFont val="Calibri"/>
        <family val="2"/>
        <scheme val="minor"/>
      </rPr>
      <t xml:space="preserve"> and </t>
    </r>
    <r>
      <rPr>
        <b/>
        <sz val="12"/>
        <color rgb="FFC00000"/>
        <rFont val="Calibri"/>
        <family val="2"/>
        <scheme val="minor"/>
      </rPr>
      <t>ADULT</t>
    </r>
    <r>
      <rPr>
        <sz val="12"/>
        <color rgb="FFFF0000"/>
        <rFont val="Calibri"/>
        <family val="2"/>
        <scheme val="minor"/>
      </rPr>
      <t xml:space="preserve"> worksheets are filled in.</t>
    </r>
  </si>
  <si>
    <t>Worksheet</t>
  </si>
  <si>
    <t>Section</t>
  </si>
  <si>
    <t>Instructions</t>
  </si>
  <si>
    <t>Juvenile Data</t>
  </si>
  <si>
    <t>Stock</t>
  </si>
  <si>
    <r>
      <rPr>
        <b/>
        <sz val="11"/>
        <color theme="1"/>
        <rFont val="Calibri"/>
        <family val="2"/>
        <scheme val="minor"/>
      </rPr>
      <t>Conservation Unit Name</t>
    </r>
    <r>
      <rPr>
        <sz val="11"/>
        <color theme="1"/>
        <rFont val="Calibri"/>
        <family val="2"/>
        <scheme val="minor"/>
      </rPr>
      <t xml:space="preserve"> - Identify the Sockeye Conservation Unit or stock name or rearing lake name.</t>
    </r>
  </si>
  <si>
    <t>Year</t>
  </si>
  <si>
    <r>
      <rPr>
        <b/>
        <sz val="11"/>
        <color rgb="FFFF0000"/>
        <rFont val="Calibri"/>
        <family val="2"/>
        <scheme val="minor"/>
      </rPr>
      <t>Smolt Migration Year</t>
    </r>
    <r>
      <rPr>
        <sz val="11"/>
        <color theme="1"/>
        <rFont val="Calibri"/>
        <family val="2"/>
        <scheme val="minor"/>
      </rPr>
      <t xml:space="preserve"> - Identify the year of smolt out-migration (ocean-entry year).</t>
    </r>
  </si>
  <si>
    <t>Smolt Abundance</t>
  </si>
  <si>
    <r>
      <rPr>
        <b/>
        <sz val="11"/>
        <color theme="1"/>
        <rFont val="Calibri"/>
        <family val="2"/>
        <scheme val="minor"/>
      </rPr>
      <t xml:space="preserve">Smolt Abundance - </t>
    </r>
    <r>
      <rPr>
        <sz val="11"/>
        <color theme="1"/>
        <rFont val="Calibri"/>
        <family val="2"/>
        <scheme val="minor"/>
      </rPr>
      <t>Enter abundance</t>
    </r>
    <r>
      <rPr>
        <b/>
        <sz val="11"/>
        <color theme="1"/>
        <rFont val="Calibri"/>
        <family val="2"/>
        <scheme val="minor"/>
      </rPr>
      <t xml:space="preserve"> </t>
    </r>
    <r>
      <rPr>
        <sz val="11"/>
        <color theme="1"/>
        <rFont val="Calibri"/>
        <family val="2"/>
        <scheme val="minor"/>
      </rPr>
      <t>estimates (#fish) by age for current Smolt Migration Year. Document data sources in Methods &amp; Notes.</t>
    </r>
  </si>
  <si>
    <r>
      <rPr>
        <b/>
        <sz val="11"/>
        <color theme="1"/>
        <rFont val="Calibri"/>
        <family val="2"/>
        <scheme val="minor"/>
      </rPr>
      <t>Total Smolts</t>
    </r>
    <r>
      <rPr>
        <sz val="11"/>
        <color theme="1"/>
        <rFont val="Calibri"/>
        <family val="2"/>
        <scheme val="minor"/>
      </rPr>
      <t xml:space="preserve"> - This is a formula summing smolt abundance across ages.  NOTE: If total smolts only are available (i.e., no age-specific abundance estimates), please enter the Totals estimate in the Total (over-writing the formula) after unprotecting the datasheet (see below).</t>
    </r>
  </si>
  <si>
    <r>
      <rPr>
        <b/>
        <sz val="11"/>
        <color theme="1"/>
        <rFont val="Calibri"/>
        <family val="2"/>
        <scheme val="minor"/>
      </rPr>
      <t>Methods &amp; Notes</t>
    </r>
    <r>
      <rPr>
        <sz val="11"/>
        <color theme="1"/>
        <rFont val="Calibri"/>
        <family val="2"/>
        <scheme val="minor"/>
      </rPr>
      <t xml:space="preserve"> - Document source of abundance estimates. Note any data issues or data changes.</t>
    </r>
  </si>
  <si>
    <t>Smolt Biosampling</t>
  </si>
  <si>
    <r>
      <rPr>
        <b/>
        <sz val="11"/>
        <color theme="1"/>
        <rFont val="Calibri"/>
        <family val="2"/>
        <scheme val="minor"/>
      </rPr>
      <t>Length</t>
    </r>
    <r>
      <rPr>
        <sz val="11"/>
        <color theme="1"/>
        <rFont val="Calibri"/>
        <family val="2"/>
        <scheme val="minor"/>
      </rPr>
      <t xml:space="preserve"> and </t>
    </r>
    <r>
      <rPr>
        <b/>
        <sz val="11"/>
        <color theme="1"/>
        <rFont val="Calibri"/>
        <family val="2"/>
        <scheme val="minor"/>
      </rPr>
      <t>Weight</t>
    </r>
    <r>
      <rPr>
        <sz val="11"/>
        <color theme="1"/>
        <rFont val="Calibri"/>
        <family val="2"/>
        <scheme val="minor"/>
      </rPr>
      <t xml:space="preserve"> - Enter mean length (mm), and mean weight (g). Indicate code for type of length measurement via drop-down box (SL = standard length, TL = total length, FL = fork length, PO = post-orbital hypural length). Indicate whether weights are measured or estimated in Methods &amp; Notes column.</t>
    </r>
  </si>
  <si>
    <r>
      <rPr>
        <b/>
        <sz val="11"/>
        <color theme="1"/>
        <rFont val="Calibri"/>
        <family val="2"/>
        <scheme val="minor"/>
      </rPr>
      <t>Biosample Summary</t>
    </r>
    <r>
      <rPr>
        <sz val="11"/>
        <color theme="1"/>
        <rFont val="Calibri"/>
        <family val="2"/>
        <scheme val="minor"/>
      </rPr>
      <t xml:space="preserve"> - these summarize the biosample data and provide mean length and weight estimates, weighted by the biosample age frequency.</t>
    </r>
  </si>
  <si>
    <r>
      <rPr>
        <b/>
        <sz val="11"/>
        <color theme="1"/>
        <rFont val="Calibri"/>
        <family val="2"/>
        <scheme val="minor"/>
      </rPr>
      <t>Methods &amp; Notes</t>
    </r>
    <r>
      <rPr>
        <sz val="11"/>
        <color theme="1"/>
        <rFont val="Calibri"/>
        <family val="2"/>
        <scheme val="minor"/>
      </rPr>
      <t xml:space="preserve"> - Document whether smolts were measured fresh or preserved. If preserved, indicate preservative and length of time between preservation and measurement. This information is used to standardize length and weight. Note any sampling or data issues, or changes to previously entered data.</t>
    </r>
  </si>
  <si>
    <t>Migration Timing</t>
  </si>
  <si>
    <r>
      <rPr>
        <b/>
        <sz val="11"/>
        <color theme="1"/>
        <rFont val="Calibri"/>
        <family val="2"/>
        <scheme val="minor"/>
      </rPr>
      <t>Migration Timing</t>
    </r>
    <r>
      <rPr>
        <sz val="11"/>
        <color theme="1"/>
        <rFont val="Calibri"/>
        <family val="2"/>
        <scheme val="minor"/>
      </rPr>
      <t xml:space="preserve"> - Enter Start, Peak, and End Migration Dates of out-migration in </t>
    </r>
    <r>
      <rPr>
        <b/>
        <sz val="11"/>
        <color theme="1"/>
        <rFont val="Calibri"/>
        <family val="2"/>
        <scheme val="minor"/>
      </rPr>
      <t>dd-mmm-yyyy</t>
    </r>
    <r>
      <rPr>
        <sz val="11"/>
        <color theme="1"/>
        <rFont val="Calibri"/>
        <family val="2"/>
        <scheme val="minor"/>
      </rPr>
      <t xml:space="preserve"> format (or yy-mm-dd format).</t>
    </r>
  </si>
  <si>
    <r>
      <rPr>
        <b/>
        <sz val="11"/>
        <color theme="1"/>
        <rFont val="Calibri"/>
        <family val="2"/>
        <scheme val="minor"/>
      </rPr>
      <t>Methods &amp; Notes</t>
    </r>
    <r>
      <rPr>
        <sz val="11"/>
        <color theme="1"/>
        <rFont val="Calibri"/>
        <family val="2"/>
        <scheme val="minor"/>
      </rPr>
      <t xml:space="preserve"> - Include any details regarding migration timing estimates, data issues, or data changes.</t>
    </r>
  </si>
  <si>
    <t>Pre-Smolt (Fry) Data</t>
  </si>
  <si>
    <r>
      <rPr>
        <b/>
        <sz val="11"/>
        <color theme="1"/>
        <rFont val="Calibri"/>
        <family val="2"/>
        <scheme val="minor"/>
      </rPr>
      <t xml:space="preserve">Fry (Pre-Smolt) Abundance </t>
    </r>
    <r>
      <rPr>
        <sz val="11"/>
        <color theme="1"/>
        <rFont val="Calibri"/>
        <family val="2"/>
        <scheme val="minor"/>
      </rPr>
      <t xml:space="preserve">estimates are generally based on best in-lake estimates from fall/winter </t>
    </r>
    <r>
      <rPr>
        <i/>
        <sz val="11"/>
        <color theme="1"/>
        <rFont val="Calibri"/>
        <family val="2"/>
        <scheme val="minor"/>
      </rPr>
      <t>previous</t>
    </r>
    <r>
      <rPr>
        <sz val="11"/>
        <color theme="1"/>
        <rFont val="Calibri"/>
        <family val="2"/>
        <scheme val="minor"/>
      </rPr>
      <t xml:space="preserve"> to the Smolt Migration Year</t>
    </r>
  </si>
  <si>
    <r>
      <rPr>
        <b/>
        <sz val="11"/>
        <color theme="1"/>
        <rFont val="Calibri"/>
        <family val="2"/>
        <scheme val="minor"/>
      </rPr>
      <t>Methods &amp; Notes</t>
    </r>
    <r>
      <rPr>
        <sz val="11"/>
        <color theme="1"/>
        <rFont val="Calibri"/>
        <family val="2"/>
        <scheme val="minor"/>
      </rPr>
      <t xml:space="preserve"> - Document source of abundance estimates. Indicate whether pre-smolts were measured fresh or preserved. If preserved, indicate preservative and length of time between preservation and measurement. This information is used to standardize length and weight.</t>
    </r>
  </si>
  <si>
    <t>Notes</t>
  </si>
  <si>
    <r>
      <rPr>
        <b/>
        <sz val="11"/>
        <color theme="1"/>
        <rFont val="Calibri"/>
        <family val="2"/>
        <scheme val="minor"/>
      </rPr>
      <t>Environmental Conditions</t>
    </r>
    <r>
      <rPr>
        <sz val="11"/>
        <color theme="1"/>
        <rFont val="Calibri"/>
        <family val="2"/>
        <scheme val="minor"/>
      </rPr>
      <t xml:space="preserve"> - Comment on environmental conditions or events potentially impacting fish, rearing locations, migration routes, or monitoring of same (e.g. floods, droughts, ice, temperature anomalies, fish mortalities, fish conditions, etc.)</t>
    </r>
  </si>
  <si>
    <r>
      <t xml:space="preserve">General Comments - </t>
    </r>
    <r>
      <rPr>
        <sz val="11"/>
        <color theme="1"/>
        <rFont val="Calibri"/>
        <family val="2"/>
        <scheme val="minor"/>
      </rPr>
      <t>Include any notes and considerations for annual data. Indicate if any changes have been made to this year's data relative to previous submissions, &amp; why.</t>
    </r>
  </si>
  <si>
    <r>
      <t xml:space="preserve">Contact Info - </t>
    </r>
    <r>
      <rPr>
        <sz val="11"/>
        <color theme="1"/>
        <rFont val="Calibri"/>
        <family val="2"/>
        <scheme val="minor"/>
      </rPr>
      <t>Contact information for this year's juvenile data. Example: initials, email, phone, date.</t>
    </r>
  </si>
  <si>
    <t>Adult Data</t>
  </si>
  <si>
    <r>
      <rPr>
        <b/>
        <sz val="11"/>
        <color rgb="FFFF0000"/>
        <rFont val="Calibri"/>
        <family val="2"/>
        <scheme val="minor"/>
      </rPr>
      <t>Adult Return Year</t>
    </r>
    <r>
      <rPr>
        <sz val="11"/>
        <color theme="1"/>
        <rFont val="Calibri"/>
        <family val="2"/>
        <scheme val="minor"/>
      </rPr>
      <t xml:space="preserve"> - Identify the year of adult return migration.</t>
    </r>
  </si>
  <si>
    <t>Returns Data</t>
  </si>
  <si>
    <r>
      <rPr>
        <b/>
        <sz val="11"/>
        <color theme="1"/>
        <rFont val="Calibri"/>
        <family val="2"/>
        <scheme val="minor"/>
      </rPr>
      <t>Adult Returns At Age</t>
    </r>
    <r>
      <rPr>
        <sz val="11"/>
        <color theme="1"/>
        <rFont val="Calibri"/>
        <family val="2"/>
        <scheme val="minor"/>
      </rPr>
      <t xml:space="preserve"> - Total adult returns consist of C (total catch, all sectors) + E (escapement) + M (natural enroute/in-river mortality) + H (hatchery broodstock removals), apportioned to age. Enter abundance estimates (#fish) by age for current Return Year. Specify a missing age for this stock in the Age 0.0 column - replacing 0.0 in the column heading with the age in European age format.  For additional ages, please indicate Age and Abundance in Methods &amp; Notes column.</t>
    </r>
  </si>
  <si>
    <r>
      <rPr>
        <b/>
        <sz val="11"/>
        <color theme="1"/>
        <rFont val="Calibri"/>
        <family val="2"/>
        <scheme val="minor"/>
      </rPr>
      <t>Total Adult Returns</t>
    </r>
    <r>
      <rPr>
        <sz val="11"/>
        <color theme="1"/>
        <rFont val="Calibri"/>
        <family val="2"/>
        <scheme val="minor"/>
      </rPr>
      <t xml:space="preserve"> - this is a formula summing returns at age.  NOTE: If total returns only are available (i.e., no returns at age), please enter the Totals estimate in the Total (over-writing the formula) after unprotecting the datasheet (see below).</t>
    </r>
  </si>
  <si>
    <r>
      <rPr>
        <b/>
        <sz val="11"/>
        <color theme="1"/>
        <rFont val="Calibri"/>
        <family val="2"/>
        <scheme val="minor"/>
      </rPr>
      <t>Methods &amp; Notes</t>
    </r>
    <r>
      <rPr>
        <sz val="11"/>
        <color theme="1"/>
        <rFont val="Calibri"/>
        <family val="2"/>
        <scheme val="minor"/>
      </rPr>
      <t xml:space="preserve"> - include notes on age composition estimation methods employed, data issues, or data changes.</t>
    </r>
  </si>
  <si>
    <t>Biosampling</t>
  </si>
  <si>
    <r>
      <rPr>
        <b/>
        <sz val="11"/>
        <color theme="1"/>
        <rFont val="Calibri"/>
        <family val="2"/>
        <scheme val="minor"/>
      </rPr>
      <t>Biosample Data</t>
    </r>
    <r>
      <rPr>
        <sz val="11"/>
        <color theme="1"/>
        <rFont val="Calibri"/>
        <family val="2"/>
        <scheme val="minor"/>
      </rPr>
      <t xml:space="preserve"> - Enter mean length (mm), and mean weight (g) by age. Indicate code for type of length measurement via drop-down box (SL = standard length, TL = total length, FL = fork length, PO = post-orbital hypural length). Indicate whether weights are measured or estimated in Methods &amp; Notes column. Add an uncommon age by replacing OTHER in column AH header with additional age in X.Y format.</t>
    </r>
  </si>
  <si>
    <r>
      <rPr>
        <b/>
        <sz val="11"/>
        <color theme="1"/>
        <rFont val="Calibri"/>
        <family val="2"/>
        <scheme val="minor"/>
      </rPr>
      <t>Methods &amp; Notes</t>
    </r>
    <r>
      <rPr>
        <sz val="11"/>
        <color theme="1"/>
        <rFont val="Calibri"/>
        <family val="2"/>
        <scheme val="minor"/>
      </rPr>
      <t xml:space="preserve"> - include notes on biosampling methods employed, data issues, or data changes.</t>
    </r>
  </si>
  <si>
    <r>
      <rPr>
        <b/>
        <sz val="11"/>
        <color theme="1"/>
        <rFont val="Calibri"/>
        <family val="2"/>
        <scheme val="minor"/>
      </rPr>
      <t>Migration Timing</t>
    </r>
    <r>
      <rPr>
        <sz val="11"/>
        <color theme="1"/>
        <rFont val="Calibri"/>
        <family val="2"/>
        <scheme val="minor"/>
      </rPr>
      <t xml:space="preserve"> - Enter Start, Peak, and End Migration Dates in dd-mmm-yyyy format.</t>
    </r>
  </si>
  <si>
    <r>
      <rPr>
        <b/>
        <sz val="11"/>
        <color theme="1"/>
        <rFont val="Calibri"/>
        <family val="2"/>
        <scheme val="minor"/>
      </rPr>
      <t>Methods &amp; Notes</t>
    </r>
    <r>
      <rPr>
        <sz val="11"/>
        <color theme="1"/>
        <rFont val="Calibri"/>
        <family val="2"/>
        <scheme val="minor"/>
      </rPr>
      <t xml:space="preserve"> regarding migration timing estimates, data issues, or data changes.</t>
    </r>
  </si>
  <si>
    <r>
      <rPr>
        <b/>
        <sz val="11"/>
        <color theme="1"/>
        <rFont val="Calibri"/>
        <family val="2"/>
        <scheme val="minor"/>
      </rPr>
      <t>Environmental Conditions</t>
    </r>
    <r>
      <rPr>
        <sz val="11"/>
        <color theme="1"/>
        <rFont val="Calibri"/>
        <family val="2"/>
        <scheme val="minor"/>
      </rPr>
      <t xml:space="preserve"> - Comment on environmental conditions or events potentially impacting adult fish, migration routes, spawning locations, or monitoring of same (e.g. floods, droughts, temperature anomalies, fish mortalities, fish conditions, etc.)</t>
    </r>
  </si>
  <si>
    <r>
      <t xml:space="preserve">General Comments - </t>
    </r>
    <r>
      <rPr>
        <sz val="11"/>
        <color theme="1"/>
        <rFont val="Calibri"/>
        <family val="2"/>
        <scheme val="minor"/>
      </rPr>
      <t>Include any notes and considerations for adult data. Indicate if any changes have been made to this year's data relative to previous submissions, and why.</t>
    </r>
  </si>
  <si>
    <r>
      <t xml:space="preserve">Contact Info - </t>
    </r>
    <r>
      <rPr>
        <sz val="11"/>
        <color theme="1"/>
        <rFont val="Calibri"/>
        <family val="2"/>
        <scheme val="minor"/>
      </rPr>
      <t>Contact information for this year's adult data. Example: initials, email, phone, date.</t>
    </r>
  </si>
  <si>
    <t>Smolt-to-Adult Survival</t>
  </si>
  <si>
    <r>
      <rPr>
        <b/>
        <sz val="12"/>
        <rFont val="Calibri"/>
        <family val="2"/>
        <scheme val="minor"/>
      </rPr>
      <t>Note:</t>
    </r>
    <r>
      <rPr>
        <sz val="12"/>
        <color rgb="FFFF0000"/>
        <rFont val="Calibri"/>
        <family val="2"/>
        <scheme val="minor"/>
      </rPr>
      <t xml:space="preserve"> The </t>
    </r>
    <r>
      <rPr>
        <b/>
        <sz val="12"/>
        <color rgb="FFFF0000"/>
        <rFont val="Calibri"/>
        <family val="2"/>
        <scheme val="minor"/>
      </rPr>
      <t>Smolt-to-Adult Survival worksheet</t>
    </r>
    <r>
      <rPr>
        <sz val="12"/>
        <color rgb="FFFF0000"/>
        <rFont val="Calibri"/>
        <family val="2"/>
        <scheme val="minor"/>
      </rPr>
      <t xml:space="preserve"> lists summary data only, i.e. </t>
    </r>
    <r>
      <rPr>
        <b/>
        <sz val="12"/>
        <color rgb="FFFF0000"/>
        <rFont val="Calibri"/>
        <family val="2"/>
        <scheme val="minor"/>
      </rPr>
      <t>Total Smolt Abundance</t>
    </r>
    <r>
      <rPr>
        <sz val="12"/>
        <color rgb="FFFF0000"/>
        <rFont val="Calibri"/>
        <family val="2"/>
        <scheme val="minor"/>
      </rPr>
      <t xml:space="preserve"> (all ages); and </t>
    </r>
    <r>
      <rPr>
        <b/>
        <sz val="12"/>
        <color rgb="FFFF0000"/>
        <rFont val="Calibri"/>
        <family val="2"/>
        <scheme val="minor"/>
      </rPr>
      <t>Total Adult Returns</t>
    </r>
    <r>
      <rPr>
        <sz val="12"/>
        <color rgb="FFFF0000"/>
        <rFont val="Calibri"/>
        <family val="2"/>
        <scheme val="minor"/>
      </rPr>
      <t xml:space="preserve"> (all ages), </t>
    </r>
    <r>
      <rPr>
        <i/>
        <sz val="12"/>
        <color rgb="FFFF0000"/>
        <rFont val="Calibri"/>
        <family val="2"/>
        <scheme val="minor"/>
      </rPr>
      <t>by smolt migration year</t>
    </r>
    <r>
      <rPr>
        <sz val="12"/>
        <color rgb="FFFF0000"/>
        <rFont val="Calibri"/>
        <family val="2"/>
        <scheme val="minor"/>
      </rPr>
      <t xml:space="preserve">. The </t>
    </r>
    <r>
      <rPr>
        <b/>
        <sz val="12"/>
        <color rgb="FFFF0000"/>
        <rFont val="Calibri"/>
        <family val="2"/>
        <scheme val="minor"/>
      </rPr>
      <t>worksheet is filled in AUTOMATICALLY</t>
    </r>
    <r>
      <rPr>
        <sz val="12"/>
        <color rgb="FFFF0000"/>
        <rFont val="Calibri"/>
        <family val="2"/>
        <scheme val="minor"/>
      </rPr>
      <t xml:space="preserve"> with annual abundance totals from the </t>
    </r>
    <r>
      <rPr>
        <b/>
        <sz val="12"/>
        <color theme="4" tint="-0.249977111117893"/>
        <rFont val="Calibri"/>
        <family val="2"/>
        <scheme val="minor"/>
      </rPr>
      <t>Juvenile</t>
    </r>
    <r>
      <rPr>
        <sz val="12"/>
        <color rgb="FFFF0000"/>
        <rFont val="Calibri"/>
        <family val="2"/>
        <scheme val="minor"/>
      </rPr>
      <t xml:space="preserve"> and </t>
    </r>
    <r>
      <rPr>
        <b/>
        <sz val="12"/>
        <color rgb="FFC00000"/>
        <rFont val="Calibri"/>
        <family val="2"/>
        <scheme val="minor"/>
      </rPr>
      <t>Adult Returns</t>
    </r>
    <r>
      <rPr>
        <sz val="12"/>
        <color rgb="FFFF0000"/>
        <rFont val="Calibri"/>
        <family val="2"/>
        <scheme val="minor"/>
      </rPr>
      <t xml:space="preserve"> worksheets (accounting for age structure; see </t>
    </r>
    <r>
      <rPr>
        <b/>
        <sz val="12"/>
        <rFont val="Calibri"/>
        <family val="2"/>
        <scheme val="minor"/>
      </rPr>
      <t>AUTO</t>
    </r>
    <r>
      <rPr>
        <sz val="12"/>
        <color rgb="FFFF0000"/>
        <rFont val="Calibri"/>
        <family val="2"/>
        <scheme val="minor"/>
      </rPr>
      <t xml:space="preserve"> instructions</t>
    </r>
    <r>
      <rPr>
        <b/>
        <sz val="12"/>
        <rFont val="Calibri"/>
        <family val="2"/>
        <scheme val="minor"/>
      </rPr>
      <t>,</t>
    </r>
    <r>
      <rPr>
        <sz val="12"/>
        <color rgb="FFFF0000"/>
        <rFont val="Calibri"/>
        <family val="2"/>
        <scheme val="minor"/>
      </rPr>
      <t xml:space="preserve"> below).  Alternatively, the The Smolt-to-Adult Survival worksheet may be manually updated with abundance totals (if, for example, age data are not available; see </t>
    </r>
    <r>
      <rPr>
        <b/>
        <sz val="12"/>
        <rFont val="Calibri"/>
        <family val="2"/>
        <scheme val="minor"/>
      </rPr>
      <t>MANUAL</t>
    </r>
    <r>
      <rPr>
        <sz val="12"/>
        <color rgb="FFFF0000"/>
        <rFont val="Calibri"/>
        <family val="2"/>
        <scheme val="minor"/>
      </rPr>
      <t xml:space="preserve"> instructions</t>
    </r>
    <r>
      <rPr>
        <b/>
        <sz val="12"/>
        <rFont val="Calibri"/>
        <family val="2"/>
        <scheme val="minor"/>
      </rPr>
      <t>,</t>
    </r>
    <r>
      <rPr>
        <sz val="12"/>
        <color rgb="FFFF0000"/>
        <rFont val="Calibri"/>
        <family val="2"/>
        <scheme val="minor"/>
      </rPr>
      <t xml:space="preserve"> below).</t>
    </r>
  </si>
  <si>
    <r>
      <rPr>
        <b/>
        <sz val="12"/>
        <rFont val="Calibri"/>
        <family val="2"/>
        <scheme val="minor"/>
      </rPr>
      <t>AUTO:</t>
    </r>
    <r>
      <rPr>
        <sz val="12"/>
        <color rgb="FFFF0000"/>
        <rFont val="Calibri"/>
        <family val="2"/>
        <scheme val="minor"/>
      </rPr>
      <t xml:space="preserve"> Enter </t>
    </r>
    <r>
      <rPr>
        <i/>
        <sz val="12"/>
        <color rgb="FFFF0000"/>
        <rFont val="Calibri"/>
        <family val="2"/>
        <scheme val="minor"/>
      </rPr>
      <t>smolt abundance at age</t>
    </r>
    <r>
      <rPr>
        <sz val="12"/>
        <color rgb="FFFF0000"/>
        <rFont val="Calibri"/>
        <family val="2"/>
        <scheme val="minor"/>
      </rPr>
      <t xml:space="preserve"> </t>
    </r>
    <r>
      <rPr>
        <i/>
        <sz val="12"/>
        <color rgb="FFFF0000"/>
        <rFont val="Calibri"/>
        <family val="2"/>
        <scheme val="minor"/>
      </rPr>
      <t>by smolt migration year</t>
    </r>
    <r>
      <rPr>
        <sz val="12"/>
        <color rgb="FFFF0000"/>
        <rFont val="Calibri"/>
        <family val="2"/>
        <scheme val="minor"/>
      </rPr>
      <t xml:space="preserve"> in the </t>
    </r>
    <r>
      <rPr>
        <b/>
        <sz val="12"/>
        <color theme="4" tint="-0.249977111117893"/>
        <rFont val="Calibri"/>
        <family val="2"/>
        <scheme val="minor"/>
      </rPr>
      <t>Juvenile Data</t>
    </r>
    <r>
      <rPr>
        <sz val="12"/>
        <color rgb="FFFF0000"/>
        <rFont val="Calibri"/>
        <family val="2"/>
        <scheme val="minor"/>
      </rPr>
      <t xml:space="preserve"> worksheet, and </t>
    </r>
    <r>
      <rPr>
        <i/>
        <sz val="12"/>
        <color rgb="FFFF0000"/>
        <rFont val="Calibri"/>
        <family val="2"/>
        <scheme val="minor"/>
      </rPr>
      <t>adult returns at age by return year</t>
    </r>
    <r>
      <rPr>
        <sz val="12"/>
        <color rgb="FFFF0000"/>
        <rFont val="Calibri"/>
        <family val="2"/>
        <scheme val="minor"/>
      </rPr>
      <t xml:space="preserve"> in the </t>
    </r>
    <r>
      <rPr>
        <b/>
        <sz val="12"/>
        <color rgb="FFC00000"/>
        <rFont val="Calibri"/>
        <family val="2"/>
        <scheme val="minor"/>
      </rPr>
      <t>Adult Returns</t>
    </r>
    <r>
      <rPr>
        <sz val="12"/>
        <color rgb="FFFF0000"/>
        <rFont val="Calibri"/>
        <family val="2"/>
        <scheme val="minor"/>
      </rPr>
      <t xml:space="preserve"> worksheet, and </t>
    </r>
    <r>
      <rPr>
        <b/>
        <sz val="12"/>
        <color rgb="FFFF0000"/>
        <rFont val="Calibri"/>
        <family val="2"/>
        <scheme val="minor"/>
      </rPr>
      <t>Total Smolt Abundance</t>
    </r>
    <r>
      <rPr>
        <sz val="12"/>
        <color rgb="FFFF0000"/>
        <rFont val="Calibri"/>
        <family val="2"/>
        <scheme val="minor"/>
      </rPr>
      <t xml:space="preserve"> and </t>
    </r>
    <r>
      <rPr>
        <b/>
        <sz val="12"/>
        <color rgb="FFFF0000"/>
        <rFont val="Calibri"/>
        <family val="2"/>
        <scheme val="minor"/>
      </rPr>
      <t>Total Adult Returns</t>
    </r>
    <r>
      <rPr>
        <sz val="12"/>
        <color rgb="FFFF0000"/>
        <rFont val="Calibri"/>
        <family val="2"/>
        <scheme val="minor"/>
      </rPr>
      <t xml:space="preserve"> by smolt migration year are automatically updated in the </t>
    </r>
    <r>
      <rPr>
        <b/>
        <sz val="12"/>
        <color rgb="FFFF0000"/>
        <rFont val="Calibri"/>
        <family val="2"/>
        <scheme val="minor"/>
      </rPr>
      <t>Smolt to Adult Survival</t>
    </r>
    <r>
      <rPr>
        <sz val="12"/>
        <color rgb="FFFF0000"/>
        <rFont val="Calibri"/>
        <family val="2"/>
        <scheme val="minor"/>
      </rPr>
      <t xml:space="preserve"> worksheet. Annual marine survival is then estimated from the ratio of these totals.</t>
    </r>
  </si>
  <si>
    <r>
      <rPr>
        <b/>
        <sz val="12"/>
        <rFont val="Calibri"/>
        <family val="2"/>
        <scheme val="minor"/>
      </rPr>
      <t>MANUAL:</t>
    </r>
    <r>
      <rPr>
        <sz val="12"/>
        <color rgb="FFFF0000"/>
        <rFont val="Calibri"/>
        <family val="2"/>
        <scheme val="minor"/>
      </rPr>
      <t xml:space="preserve"> For manual data entry</t>
    </r>
    <r>
      <rPr>
        <u/>
        <sz val="12"/>
        <color rgb="FFFF0000"/>
        <rFont val="Calibri"/>
        <family val="2"/>
        <scheme val="minor"/>
      </rPr>
      <t xml:space="preserve">, </t>
    </r>
    <r>
      <rPr>
        <sz val="12"/>
        <color rgb="FFFF0000"/>
        <rFont val="Calibri"/>
        <family val="2"/>
        <scheme val="minor"/>
      </rPr>
      <t xml:space="preserve">the </t>
    </r>
    <r>
      <rPr>
        <b/>
        <sz val="12"/>
        <color rgb="FFFF0000"/>
        <rFont val="Calibri"/>
        <family val="2"/>
        <scheme val="minor"/>
      </rPr>
      <t xml:space="preserve">Smolt to Adult Survival </t>
    </r>
    <r>
      <rPr>
        <sz val="12"/>
        <color rgb="FFFF0000"/>
        <rFont val="Calibri"/>
        <family val="2"/>
        <scheme val="minor"/>
      </rPr>
      <t>worksheet must be first unprotected</t>
    </r>
    <r>
      <rPr>
        <vertAlign val="superscript"/>
        <sz val="12"/>
        <color rgb="FFFF0000"/>
        <rFont val="Calibri"/>
        <family val="2"/>
        <scheme val="minor"/>
      </rPr>
      <t>1</t>
    </r>
    <r>
      <rPr>
        <sz val="12"/>
        <color rgb="FFFF0000"/>
        <rFont val="Calibri"/>
        <family val="2"/>
        <scheme val="minor"/>
      </rPr>
      <t xml:space="preserve"> and then annual total Smolt and Adult abundance data may be keypunched into the respective </t>
    </r>
    <r>
      <rPr>
        <i/>
        <sz val="12"/>
        <color rgb="FFFF0000"/>
        <rFont val="Calibri"/>
        <family val="2"/>
        <scheme val="minor"/>
      </rPr>
      <t>Totals</t>
    </r>
    <r>
      <rPr>
        <sz val="12"/>
        <color rgb="FFFF0000"/>
        <rFont val="Calibri"/>
        <family val="2"/>
        <scheme val="minor"/>
      </rPr>
      <t xml:space="preserve"> columns for any given year. Note, however, that the Survival worksheet is organized by </t>
    </r>
    <r>
      <rPr>
        <b/>
        <i/>
        <sz val="12"/>
        <color rgb="FFFF0000"/>
        <rFont val="Calibri"/>
        <family val="2"/>
        <scheme val="minor"/>
      </rPr>
      <t>Smolt Migration Year</t>
    </r>
    <r>
      <rPr>
        <sz val="12"/>
        <color rgb="FFFF0000"/>
        <rFont val="Calibri"/>
        <family val="2"/>
        <scheme val="minor"/>
      </rPr>
      <t xml:space="preserve">, thus </t>
    </r>
    <r>
      <rPr>
        <i/>
        <sz val="12"/>
        <color rgb="FFFF0000"/>
        <rFont val="Calibri"/>
        <family val="2"/>
        <scheme val="minor"/>
      </rPr>
      <t>adult returns at age must be summarized across ages by year of ocean entry</t>
    </r>
    <r>
      <rPr>
        <sz val="12"/>
        <color rgb="FFFF0000"/>
        <rFont val="Calibri"/>
        <family val="2"/>
        <scheme val="minor"/>
      </rPr>
      <t xml:space="preserve">. (This is done automatically if the abundance at age is provided in the </t>
    </r>
    <r>
      <rPr>
        <b/>
        <sz val="12"/>
        <color rgb="FFC00000"/>
        <rFont val="Calibri"/>
        <family val="2"/>
        <scheme val="minor"/>
      </rPr>
      <t>Adult Returns Data</t>
    </r>
    <r>
      <rPr>
        <sz val="12"/>
        <color rgb="FFFF0000"/>
        <rFont val="Calibri"/>
        <family val="2"/>
        <scheme val="minor"/>
      </rPr>
      <t xml:space="preserve"> worksheet.)</t>
    </r>
  </si>
  <si>
    <t>Smolts</t>
  </si>
  <si>
    <r>
      <rPr>
        <b/>
        <sz val="11"/>
        <color theme="1"/>
        <rFont val="Calibri"/>
        <family val="2"/>
        <scheme val="minor"/>
      </rPr>
      <t>Total Smolt Abundance</t>
    </r>
    <r>
      <rPr>
        <sz val="11"/>
        <color theme="1"/>
        <rFont val="Calibri"/>
        <family val="2"/>
        <scheme val="minor"/>
      </rPr>
      <t xml:space="preserve"> - Summarize smolt production (#fish) across all ages (i.e. Age0 + Age1 + Age2) by year of outmigration.</t>
    </r>
  </si>
  <si>
    <t>Adults</t>
  </si>
  <si>
    <r>
      <rPr>
        <b/>
        <sz val="11"/>
        <color theme="1"/>
        <rFont val="Calibri"/>
        <family val="2"/>
        <scheme val="minor"/>
      </rPr>
      <t>Total Adult Returns</t>
    </r>
    <r>
      <rPr>
        <sz val="11"/>
        <color theme="1"/>
        <rFont val="Calibri"/>
        <family val="2"/>
        <scheme val="minor"/>
      </rPr>
      <t xml:space="preserve"> - Summarize adult returns (C+H+E+M)</t>
    </r>
    <r>
      <rPr>
        <vertAlign val="superscript"/>
        <sz val="11"/>
        <color theme="1"/>
        <rFont val="Calibri"/>
        <family val="2"/>
        <scheme val="minor"/>
      </rPr>
      <t>2</t>
    </r>
    <r>
      <rPr>
        <sz val="11"/>
        <color theme="1"/>
        <rFont val="Calibri"/>
        <family val="2"/>
        <scheme val="minor"/>
      </rPr>
      <t xml:space="preserve"> across all ages by Smolt Migration Year, i.e. (3</t>
    </r>
    <r>
      <rPr>
        <vertAlign val="subscript"/>
        <sz val="11"/>
        <color theme="1"/>
        <rFont val="Calibri"/>
        <family val="2"/>
        <scheme val="minor"/>
      </rPr>
      <t>2</t>
    </r>
    <r>
      <rPr>
        <sz val="11"/>
        <color theme="1"/>
        <rFont val="Calibri"/>
        <family val="2"/>
        <scheme val="minor"/>
      </rPr>
      <t xml:space="preserve"> in BroodYear+2) + (4</t>
    </r>
    <r>
      <rPr>
        <vertAlign val="subscript"/>
        <sz val="11"/>
        <color theme="1"/>
        <rFont val="Calibri"/>
        <family val="2"/>
        <scheme val="minor"/>
      </rPr>
      <t>2</t>
    </r>
    <r>
      <rPr>
        <sz val="11"/>
        <color theme="1"/>
        <rFont val="Calibri"/>
        <family val="2"/>
        <scheme val="minor"/>
      </rPr>
      <t xml:space="preserve"> in BY+2) + (5</t>
    </r>
    <r>
      <rPr>
        <vertAlign val="subscript"/>
        <sz val="11"/>
        <color theme="1"/>
        <rFont val="Calibri"/>
        <family val="2"/>
        <scheme val="minor"/>
      </rPr>
      <t>2</t>
    </r>
    <r>
      <rPr>
        <sz val="11"/>
        <color theme="1"/>
        <rFont val="Calibri"/>
        <family val="2"/>
        <scheme val="minor"/>
      </rPr>
      <t xml:space="preserve"> in BY+2) + (5</t>
    </r>
    <r>
      <rPr>
        <vertAlign val="subscript"/>
        <sz val="11"/>
        <color theme="1"/>
        <rFont val="Calibri"/>
        <family val="2"/>
        <scheme val="minor"/>
      </rPr>
      <t>3</t>
    </r>
    <r>
      <rPr>
        <sz val="11"/>
        <color theme="1"/>
        <rFont val="Calibri"/>
        <family val="2"/>
        <scheme val="minor"/>
      </rPr>
      <t xml:space="preserve"> in BY+3) + ...).</t>
    </r>
  </si>
  <si>
    <t>Survival</t>
  </si>
  <si>
    <r>
      <rPr>
        <b/>
        <sz val="11"/>
        <rFont val="Calibri"/>
        <family val="2"/>
        <scheme val="minor"/>
      </rPr>
      <t>Marine Survival</t>
    </r>
    <r>
      <rPr>
        <sz val="11"/>
        <rFont val="Calibri"/>
        <family val="2"/>
        <scheme val="minor"/>
      </rPr>
      <t xml:space="preserve"> - a formula based on the ratio of Total Adult Returns to Total Smolt Abundance, by year of ocean entry</t>
    </r>
  </si>
  <si>
    <r>
      <rPr>
        <b/>
        <sz val="11"/>
        <color theme="1"/>
        <rFont val="Calibri"/>
        <family val="2"/>
        <scheme val="minor"/>
      </rPr>
      <t>Smolt Data Notes</t>
    </r>
    <r>
      <rPr>
        <sz val="11"/>
        <color theme="1"/>
        <rFont val="Calibri"/>
        <family val="2"/>
        <scheme val="minor"/>
      </rPr>
      <t xml:space="preserve"> - Meta-data copied from Juvenile worksheet regarding smolt sampling methods, estimation methods, data issues, and source documents where available.</t>
    </r>
  </si>
  <si>
    <r>
      <rPr>
        <b/>
        <sz val="11"/>
        <color theme="1"/>
        <rFont val="Calibri"/>
        <family val="2"/>
        <scheme val="minor"/>
      </rPr>
      <t>Adult Data Notes</t>
    </r>
    <r>
      <rPr>
        <sz val="11"/>
        <color theme="1"/>
        <rFont val="Calibri"/>
        <family val="2"/>
        <scheme val="minor"/>
      </rPr>
      <t xml:space="preserve"> - Meta-data copied from Adult Returns worksheet regarding abundance estimates, sampling methods, data issues, and source documents where available.
</t>
    </r>
  </si>
  <si>
    <r>
      <rPr>
        <b/>
        <sz val="11"/>
        <color theme="1"/>
        <rFont val="Calibri"/>
        <family val="2"/>
        <scheme val="minor"/>
      </rPr>
      <t>Environmental Conditions</t>
    </r>
    <r>
      <rPr>
        <sz val="11"/>
        <color theme="1"/>
        <rFont val="Calibri"/>
        <family val="2"/>
        <scheme val="minor"/>
      </rPr>
      <t xml:space="preserve"> - Notes copied from environmental columns about conditions or events potentially impacting juvenile or adult fish, rearing lakes, migration routes, spawning locations, or monitoring of same (e.g. floods, droughts, temperature anomalies, fish mortalities, fish conditions, etc.)</t>
    </r>
  </si>
  <si>
    <r>
      <t xml:space="preserve">General Comments - </t>
    </r>
    <r>
      <rPr>
        <sz val="11"/>
        <color theme="1"/>
        <rFont val="Calibri"/>
        <family val="2"/>
        <scheme val="minor"/>
      </rPr>
      <t>General Notes and considerations for this year's data, copied from Juvenile and Adult worksheets. Should indicate if any changes have been made to this year's data relative to previous submissions, and why.</t>
    </r>
  </si>
  <si>
    <r>
      <t>Contact Info</t>
    </r>
    <r>
      <rPr>
        <sz val="11"/>
        <color theme="1"/>
        <rFont val="Calibri"/>
        <family val="2"/>
        <scheme val="minor"/>
      </rPr>
      <t xml:space="preserve"> - Contact information for this year's data. Example: initials, email, phone, date</t>
    </r>
  </si>
  <si>
    <r>
      <rPr>
        <b/>
        <sz val="11"/>
        <color theme="1"/>
        <rFont val="Calibri"/>
        <family val="2"/>
        <scheme val="minor"/>
      </rPr>
      <t>Additional Comments</t>
    </r>
    <r>
      <rPr>
        <sz val="11"/>
        <color theme="1"/>
        <rFont val="Calibri"/>
        <family val="2"/>
        <scheme val="minor"/>
      </rPr>
      <t xml:space="preserve"> - This is the only "unprotected" column on this worksheet, and can be used for any additional remarks not captured by other columns.</t>
    </r>
  </si>
  <si>
    <t>References</t>
  </si>
  <si>
    <t>Include any literature cited (optional)</t>
  </si>
  <si>
    <t>Data Files</t>
  </si>
  <si>
    <t>Include names and locations of any source datafiles (optional)</t>
  </si>
  <si>
    <t>Footnotes:</t>
  </si>
  <si>
    <r>
      <rPr>
        <i/>
        <vertAlign val="superscript"/>
        <sz val="11"/>
        <rFont val="Calibri"/>
        <family val="2"/>
        <scheme val="minor"/>
      </rPr>
      <t>1</t>
    </r>
    <r>
      <rPr>
        <i/>
        <sz val="11"/>
        <rFont val="Calibri"/>
        <family val="2"/>
        <scheme val="minor"/>
      </rPr>
      <t xml:space="preserve"> To UNPROTECT any worksheet, right-click on the worksheet tab, and select </t>
    </r>
    <r>
      <rPr>
        <b/>
        <sz val="11"/>
        <rFont val="Calibri"/>
        <family val="2"/>
        <scheme val="minor"/>
      </rPr>
      <t>Unprotect Sheet...</t>
    </r>
    <r>
      <rPr>
        <i/>
        <sz val="11"/>
        <rFont val="Calibri"/>
        <family val="2"/>
        <scheme val="minor"/>
      </rPr>
      <t xml:space="preserve"> from the pop-up menu. No password required.</t>
    </r>
  </si>
  <si>
    <r>
      <t xml:space="preserve">   To PROTECT an unprotected worksheet, right-click on the worksheet tab, and select </t>
    </r>
    <r>
      <rPr>
        <b/>
        <sz val="11"/>
        <rFont val="Calibri"/>
        <family val="2"/>
        <scheme val="minor"/>
      </rPr>
      <t xml:space="preserve">Protect Sheet… </t>
    </r>
    <r>
      <rPr>
        <i/>
        <sz val="11"/>
        <rFont val="Calibri"/>
        <family val="2"/>
        <scheme val="minor"/>
      </rPr>
      <t>from the pop-up menu. Provide no password (recommended). All formulaic cells will be protected from accidental data entry.</t>
    </r>
  </si>
  <si>
    <r>
      <rPr>
        <i/>
        <vertAlign val="superscript"/>
        <sz val="11"/>
        <rFont val="Calibri"/>
        <family val="2"/>
        <scheme val="minor"/>
      </rPr>
      <t>2</t>
    </r>
    <r>
      <rPr>
        <i/>
        <sz val="11"/>
        <rFont val="Calibri"/>
        <family val="2"/>
        <scheme val="minor"/>
      </rPr>
      <t xml:space="preserve"> C+H+E+M : Catch, Hatchery (removals), Escapement, Mortality (natural)</t>
    </r>
  </si>
  <si>
    <t>Workbook Updates:</t>
  </si>
  <si>
    <t>Version 21.11.04</t>
  </si>
  <si>
    <r>
      <rPr>
        <b/>
        <i/>
        <sz val="11"/>
        <rFont val="Calibri"/>
        <family val="2"/>
        <scheme val="minor"/>
      </rPr>
      <t>Smolt to Adult Survival:</t>
    </r>
    <r>
      <rPr>
        <i/>
        <sz val="11"/>
        <rFont val="Calibri"/>
        <family val="2"/>
        <scheme val="minor"/>
      </rPr>
      <t xml:space="preserve"> Calculation error in situations where smolt and adult time-series don't start at same year!  </t>
    </r>
  </si>
  <si>
    <r>
      <t xml:space="preserve">  --&gt;  </t>
    </r>
    <r>
      <rPr>
        <b/>
        <i/>
        <sz val="11"/>
        <rFont val="Calibri"/>
        <family val="2"/>
        <scheme val="minor"/>
      </rPr>
      <t xml:space="preserve">Fix: </t>
    </r>
    <r>
      <rPr>
        <i/>
        <sz val="11"/>
        <rFont val="Calibri"/>
        <family val="2"/>
        <scheme val="minor"/>
      </rPr>
      <t>Used VLOOKUP anchored on SmoltYear to find correct Adult Return Year(s) age abundances to summarize.</t>
    </r>
  </si>
  <si>
    <r>
      <t xml:space="preserve">Added </t>
    </r>
    <r>
      <rPr>
        <b/>
        <i/>
        <sz val="11"/>
        <rFont val="Calibri"/>
        <family val="2"/>
        <scheme val="minor"/>
      </rPr>
      <t>age 6</t>
    </r>
    <r>
      <rPr>
        <b/>
        <i/>
        <vertAlign val="subscript"/>
        <sz val="11"/>
        <rFont val="Calibri"/>
        <family val="2"/>
        <scheme val="minor"/>
      </rPr>
      <t>2</t>
    </r>
    <r>
      <rPr>
        <i/>
        <sz val="11"/>
        <rFont val="Calibri"/>
        <family val="2"/>
        <scheme val="minor"/>
      </rPr>
      <t xml:space="preserve"> in adult size and returns; updated ADULT RETURNS summary formula in Smolt-to-Adult Survival sheet</t>
    </r>
  </si>
  <si>
    <r>
      <t xml:space="preserve">Changed </t>
    </r>
    <r>
      <rPr>
        <b/>
        <i/>
        <sz val="11"/>
        <rFont val="Calibri"/>
        <family val="2"/>
        <scheme val="minor"/>
      </rPr>
      <t>Fork Length</t>
    </r>
    <r>
      <rPr>
        <i/>
        <sz val="11"/>
        <rFont val="Calibri"/>
        <family val="2"/>
        <scheme val="minor"/>
      </rPr>
      <t xml:space="preserve"> heading to </t>
    </r>
    <r>
      <rPr>
        <b/>
        <i/>
        <sz val="11"/>
        <rFont val="Calibri"/>
        <family val="2"/>
        <scheme val="minor"/>
      </rPr>
      <t xml:space="preserve">Length </t>
    </r>
    <r>
      <rPr>
        <i/>
        <sz val="11"/>
        <rFont val="Calibri"/>
        <family val="2"/>
        <scheme val="minor"/>
      </rPr>
      <t xml:space="preserve">in ADULT RETURNS. Fork Length not always available! (E.g. </t>
    </r>
    <r>
      <rPr>
        <b/>
        <i/>
        <sz val="11"/>
        <rFont val="Calibri"/>
        <family val="2"/>
        <scheme val="minor"/>
      </rPr>
      <t>Total Length</t>
    </r>
    <r>
      <rPr>
        <i/>
        <sz val="11"/>
        <rFont val="Calibri"/>
        <family val="2"/>
        <scheme val="minor"/>
      </rPr>
      <t xml:space="preserve"> used in Somass stocks!)</t>
    </r>
  </si>
  <si>
    <r>
      <t xml:space="preserve">   --&gt; Added a </t>
    </r>
    <r>
      <rPr>
        <b/>
        <i/>
        <sz val="11"/>
        <rFont val="Calibri"/>
        <family val="2"/>
        <scheme val="minor"/>
      </rPr>
      <t>Length Type</t>
    </r>
    <r>
      <rPr>
        <i/>
        <sz val="11"/>
        <rFont val="Calibri"/>
        <family val="2"/>
        <scheme val="minor"/>
      </rPr>
      <t xml:space="preserve"> column in ADULT RETURNS sheet to record length measurement method: </t>
    </r>
  </si>
  <si>
    <t xml:space="preserve">   --&gt;  Standard Length = SL; Fork Length = FL; Total Length = TL; Post-Orbital Hypural Length = PO. Dropbox selection.</t>
  </si>
  <si>
    <r>
      <t xml:space="preserve">Added separate tab for listing of </t>
    </r>
    <r>
      <rPr>
        <b/>
        <i/>
        <sz val="11"/>
        <rFont val="Calibri"/>
        <family val="2"/>
        <scheme val="minor"/>
      </rPr>
      <t>References</t>
    </r>
    <r>
      <rPr>
        <i/>
        <sz val="11"/>
        <rFont val="Calibri"/>
        <family val="2"/>
        <scheme val="minor"/>
      </rPr>
      <t xml:space="preserve"> (and Data Sources).</t>
    </r>
  </si>
  <si>
    <t>Version 21.11.08</t>
  </si>
  <si>
    <t>Minor changes to headings, References tab, README tab text and column references.</t>
  </si>
  <si>
    <t>Repositioned Pre-Smolt columns. Updated Smolt-to-Adult Survival formulas accordingly.</t>
  </si>
  <si>
    <t>Incorporated weighted mean size formulas for Smolts.</t>
  </si>
  <si>
    <t>Adult returns 'additional age' column - now handled in Smolt-to-Adult Survival worksheet formulas.</t>
  </si>
  <si>
    <t>Version 21.12.01</t>
  </si>
  <si>
    <t>Modified 'hidden' column AQ and AS on Adult Returns tab to represent 1st and 99th percentiles for adult run timing.</t>
  </si>
  <si>
    <r>
      <t xml:space="preserve">Survival tab: Adult Data Notes column is flagged red and displays </t>
    </r>
    <r>
      <rPr>
        <i/>
        <sz val="11"/>
        <color rgb="FFFF0000"/>
        <rFont val="Calibri"/>
        <family val="2"/>
        <scheme val="minor"/>
      </rPr>
      <t>"Adult Returns Incomplete!"</t>
    </r>
    <r>
      <rPr>
        <i/>
        <sz val="11"/>
        <rFont val="Calibri"/>
        <family val="2"/>
        <scheme val="minor"/>
      </rPr>
      <t xml:space="preserve"> if major ages missing from total returns calculation.</t>
    </r>
  </si>
  <si>
    <t>Version 21.12.07</t>
  </si>
  <si>
    <t>Minor fixes to Smolt to Adult Survival formulas for YEAR and ADULT RETURNS to handle no data situation.</t>
  </si>
  <si>
    <t>Version 22.01.10</t>
  </si>
  <si>
    <t>Minor text edits - &lt;not recorded&gt;</t>
  </si>
  <si>
    <t>Version 22.01.14</t>
  </si>
  <si>
    <r>
      <t xml:space="preserve">Minor bug in Smolt to Adult Survival tab, </t>
    </r>
    <r>
      <rPr>
        <b/>
        <i/>
        <sz val="11"/>
        <rFont val="Calibri"/>
        <family val="2"/>
        <scheme val="minor"/>
      </rPr>
      <t>Total Adult Returns</t>
    </r>
    <r>
      <rPr>
        <i/>
        <sz val="11"/>
        <rFont val="Calibri"/>
        <family val="2"/>
        <scheme val="minor"/>
      </rPr>
      <t xml:space="preserve"> column: VLOOKUP returning last return-at-age abundance value when referencing cells with no years (i.e. &gt; 2020)</t>
    </r>
  </si>
  <si>
    <r>
      <t xml:space="preserve">Text edit in Smolt to Adult Survival tab, </t>
    </r>
    <r>
      <rPr>
        <b/>
        <i/>
        <sz val="11"/>
        <rFont val="Calibri"/>
        <family val="2"/>
        <scheme val="minor"/>
      </rPr>
      <t>Adult Data Notes</t>
    </r>
    <r>
      <rPr>
        <i/>
        <sz val="11"/>
        <rFont val="Calibri"/>
        <family val="2"/>
        <scheme val="minor"/>
      </rPr>
      <t xml:space="preserve"> column: refined text regarding incomplete age-structured data for end of time-series.</t>
    </r>
  </si>
  <si>
    <t>Version 22.02.08</t>
  </si>
  <si>
    <t>Smolt-to-Adult Survival tab - blank out Year column where years &gt; Year(Now())</t>
  </si>
  <si>
    <t>Version 22.05.14</t>
  </si>
  <si>
    <t>Smolt-to-Adult Survival tab - added a method to check which adult returns at age are included for a given smolt year.</t>
  </si>
  <si>
    <t>Version 22.06.14</t>
  </si>
  <si>
    <r>
      <t xml:space="preserve">Total adult returns updated! Now based on </t>
    </r>
    <r>
      <rPr>
        <b/>
        <i/>
        <sz val="11"/>
        <rFont val="Calibri"/>
        <family val="2"/>
        <scheme val="minor"/>
      </rPr>
      <t>Bonn counts + downstream catch (Columbia Harvest Zones 1-5)</t>
    </r>
    <r>
      <rPr>
        <i/>
        <sz val="11"/>
        <rFont val="Calibri"/>
        <family val="2"/>
        <scheme val="minor"/>
      </rPr>
      <t xml:space="preserve"> apportioned to stock (based on annual Wells:Rock dam count ratios - which might be slightly improved using PIT stock comp data), to get best estimate of Ok Sox adult returns. Resulted in small changes to total returns (and marine survival) for many return years, and more significant changes for late 1980s and 2012, when there were significant comm. fisheries in the mouth of the Columbia (Zones 1-5). Adult age comp still based on spawning grounds (deadpitch) where available, otherwise JF (CRITFC) PIT age data, or in some years, multiyear averages.</t>
    </r>
  </si>
  <si>
    <t>Version 22.07.22</t>
  </si>
  <si>
    <t>Added a very preliminary total adult returns estimate for 2022 plus age composition, allowing update of marine survival calculations to 2019.</t>
  </si>
  <si>
    <t>Version 22.07.29</t>
  </si>
  <si>
    <t>Total adult returns updated yet again - reconciled with ODF/WDFW 2022 Joint Staff Report Table 15.</t>
  </si>
  <si>
    <t>Version 22.10.10</t>
  </si>
  <si>
    <t>Minor updates to 2022 adult returns based on recently revised dam count estimates at FPC.org.</t>
  </si>
  <si>
    <t>Workbook Updates</t>
  </si>
  <si>
    <t>Version 22.10.17</t>
  </si>
  <si>
    <r>
      <t xml:space="preserve">Minor updates to adult returns time-series due to adjustment required for Wells Dam counts being only 16-hr per day pre-1998, which affected current method of estimation of stock composition, which is based on the Wells:RockIsland Dam count ratio (RockIsland is (effectively) 24-hr counts for all years, since in years of 16-hr counts, the gates were closed for 8 hr, preventing fish passage till next day; Catherine Willard, WDFW or Chelan PUD). </t>
    </r>
    <r>
      <rPr>
        <b/>
        <i/>
        <sz val="11"/>
        <rFont val="Calibri"/>
        <family val="2"/>
        <scheme val="minor"/>
      </rPr>
      <t>Result: Wells Dam counts (1980-1997) boosted 1.132x (13.2%)</t>
    </r>
    <r>
      <rPr>
        <i/>
        <sz val="11"/>
        <rFont val="Calibri"/>
        <family val="2"/>
        <scheme val="minor"/>
      </rPr>
      <t xml:space="preserve"> based on comparison of 16- vs 24-hr counts from 1998-present (pers. comm., Tom Kahler, DCPUD, Oct 2022).</t>
    </r>
  </si>
  <si>
    <t>Version 22.10.30</t>
  </si>
  <si>
    <r>
      <t xml:space="preserve">Incorporated pre-smolt abundance and size data, 1998-present, into </t>
    </r>
    <r>
      <rPr>
        <b/>
        <i/>
        <sz val="11"/>
        <rFont val="Calibri"/>
        <family val="2"/>
        <scheme val="minor"/>
      </rPr>
      <t xml:space="preserve">Juvenile Data </t>
    </r>
    <r>
      <rPr>
        <i/>
        <sz val="11"/>
        <rFont val="Calibri"/>
        <family val="2"/>
        <scheme val="minor"/>
      </rPr>
      <t>tab. Pre-smolt abundances - derived from assessment or averaging of (usually multiple) fall-winter Acoustic Trawl Surveys (ATS) from Oct-Feb starting in the year before smolt migration - are used as best estimates of smolt production.</t>
    </r>
  </si>
  <si>
    <t>Version 22.11.01</t>
  </si>
  <si>
    <r>
      <t xml:space="preserve">Revised Okanagan Sockeye annual adult returns estimates </t>
    </r>
    <r>
      <rPr>
        <sz val="11"/>
        <rFont val="Calibri"/>
        <family val="2"/>
        <scheme val="minor"/>
      </rPr>
      <t>(i.e., recruitment to the 'mouth of the Columbia River' of aggregated NO (Osoyoos) and HO (Skaha) stocks)</t>
    </r>
    <r>
      <rPr>
        <i/>
        <sz val="11"/>
        <rFont val="Calibri"/>
        <family val="2"/>
        <scheme val="minor"/>
      </rPr>
      <t xml:space="preserve"> to be based on: </t>
    </r>
    <r>
      <rPr>
        <b/>
        <i/>
        <sz val="11"/>
        <rFont val="Calibri"/>
        <family val="2"/>
        <scheme val="minor"/>
      </rPr>
      <t>(1) Wells dam counts</t>
    </r>
    <r>
      <rPr>
        <i/>
        <sz val="11"/>
        <rFont val="Calibri"/>
        <family val="2"/>
        <scheme val="minor"/>
      </rPr>
      <t xml:space="preserve"> (adjusted to 24-hr counts where necessary - i.e., pre-1998) + </t>
    </r>
    <r>
      <rPr>
        <b/>
        <i/>
        <sz val="11"/>
        <rFont val="Calibri"/>
        <family val="2"/>
        <scheme val="minor"/>
      </rPr>
      <t xml:space="preserve"> (2) downstream Harvest</t>
    </r>
    <r>
      <rPr>
        <i/>
        <sz val="11"/>
        <rFont val="Calibri"/>
        <family val="2"/>
        <scheme val="minor"/>
      </rPr>
      <t xml:space="preserve"> (apportioned to stock based on Wells : RockIsland dam count ratios) + (3) </t>
    </r>
    <r>
      <rPr>
        <b/>
        <i/>
        <sz val="11"/>
        <rFont val="Calibri"/>
        <family val="2"/>
        <scheme val="minor"/>
      </rPr>
      <t>d/s Natural Mortality</t>
    </r>
    <r>
      <rPr>
        <i/>
        <sz val="11"/>
        <rFont val="Calibri"/>
        <family val="2"/>
        <scheme val="minor"/>
      </rPr>
      <t xml:space="preserve"> (between Bonn and Wells dams - using 16-hr counts only).  See note above for Version 22.06.14 for methodology for previous Okanagan-bound Sockeye recruits estimates.</t>
    </r>
  </si>
  <si>
    <r>
      <t xml:space="preserve">Incorporated worksheets </t>
    </r>
    <r>
      <rPr>
        <sz val="11"/>
        <rFont val="Calibri"/>
        <family val="2"/>
        <scheme val="minor"/>
      </rPr>
      <t>(from OkSox Total Rtns to Wells RY_OEY_BY (HS) 2022.10.30.xlsx)</t>
    </r>
    <r>
      <rPr>
        <i/>
        <sz val="11"/>
        <rFont val="Calibri"/>
        <family val="2"/>
        <scheme val="minor"/>
      </rPr>
      <t xml:space="preserve"> which are the source data for the </t>
    </r>
    <r>
      <rPr>
        <b/>
        <i/>
        <sz val="11"/>
        <rFont val="Calibri"/>
        <family val="2"/>
        <scheme val="minor"/>
      </rPr>
      <t>revised Okanagan-bound Sockeye estimates</t>
    </r>
    <r>
      <rPr>
        <i/>
        <sz val="11"/>
        <rFont val="Calibri"/>
        <family val="2"/>
        <scheme val="minor"/>
      </rPr>
      <t xml:space="preserve"> in the </t>
    </r>
    <r>
      <rPr>
        <b/>
        <i/>
        <sz val="11"/>
        <rFont val="Calibri"/>
        <family val="2"/>
        <scheme val="minor"/>
      </rPr>
      <t>Adult Returns Data</t>
    </r>
    <r>
      <rPr>
        <i/>
        <sz val="11"/>
        <rFont val="Calibri"/>
        <family val="2"/>
        <scheme val="minor"/>
      </rPr>
      <t xml:space="preserve"> tab. Tab </t>
    </r>
    <r>
      <rPr>
        <b/>
        <i/>
        <sz val="11"/>
        <rFont val="Calibri"/>
        <family val="2"/>
        <scheme val="minor"/>
      </rPr>
      <t>Sockeye Returns Data</t>
    </r>
    <r>
      <rPr>
        <i/>
        <sz val="11"/>
        <rFont val="Calibri"/>
        <family val="2"/>
        <scheme val="minor"/>
      </rPr>
      <t xml:space="preserve"> contains Columbia dam counts at Bonneville, Rock Island, and Wells dams + estimates of harvest and nat. mortality below Wells, which are combined to give best estimate of Okanagan adult returning to the mouth of the Columbia River. Also contains some years of PIT tag data - not used at present - which may provide better stock composition estimation (for allocation of harvest to stock) than the current method (Wells : RockIsland count ratio).  </t>
    </r>
    <r>
      <rPr>
        <b/>
        <i/>
        <sz val="11"/>
        <rFont val="Calibri"/>
        <family val="2"/>
        <scheme val="minor"/>
      </rPr>
      <t>Data at Age</t>
    </r>
    <r>
      <rPr>
        <i/>
        <sz val="11"/>
        <rFont val="Calibri"/>
        <family val="2"/>
        <scheme val="minor"/>
      </rPr>
      <t xml:space="preserve"> tab takes annual total from the </t>
    </r>
    <r>
      <rPr>
        <b/>
        <i/>
        <sz val="11"/>
        <rFont val="Calibri"/>
        <family val="2"/>
        <scheme val="minor"/>
      </rPr>
      <t>Sockeye Returns Data</t>
    </r>
    <r>
      <rPr>
        <i/>
        <sz val="11"/>
        <rFont val="Calibri"/>
        <family val="2"/>
        <scheme val="minor"/>
      </rPr>
      <t xml:space="preserve"> tab, and applies annual age composition estimates to get returns at age. The </t>
    </r>
    <r>
      <rPr>
        <b/>
        <i/>
        <sz val="11"/>
        <rFont val="Calibri"/>
        <family val="2"/>
        <scheme val="minor"/>
      </rPr>
      <t>Annual Ok Sox Returns by Return Year</t>
    </r>
    <r>
      <rPr>
        <i/>
        <sz val="11"/>
        <rFont val="Calibri"/>
        <family val="2"/>
        <scheme val="minor"/>
      </rPr>
      <t xml:space="preserve"> tab is a simple Pivot Table that outputs the data in a format that can be copied into Adult Returns Data tab. The </t>
    </r>
    <r>
      <rPr>
        <b/>
        <i/>
        <sz val="11"/>
        <rFont val="Calibri"/>
        <family val="2"/>
        <scheme val="minor"/>
      </rPr>
      <t>Annual Ok Sox Returns by Smolt Year</t>
    </r>
    <r>
      <rPr>
        <i/>
        <sz val="11"/>
        <rFont val="Calibri"/>
        <family val="2"/>
        <scheme val="minor"/>
      </rPr>
      <t xml:space="preserve"> tab pivots the data into a format that can be copied into Adults column in </t>
    </r>
    <r>
      <rPr>
        <b/>
        <i/>
        <sz val="11"/>
        <rFont val="Calibri"/>
        <family val="2"/>
        <scheme val="minor"/>
      </rPr>
      <t>Smolt to Annual Survival</t>
    </r>
    <r>
      <rPr>
        <i/>
        <sz val="11"/>
        <rFont val="Calibri"/>
        <family val="2"/>
        <scheme val="minor"/>
      </rPr>
      <t xml:space="preserve"> tab.</t>
    </r>
  </si>
  <si>
    <t>Version 22.11.17</t>
  </si>
  <si>
    <r>
      <t xml:space="preserve">Fixed Pre-Smolt section </t>
    </r>
    <r>
      <rPr>
        <b/>
        <i/>
        <sz val="11"/>
        <rFont val="Calibri"/>
        <family val="2"/>
        <scheme val="minor"/>
      </rPr>
      <t>Length Type field</t>
    </r>
    <r>
      <rPr>
        <i/>
        <sz val="11"/>
        <rFont val="Calibri"/>
        <family val="2"/>
        <scheme val="minor"/>
      </rPr>
      <t xml:space="preserve"> (was a drop-down selection box, but not allowing input, so changed to regular text field). Updated pre-smolt size data with </t>
    </r>
    <r>
      <rPr>
        <b/>
        <i/>
        <sz val="11"/>
        <rFont val="Calibri"/>
        <family val="2"/>
        <scheme val="minor"/>
      </rPr>
      <t>weighted mean lengths and weights</t>
    </r>
    <r>
      <rPr>
        <i/>
        <sz val="11"/>
        <rFont val="Calibri"/>
        <family val="2"/>
        <scheme val="minor"/>
      </rPr>
      <t xml:space="preserve"> (where based on multiple surveys with different sample sizes). Inserted </t>
    </r>
    <r>
      <rPr>
        <b/>
        <i/>
        <sz val="11"/>
        <rFont val="Calibri"/>
        <family val="2"/>
        <scheme val="minor"/>
      </rPr>
      <t>last date of fall-winter ATS survey</t>
    </r>
    <r>
      <rPr>
        <i/>
        <sz val="11"/>
        <rFont val="Calibri"/>
        <family val="2"/>
        <scheme val="minor"/>
      </rPr>
      <t xml:space="preserve"> into  'annual' pre-smolt date field, and noted months of surveys used to arrive at multi-survey mean abundance and size estimates in Notes field. </t>
    </r>
    <r>
      <rPr>
        <b/>
        <i/>
        <sz val="11"/>
        <rFont val="Calibri"/>
        <family val="2"/>
        <scheme val="minor"/>
      </rPr>
      <t>Updated pre-smolt meta-data</t>
    </r>
    <r>
      <rPr>
        <i/>
        <sz val="11"/>
        <rFont val="Calibri"/>
        <family val="2"/>
        <scheme val="minor"/>
      </rPr>
      <t xml:space="preserve"> with known </t>
    </r>
    <r>
      <rPr>
        <b/>
        <i/>
        <sz val="11"/>
        <rFont val="Calibri"/>
        <family val="2"/>
        <scheme val="minor"/>
      </rPr>
      <t>hatchery release information for SY2010, 2012, 2013</t>
    </r>
    <r>
      <rPr>
        <i/>
        <sz val="11"/>
        <rFont val="Calibri"/>
        <family val="2"/>
        <scheme val="minor"/>
      </rPr>
      <t xml:space="preserve"> - but </t>
    </r>
    <r>
      <rPr>
        <i/>
        <u/>
        <sz val="11"/>
        <rFont val="Calibri"/>
        <family val="2"/>
        <scheme val="minor"/>
      </rPr>
      <t>need to figure out how to adjust/reduce pre-smolt index to account for these additions</t>
    </r>
    <r>
      <rPr>
        <i/>
        <sz val="11"/>
        <rFont val="Calibri"/>
        <family val="2"/>
        <scheme val="minor"/>
      </rPr>
      <t xml:space="preserve">. Also </t>
    </r>
    <r>
      <rPr>
        <i/>
        <u/>
        <sz val="11"/>
        <rFont val="Calibri"/>
        <family val="2"/>
        <scheme val="minor"/>
      </rPr>
      <t xml:space="preserve">need to get best </t>
    </r>
    <r>
      <rPr>
        <b/>
        <i/>
        <u/>
        <sz val="11"/>
        <rFont val="Calibri"/>
        <family val="2"/>
        <scheme val="minor"/>
      </rPr>
      <t>estimate of H-O returns</t>
    </r>
    <r>
      <rPr>
        <i/>
        <u/>
        <sz val="11"/>
        <rFont val="Calibri"/>
        <family val="2"/>
        <scheme val="minor"/>
      </rPr>
      <t>, and adjust Wells counts down to de-bias N-O returns</t>
    </r>
    <r>
      <rPr>
        <i/>
        <sz val="11"/>
        <rFont val="Calibri"/>
        <family val="2"/>
        <scheme val="minor"/>
      </rPr>
      <t>. See Kari Alex hatchery data chart (though year and wells counts seem wrong.)</t>
    </r>
  </si>
  <si>
    <t>Version 22.11.23</t>
  </si>
  <si>
    <r>
      <rPr>
        <b/>
        <i/>
        <sz val="11"/>
        <color theme="4" tint="-0.249977111117893"/>
        <rFont val="Calibri"/>
        <family val="2"/>
        <scheme val="minor"/>
      </rPr>
      <t>Total Okanagan Sockeye adult returns (to the mouth of Columbia)</t>
    </r>
    <r>
      <rPr>
        <i/>
        <sz val="11"/>
        <color theme="4" tint="-0.249977111117893"/>
        <rFont val="Calibri"/>
        <family val="2"/>
        <scheme val="minor"/>
      </rPr>
      <t xml:space="preserve"> re-</t>
    </r>
    <r>
      <rPr>
        <b/>
        <i/>
        <sz val="11"/>
        <color theme="4" tint="-0.249977111117893"/>
        <rFont val="Calibri"/>
        <family val="2"/>
        <scheme val="minor"/>
      </rPr>
      <t>estimated</t>
    </r>
    <r>
      <rPr>
        <i/>
        <sz val="11"/>
        <color theme="4" tint="-0.249977111117893"/>
        <rFont val="Calibri"/>
        <family val="2"/>
        <scheme val="minor"/>
      </rPr>
      <t xml:space="preserve"> based on (1) </t>
    </r>
    <r>
      <rPr>
        <b/>
        <i/>
        <sz val="11"/>
        <color theme="4" tint="-0.249977111117893"/>
        <rFont val="Calibri"/>
        <family val="2"/>
        <scheme val="minor"/>
      </rPr>
      <t xml:space="preserve">Wells Dam counts </t>
    </r>
    <r>
      <rPr>
        <i/>
        <sz val="11"/>
        <color theme="4" tint="-0.249977111117893"/>
        <rFont val="Calibri"/>
        <family val="2"/>
        <scheme val="minor"/>
      </rPr>
      <t xml:space="preserve">(adjusted where necessary (i.e., pre-1998) to be 24-hr counts); (2) </t>
    </r>
    <r>
      <rPr>
        <b/>
        <i/>
        <sz val="11"/>
        <color theme="4" tint="-0.249977111117893"/>
        <rFont val="Calibri"/>
        <family val="2"/>
        <scheme val="minor"/>
      </rPr>
      <t>downstream harvest</t>
    </r>
    <r>
      <rPr>
        <i/>
        <sz val="11"/>
        <color theme="4" tint="-0.249977111117893"/>
        <rFont val="Calibri"/>
        <family val="2"/>
        <scheme val="minor"/>
      </rPr>
      <t xml:space="preserve"> below Wells (i.e., Zones 1-5 below Bonneville + Zone 6 Bonn-McNary) </t>
    </r>
    <r>
      <rPr>
        <b/>
        <i/>
        <sz val="11"/>
        <color theme="4" tint="-0.249977111117893"/>
        <rFont val="Calibri"/>
        <family val="2"/>
        <scheme val="minor"/>
      </rPr>
      <t>allocated to stock</t>
    </r>
    <r>
      <rPr>
        <i/>
        <sz val="11"/>
        <color theme="4" tint="-0.249977111117893"/>
        <rFont val="Calibri"/>
        <family val="2"/>
        <scheme val="minor"/>
      </rPr>
      <t xml:space="preserve"> via annual Wells:RockIsland count ratios; and (3) estimated </t>
    </r>
    <r>
      <rPr>
        <b/>
        <i/>
        <sz val="11"/>
        <color theme="4" tint="-0.249977111117893"/>
        <rFont val="Calibri"/>
        <family val="2"/>
        <scheme val="minor"/>
      </rPr>
      <t>mainstem natural mortality</t>
    </r>
    <r>
      <rPr>
        <i/>
        <sz val="11"/>
        <color theme="4" tint="-0.249977111117893"/>
        <rFont val="Calibri"/>
        <family val="2"/>
        <scheme val="minor"/>
      </rPr>
      <t xml:space="preserve"> between Bonneville (16-hr counts) and Wells 16-hr counts, also </t>
    </r>
    <r>
      <rPr>
        <b/>
        <i/>
        <sz val="11"/>
        <color theme="4" tint="-0.249977111117893"/>
        <rFont val="Calibri"/>
        <family val="2"/>
        <scheme val="minor"/>
      </rPr>
      <t>allocated to stock</t>
    </r>
    <r>
      <rPr>
        <i/>
        <sz val="11"/>
        <color theme="4" tint="-0.249977111117893"/>
        <rFont val="Calibri"/>
        <family val="2"/>
        <scheme val="minor"/>
      </rPr>
      <t xml:space="preserve"> via annual Wells:RockIsland count ratios [Colin Bailey 2022-11-22]</t>
    </r>
  </si>
  <si>
    <r>
      <rPr>
        <b/>
        <i/>
        <sz val="11"/>
        <color rgb="FF0070C0"/>
        <rFont val="Calibri"/>
        <family val="2"/>
        <scheme val="minor"/>
      </rPr>
      <t>SY2011, 2013, 2014</t>
    </r>
    <r>
      <rPr>
        <i/>
        <sz val="11"/>
        <color rgb="FF0070C0"/>
        <rFont val="Calibri"/>
        <family val="2"/>
        <scheme val="minor"/>
      </rPr>
      <t xml:space="preserve">: pre-smolt abundance index </t>
    </r>
    <r>
      <rPr>
        <b/>
        <i/>
        <sz val="11"/>
        <color rgb="FF0070C0"/>
        <rFont val="Calibri"/>
        <family val="2"/>
        <scheme val="minor"/>
      </rPr>
      <t>adjusted for hatchery releases into Osoyoos Lake</t>
    </r>
    <r>
      <rPr>
        <i/>
        <sz val="11"/>
        <color rgb="FF0070C0"/>
        <rFont val="Calibri"/>
        <family val="2"/>
        <scheme val="minor"/>
      </rPr>
      <t xml:space="preserve">, by deducting percentage of H-O fish found in final ATS survey from total limnetic fish abundance index (averaged over select fall-winter surveys based on expert opinion). Note that the actual value to deduct may change with ATS estimate updates in process but currently, </t>
    </r>
    <r>
      <rPr>
        <b/>
        <i/>
        <sz val="11"/>
        <color rgb="FF0070C0"/>
        <rFont val="Calibri"/>
        <family val="2"/>
        <scheme val="minor"/>
      </rPr>
      <t>103,693</t>
    </r>
    <r>
      <rPr>
        <i/>
        <sz val="11"/>
        <color rgb="FF0070C0"/>
        <rFont val="Calibri"/>
        <family val="2"/>
        <scheme val="minor"/>
      </rPr>
      <t xml:space="preserve"> fish are deducted from pre-smolts in SY2011; </t>
    </r>
    <r>
      <rPr>
        <b/>
        <i/>
        <sz val="11"/>
        <color rgb="FF0070C0"/>
        <rFont val="Calibri"/>
        <family val="2"/>
        <scheme val="minor"/>
      </rPr>
      <t>316,755</t>
    </r>
    <r>
      <rPr>
        <i/>
        <sz val="11"/>
        <color rgb="FF0070C0"/>
        <rFont val="Calibri"/>
        <family val="2"/>
        <scheme val="minor"/>
      </rPr>
      <t xml:space="preserve"> fish are deducted from pre-smolts in SY2013; </t>
    </r>
    <r>
      <rPr>
        <b/>
        <i/>
        <sz val="11"/>
        <color rgb="FF0070C0"/>
        <rFont val="Calibri"/>
        <family val="2"/>
        <scheme val="minor"/>
      </rPr>
      <t>71,446</t>
    </r>
    <r>
      <rPr>
        <i/>
        <sz val="11"/>
        <color rgb="FF0070C0"/>
        <rFont val="Calibri"/>
        <family val="2"/>
        <scheme val="minor"/>
      </rPr>
      <t xml:space="preserve"> fish are deducted from pre-smolts in SY2014 - More info in CNAT_nuOkanagan_Juveniles 22.11.21.xlsx [HS 2022-11-23]</t>
    </r>
  </si>
  <si>
    <t>Version 22.11.27</t>
  </si>
  <si>
    <r>
      <rPr>
        <b/>
        <i/>
        <sz val="11"/>
        <color rgb="FF0070C0"/>
        <rFont val="Calibri"/>
        <family val="2"/>
        <scheme val="minor"/>
      </rPr>
      <t>Adult Returns Data</t>
    </r>
    <r>
      <rPr>
        <i/>
        <sz val="11"/>
        <color rgb="FF0070C0"/>
        <rFont val="Calibri"/>
        <family val="2"/>
        <scheme val="minor"/>
      </rPr>
      <t xml:space="preserve"> tab - now age columns are formulas, calculating abundance at age from Total Returns and percent at age in </t>
    </r>
    <r>
      <rPr>
        <b/>
        <i/>
        <sz val="11"/>
        <color rgb="FF0070C0"/>
        <rFont val="Calibri"/>
        <family val="2"/>
        <scheme val="minor"/>
      </rPr>
      <t>Adult Age Composition 221126</t>
    </r>
    <r>
      <rPr>
        <i/>
        <sz val="11"/>
        <color rgb="FF0070C0"/>
        <rFont val="Calibri"/>
        <family val="2"/>
        <scheme val="minor"/>
      </rPr>
      <t xml:space="preserve"> tab, while CB refines age composition estimates for each year. [hs 2022-11-27]  </t>
    </r>
    <r>
      <rPr>
        <i/>
        <sz val="11"/>
        <color rgb="FFFF0000"/>
        <rFont val="Calibri"/>
        <family val="2"/>
        <scheme val="minor"/>
      </rPr>
      <t xml:space="preserve">Note that abundance at age formula now puts zeros into blank cells, as null characters introduce invalid values in adult estimates by smolt year in </t>
    </r>
    <r>
      <rPr>
        <b/>
        <i/>
        <sz val="11"/>
        <color rgb="FFFF0000"/>
        <rFont val="Calibri"/>
        <family val="2"/>
        <scheme val="minor"/>
      </rPr>
      <t>Smolt to Adult Survival</t>
    </r>
    <r>
      <rPr>
        <i/>
        <sz val="11"/>
        <color rgb="FFFF0000"/>
        <rFont val="Calibri"/>
        <family val="2"/>
        <scheme val="minor"/>
      </rPr>
      <t xml:space="preserve"> sheet</t>
    </r>
    <r>
      <rPr>
        <i/>
        <sz val="11"/>
        <color rgb="FF0070C0"/>
        <rFont val="Calibri"/>
        <family val="2"/>
        <scheme val="minor"/>
      </rPr>
      <t xml:space="preserve">. </t>
    </r>
    <r>
      <rPr>
        <b/>
        <i/>
        <sz val="11"/>
        <color rgb="FF0070C0"/>
        <rFont val="Calibri"/>
        <family val="2"/>
        <scheme val="minor"/>
      </rPr>
      <t>Adult Age Composition 221126</t>
    </r>
    <r>
      <rPr>
        <i/>
        <sz val="11"/>
        <color rgb="FF0070C0"/>
        <rFont val="Calibri"/>
        <family val="2"/>
        <scheme val="minor"/>
      </rPr>
      <t xml:space="preserve"> worksheet documents the rationalization of annual age composition estimates (work in progress: 22.12.31).</t>
    </r>
  </si>
  <si>
    <r>
      <rPr>
        <b/>
        <i/>
        <sz val="11"/>
        <color rgb="FF0070C0"/>
        <rFont val="Calibri"/>
        <family val="2"/>
        <scheme val="minor"/>
      </rPr>
      <t>Juvenile Data</t>
    </r>
    <r>
      <rPr>
        <i/>
        <sz val="11"/>
        <color rgb="FF0070C0"/>
        <rFont val="Calibri"/>
        <family val="2"/>
        <scheme val="minor"/>
      </rPr>
      <t xml:space="preserve"> tab - now age columns are formulas, calculationg abundance at age from annual total pre-smolt abundance index and percent at age based on FW ages of adult returns (calculated by SY in </t>
    </r>
    <r>
      <rPr>
        <b/>
        <i/>
        <sz val="11"/>
        <color rgb="FF0070C0"/>
        <rFont val="Calibri"/>
        <family val="2"/>
        <scheme val="minor"/>
      </rPr>
      <t>Annual</t>
    </r>
    <r>
      <rPr>
        <i/>
        <sz val="11"/>
        <color rgb="FF0070C0"/>
        <rFont val="Calibri"/>
        <family val="2"/>
        <scheme val="minor"/>
      </rPr>
      <t xml:space="preserve"> </t>
    </r>
    <r>
      <rPr>
        <b/>
        <i/>
        <sz val="11"/>
        <color rgb="FF0070C0"/>
        <rFont val="Calibri"/>
        <family val="2"/>
        <scheme val="minor"/>
      </rPr>
      <t>Returns by FW Age</t>
    </r>
    <r>
      <rPr>
        <i/>
        <sz val="11"/>
        <color rgb="FF0070C0"/>
        <rFont val="Calibri"/>
        <family val="2"/>
        <scheme val="minor"/>
      </rPr>
      <t xml:space="preserve"> tab). Preliminary pending access to actual smolt biosample age composition data [hs 2022-11-27]</t>
    </r>
  </si>
  <si>
    <t>Version 22.12.21</t>
  </si>
  <si>
    <r>
      <t xml:space="preserve">Some worksheets added for ancillary analyses (e.g., </t>
    </r>
    <r>
      <rPr>
        <b/>
        <i/>
        <sz val="11"/>
        <color rgb="FF0070C0"/>
        <rFont val="Calibri"/>
        <family val="2"/>
        <scheme val="minor"/>
      </rPr>
      <t>AUC Esc Data</t>
    </r>
    <r>
      <rPr>
        <i/>
        <sz val="11"/>
        <color rgb="FF0070C0"/>
        <rFont val="Calibri"/>
        <family val="2"/>
        <scheme val="minor"/>
      </rPr>
      <t xml:space="preserve">; </t>
    </r>
    <r>
      <rPr>
        <b/>
        <i/>
        <sz val="11"/>
        <color rgb="FF0070C0"/>
        <rFont val="Calibri"/>
        <family val="2"/>
        <scheme val="minor"/>
      </rPr>
      <t>Forecast 2023</t>
    </r>
    <r>
      <rPr>
        <i/>
        <sz val="11"/>
        <color rgb="FF0070C0"/>
        <rFont val="Calibri"/>
        <family val="2"/>
        <scheme val="minor"/>
      </rPr>
      <t>).</t>
    </r>
  </si>
  <si>
    <t>Version 22.12.31</t>
  </si>
  <si>
    <r>
      <t xml:space="preserve">Some worksheets added for ancillary analyses (e.g., </t>
    </r>
    <r>
      <rPr>
        <b/>
        <i/>
        <sz val="11"/>
        <color rgb="FF0070C0"/>
        <rFont val="Calibri"/>
        <family val="2"/>
        <scheme val="minor"/>
      </rPr>
      <t>Hatchery-Origin Returns</t>
    </r>
    <r>
      <rPr>
        <i/>
        <sz val="11"/>
        <color rgb="FF0070C0"/>
        <rFont val="Calibri"/>
        <family val="2"/>
        <scheme val="minor"/>
      </rPr>
      <t>).</t>
    </r>
  </si>
  <si>
    <t>Version 23.01.01</t>
  </si>
  <si>
    <r>
      <t xml:space="preserve">Total adult returns columns B and C in tab </t>
    </r>
    <r>
      <rPr>
        <b/>
        <i/>
        <sz val="11"/>
        <color rgb="FF0070C0"/>
        <rFont val="Calibri"/>
        <family val="2"/>
        <scheme val="minor"/>
      </rPr>
      <t>Adult Age Composition 221126</t>
    </r>
    <r>
      <rPr>
        <i/>
        <sz val="11"/>
        <color rgb="FF0070C0"/>
        <rFont val="Calibri"/>
        <family val="2"/>
        <scheme val="minor"/>
      </rPr>
      <t xml:space="preserve"> now adjusted for H-O returns by subtraction of Skaha estimates found in </t>
    </r>
    <r>
      <rPr>
        <b/>
        <i/>
        <sz val="11"/>
        <color rgb="FF0070C0"/>
        <rFont val="Calibri"/>
        <family val="2"/>
        <scheme val="minor"/>
      </rPr>
      <t>Hatchery-Origin Returns</t>
    </r>
    <r>
      <rPr>
        <i/>
        <sz val="11"/>
        <color rgb="FF0070C0"/>
        <rFont val="Calibri"/>
        <family val="2"/>
        <scheme val="minor"/>
      </rPr>
      <t xml:space="preserve"> tab. Skaha data only available since 2013. </t>
    </r>
    <r>
      <rPr>
        <i/>
        <sz val="11"/>
        <color rgb="FFFF0000"/>
        <rFont val="Calibri"/>
        <family val="2"/>
        <scheme val="minor"/>
      </rPr>
      <t>Skaha H-O numbers need to be QA/QC'd.</t>
    </r>
  </si>
  <si>
    <t>Version 23.01.10</t>
  </si>
  <si>
    <r>
      <rPr>
        <b/>
        <i/>
        <sz val="11"/>
        <color rgb="FF0070C0"/>
        <rFont val="Calibri"/>
        <family val="2"/>
        <scheme val="minor"/>
      </rPr>
      <t>ADULTS</t>
    </r>
    <r>
      <rPr>
        <i/>
        <sz val="11"/>
        <color rgb="FF0070C0"/>
        <rFont val="Calibri"/>
        <family val="2"/>
        <scheme val="minor"/>
      </rPr>
      <t xml:space="preserve">: Preliminary accounting for Skaha H-O returns derived from dead-pitch ratios of spawners in </t>
    </r>
    <r>
      <rPr>
        <i/>
        <sz val="11"/>
        <color rgb="FFFF0000"/>
        <rFont val="Calibri"/>
        <family val="2"/>
        <scheme val="minor"/>
      </rPr>
      <t>lower OkR (SEIS): 2008-2013, 2015, 2018, 2020 (provided by Colin Bailey). Some years still missing (2014, 2016-2017, 2021, 2022 --&gt; multi-year mean of 11.8% applied).</t>
    </r>
    <r>
      <rPr>
        <i/>
        <sz val="11"/>
        <color rgb="FF0070C0"/>
        <rFont val="Calibri"/>
        <family val="2"/>
        <scheme val="minor"/>
      </rPr>
      <t xml:space="preserve"> Additional H-O (Skaha) estimates from Penticton Channel (2013-2019) deducted from result (HS). </t>
    </r>
    <r>
      <rPr>
        <i/>
        <sz val="11"/>
        <color rgb="FFFF0000"/>
        <rFont val="Calibri"/>
        <family val="2"/>
        <scheme val="minor"/>
      </rPr>
      <t>Missing recent Pen Channel estimates (2020-2022).</t>
    </r>
    <r>
      <rPr>
        <i/>
        <sz val="11"/>
        <color rgb="FF0070C0"/>
        <rFont val="Calibri"/>
        <family val="2"/>
        <scheme val="minor"/>
      </rPr>
      <t xml:space="preserve"> See tab </t>
    </r>
    <r>
      <rPr>
        <b/>
        <i/>
        <sz val="11"/>
        <color rgb="FF0070C0"/>
        <rFont val="Calibri"/>
        <family val="2"/>
        <scheme val="minor"/>
      </rPr>
      <t>Hatchery-Origin Returns</t>
    </r>
    <r>
      <rPr>
        <i/>
        <sz val="11"/>
        <color rgb="FF0070C0"/>
        <rFont val="Calibri"/>
        <family val="2"/>
        <scheme val="minor"/>
      </rPr>
      <t xml:space="preserve"> for SEIS and Pen Channel data. See tab </t>
    </r>
    <r>
      <rPr>
        <b/>
        <i/>
        <sz val="11"/>
        <color rgb="FF0070C0"/>
        <rFont val="Calibri"/>
        <family val="2"/>
        <scheme val="minor"/>
      </rPr>
      <t>total sox below bonn csv for OSO returns estimates</t>
    </r>
    <r>
      <rPr>
        <i/>
        <sz val="11"/>
        <color rgb="FF0070C0"/>
        <rFont val="Calibri"/>
        <family val="2"/>
        <scheme val="minor"/>
      </rPr>
      <t xml:space="preserve"> from CB (corrected for SEIS dead-pitch ratios). These re-estimates were copied to </t>
    </r>
    <r>
      <rPr>
        <b/>
        <i/>
        <sz val="11"/>
        <color rgb="FF0070C0"/>
        <rFont val="Calibri"/>
        <family val="2"/>
        <scheme val="minor"/>
      </rPr>
      <t>Adult</t>
    </r>
    <r>
      <rPr>
        <i/>
        <sz val="11"/>
        <color rgb="FF0070C0"/>
        <rFont val="Calibri"/>
        <family val="2"/>
        <scheme val="minor"/>
      </rPr>
      <t xml:space="preserve"> </t>
    </r>
    <r>
      <rPr>
        <b/>
        <i/>
        <sz val="11"/>
        <color rgb="FF0070C0"/>
        <rFont val="Calibri"/>
        <family val="2"/>
        <scheme val="minor"/>
      </rPr>
      <t>Age Composition 221126</t>
    </r>
    <r>
      <rPr>
        <i/>
        <sz val="11"/>
        <color rgb="FF0070C0"/>
        <rFont val="Calibri"/>
        <family val="2"/>
        <scheme val="minor"/>
      </rPr>
      <t xml:space="preserve"> (from which Pen Channel estimates were deducted 2013-2019), which are currently formulaically referenced from tab </t>
    </r>
    <r>
      <rPr>
        <b/>
        <i/>
        <sz val="11"/>
        <color rgb="FF0070C0"/>
        <rFont val="Calibri"/>
        <family val="2"/>
        <scheme val="minor"/>
      </rPr>
      <t>SOCKEYE RETURNS DATA</t>
    </r>
    <r>
      <rPr>
        <i/>
        <sz val="11"/>
        <color rgb="FF0070C0"/>
        <rFont val="Calibri"/>
        <family val="2"/>
        <scheme val="minor"/>
      </rPr>
      <t xml:space="preserve">. </t>
    </r>
  </si>
  <si>
    <r>
      <rPr>
        <b/>
        <i/>
        <sz val="11"/>
        <color rgb="FF0070C0"/>
        <rFont val="Calibri"/>
        <family val="2"/>
        <scheme val="minor"/>
      </rPr>
      <t>ADULTS</t>
    </r>
    <r>
      <rPr>
        <i/>
        <sz val="11"/>
        <color rgb="FF0070C0"/>
        <rFont val="Calibri"/>
        <family val="2"/>
        <scheme val="minor"/>
      </rPr>
      <t xml:space="preserve">: Assessment of the best </t>
    </r>
    <r>
      <rPr>
        <b/>
        <i/>
        <sz val="11"/>
        <color rgb="FF0070C0"/>
        <rFont val="Calibri"/>
        <family val="2"/>
        <scheme val="minor"/>
      </rPr>
      <t>method of adult age composition</t>
    </r>
    <r>
      <rPr>
        <i/>
        <sz val="11"/>
        <color rgb="FF0070C0"/>
        <rFont val="Calibri"/>
        <family val="2"/>
        <scheme val="minor"/>
      </rPr>
      <t xml:space="preserve"> continues… Age comp source data vary between years, from spawning ground biosamples, dead-pitch, and/or PIT tag data.</t>
    </r>
    <r>
      <rPr>
        <i/>
        <sz val="11"/>
        <color rgb="FFFF0000"/>
        <rFont val="Calibri"/>
        <family val="2"/>
        <scheme val="minor"/>
      </rPr>
      <t xml:space="preserve"> CB has performed a once-through evaluation of best source of annual age composition - see tab </t>
    </r>
    <r>
      <rPr>
        <b/>
        <i/>
        <sz val="11"/>
        <color rgb="FFFF0000"/>
        <rFont val="Calibri"/>
        <family val="2"/>
        <scheme val="minor"/>
      </rPr>
      <t>Adult Age Composition 2221126</t>
    </r>
    <r>
      <rPr>
        <i/>
        <sz val="11"/>
        <color rgb="FFFF0000"/>
        <rFont val="Calibri"/>
        <family val="2"/>
        <scheme val="minor"/>
      </rPr>
      <t xml:space="preserve"> - but not yet fully ratified by HS. Currently, CB's new N-O Sockeye adult returns estimates and age composition percents in tab Adult Age Composition 2221126 are being used to populate tab </t>
    </r>
    <r>
      <rPr>
        <b/>
        <i/>
        <sz val="11"/>
        <color rgb="FFFF0000"/>
        <rFont val="Calibri"/>
        <family val="2"/>
        <scheme val="minor"/>
      </rPr>
      <t>Adult Returns Data</t>
    </r>
    <r>
      <rPr>
        <i/>
        <sz val="11"/>
        <color rgb="FFFF0000"/>
        <rFont val="Calibri"/>
        <family val="2"/>
        <scheme val="minor"/>
      </rPr>
      <t xml:space="preserve"> [2023-01-10]. </t>
    </r>
    <r>
      <rPr>
        <b/>
        <i/>
        <sz val="11"/>
        <color rgb="FFFF0000"/>
        <rFont val="Calibri"/>
        <family val="2"/>
        <scheme val="minor"/>
      </rPr>
      <t>Ratification of annual age composition estimates continues</t>
    </r>
    <r>
      <rPr>
        <i/>
        <sz val="11"/>
        <color rgb="FFFF0000"/>
        <rFont val="Calibri"/>
        <family val="2"/>
        <scheme val="minor"/>
      </rPr>
      <t xml:space="preserve">. </t>
    </r>
  </si>
  <si>
    <t>Version 23.01.30</t>
  </si>
  <si>
    <r>
      <rPr>
        <b/>
        <i/>
        <sz val="11"/>
        <color rgb="FF0070C0"/>
        <rFont val="Calibri"/>
        <family val="2"/>
        <scheme val="minor"/>
      </rPr>
      <t>ADULTS</t>
    </r>
    <r>
      <rPr>
        <i/>
        <sz val="11"/>
        <color rgb="FF0070C0"/>
        <rFont val="Calibri"/>
        <family val="2"/>
        <scheme val="minor"/>
      </rPr>
      <t xml:space="preserve">: Stock Composition - Incorporating </t>
    </r>
    <r>
      <rPr>
        <b/>
        <i/>
        <sz val="11"/>
        <color rgb="FF0070C0"/>
        <rFont val="Calibri"/>
        <family val="2"/>
        <scheme val="minor"/>
      </rPr>
      <t>RRH : RI</t>
    </r>
    <r>
      <rPr>
        <i/>
        <sz val="11"/>
        <color rgb="FF0070C0"/>
        <rFont val="Calibri"/>
        <family val="2"/>
        <scheme val="minor"/>
      </rPr>
      <t xml:space="preserve"> </t>
    </r>
    <r>
      <rPr>
        <b/>
        <i/>
        <sz val="11"/>
        <color rgb="FF0070C0"/>
        <rFont val="Calibri"/>
        <family val="2"/>
        <scheme val="minor"/>
      </rPr>
      <t>dam count ratio</t>
    </r>
    <r>
      <rPr>
        <i/>
        <sz val="11"/>
        <color rgb="FF0070C0"/>
        <rFont val="Calibri"/>
        <family val="2"/>
        <scheme val="minor"/>
      </rPr>
      <t xml:space="preserve"> (preferred by WDFW), instead of </t>
    </r>
    <r>
      <rPr>
        <b/>
        <i/>
        <sz val="11"/>
        <color rgb="FF0070C0"/>
        <rFont val="Calibri"/>
        <family val="2"/>
        <scheme val="minor"/>
      </rPr>
      <t>WELLS : RI ratio</t>
    </r>
    <r>
      <rPr>
        <i/>
        <sz val="11"/>
        <color rgb="FF0070C0"/>
        <rFont val="Calibri"/>
        <family val="2"/>
        <scheme val="minor"/>
      </rPr>
      <t xml:space="preserve">, for OKA/WEN stock composition analysis. However, RRH also has years where only 16-hr count data are available online (apparently up to 1993; pers. comm. Catherine Willard, Chelan PUD Biologist). </t>
    </r>
    <r>
      <rPr>
        <i/>
        <sz val="11"/>
        <color rgb="FFFF0000"/>
        <rFont val="Calibri"/>
        <family val="2"/>
        <scheme val="minor"/>
      </rPr>
      <t>Currently awaiting hourly counts for RRH for workup of expansion factor for pre-1993 years from CW; in the meantime, using maximum of RI-16hr x 1.132 factor (same as WELLS) pre1994 or WELLS count, whichever is larger, and MAX(RI24,WELLS24) for 1994-end.</t>
    </r>
    <r>
      <rPr>
        <i/>
        <sz val="11"/>
        <color rgb="FF0070C0"/>
        <rFont val="Calibri"/>
        <family val="2"/>
        <scheme val="minor"/>
      </rPr>
      <t xml:space="preserve">  MAX is used because Wells must be &lt; RI.</t>
    </r>
    <r>
      <rPr>
        <i/>
        <sz val="11"/>
        <color rgb="FFFF0000"/>
        <rFont val="Calibri"/>
        <family val="2"/>
        <scheme val="minor"/>
      </rPr>
      <t xml:space="preserve"> </t>
    </r>
  </si>
  <si>
    <r>
      <t xml:space="preserve">Bonneville Dam counts. Some years of 24-hr counts found at FPC.org, which can be used to expand all Bonneville annual dam counts (16-hr counts), approximately 3.9%. See tab </t>
    </r>
    <r>
      <rPr>
        <b/>
        <i/>
        <sz val="11"/>
        <color rgb="FF0070C0"/>
        <rFont val="Calibri"/>
        <family val="2"/>
        <scheme val="minor"/>
      </rPr>
      <t>BON Count Adjustments</t>
    </r>
    <r>
      <rPr>
        <i/>
        <sz val="11"/>
        <color rgb="FF0070C0"/>
        <rFont val="Calibri"/>
        <family val="2"/>
        <scheme val="minor"/>
      </rPr>
      <t xml:space="preserve"> for 16-to-24 hour count data workups, and lookup table for columns in </t>
    </r>
    <r>
      <rPr>
        <b/>
        <i/>
        <sz val="11"/>
        <color rgb="FF0070C0"/>
        <rFont val="Calibri"/>
        <family val="2"/>
        <scheme val="minor"/>
      </rPr>
      <t>Sockeye Returns Data</t>
    </r>
    <r>
      <rPr>
        <i/>
        <sz val="11"/>
        <color rgb="FF0070C0"/>
        <rFont val="Calibri"/>
        <family val="2"/>
        <scheme val="minor"/>
      </rPr>
      <t xml:space="preserve"> tab.</t>
    </r>
  </si>
  <si>
    <t>Version 23.02.01</t>
  </si>
  <si>
    <r>
      <rPr>
        <b/>
        <i/>
        <sz val="11"/>
        <color rgb="FF0070C0"/>
        <rFont val="Calibri"/>
        <family val="2"/>
        <scheme val="minor"/>
      </rPr>
      <t>ADULTS</t>
    </r>
    <r>
      <rPr>
        <i/>
        <sz val="11"/>
        <color rgb="FF0070C0"/>
        <rFont val="Calibri"/>
        <family val="2"/>
        <scheme val="minor"/>
      </rPr>
      <t xml:space="preserve">: Flagged years 2014, 2016, 2017, 2019, 2021 and 2022 in SKAHA returns estimates in tab SOCKEYE RETURNS DATA with </t>
    </r>
    <r>
      <rPr>
        <i/>
        <sz val="11"/>
        <color rgb="FFC00000"/>
        <rFont val="Calibri"/>
        <family val="2"/>
        <scheme val="minor"/>
      </rPr>
      <t>warning: multi-year average %Skaha applied</t>
    </r>
    <r>
      <rPr>
        <i/>
        <sz val="11"/>
        <color rgb="FF0070C0"/>
        <rFont val="Calibri"/>
        <family val="2"/>
        <scheme val="minor"/>
      </rPr>
      <t>.</t>
    </r>
  </si>
  <si>
    <r>
      <rPr>
        <b/>
        <i/>
        <sz val="11"/>
        <color rgb="FF0070C0"/>
        <rFont val="Calibri"/>
        <family val="2"/>
        <scheme val="minor"/>
      </rPr>
      <t>ADULTS</t>
    </r>
    <r>
      <rPr>
        <i/>
        <sz val="11"/>
        <color rgb="FF0070C0"/>
        <rFont val="Calibri"/>
        <family val="2"/>
        <scheme val="minor"/>
      </rPr>
      <t>: Braden assembling available data on Shingle Creek (Pen Channel tributary) Skaha and Kokanee spawner data - not yet incorporated into deductions from dam counts. Labelle et al. 2021 describe alternative Max Likelihood methods of estimating spawner abundances in Pen Channel - AO, MMS, HS attempting to reconcile with Hyatt unpub AUC estimates [2023-02-01]</t>
    </r>
  </si>
  <si>
    <t>Version 23.02.02/03/04</t>
  </si>
  <si>
    <r>
      <rPr>
        <b/>
        <i/>
        <sz val="11"/>
        <color rgb="FF0070C0"/>
        <rFont val="Calibri"/>
        <family val="2"/>
        <scheme val="minor"/>
      </rPr>
      <t>ADULTS</t>
    </r>
    <r>
      <rPr>
        <i/>
        <sz val="11"/>
        <color rgb="FF0070C0"/>
        <rFont val="Calibri"/>
        <family val="2"/>
        <scheme val="minor"/>
      </rPr>
      <t>: Stock Composition - Based on multi-year average of 12% of migrants occurring overnight during 16-hr count years (pers. comm. C. Willard), now adjusting RRH dam counts 1977-1993 as RRH-24hr = MAX(RRH-16hr * 1.12, WELLS-24hr). --- MAX is used since RRH-24hr must be &gt; WELLS-24hr.</t>
    </r>
  </si>
  <si>
    <r>
      <rPr>
        <b/>
        <i/>
        <sz val="11"/>
        <color rgb="FF0070C0"/>
        <rFont val="Calibri"/>
        <family val="2"/>
        <scheme val="minor"/>
      </rPr>
      <t>ADULTS</t>
    </r>
    <r>
      <rPr>
        <i/>
        <sz val="11"/>
        <color rgb="FF0070C0"/>
        <rFont val="Calibri"/>
        <family val="2"/>
        <scheme val="minor"/>
      </rPr>
      <t xml:space="preserve">: Refinements to estimated </t>
    </r>
    <r>
      <rPr>
        <b/>
        <i/>
        <sz val="11"/>
        <color rgb="FF0070C0"/>
        <rFont val="Calibri"/>
        <family val="2"/>
        <scheme val="minor"/>
      </rPr>
      <t>Skaha proportion of Sockeye in Ok River</t>
    </r>
    <r>
      <rPr>
        <i/>
        <sz val="11"/>
        <color rgb="FF0070C0"/>
        <rFont val="Calibri"/>
        <family val="2"/>
        <scheme val="minor"/>
      </rPr>
      <t xml:space="preserve"> (SEIS and ChanSection) and Skaha Sockeye escapement estimates in </t>
    </r>
    <r>
      <rPr>
        <b/>
        <i/>
        <sz val="11"/>
        <color rgb="FF0070C0"/>
        <rFont val="Calibri"/>
        <family val="2"/>
        <scheme val="minor"/>
      </rPr>
      <t>Pen Channel/Shingle Creek</t>
    </r>
  </si>
  <si>
    <t>Version 23.02.04</t>
  </si>
  <si>
    <r>
      <rPr>
        <b/>
        <i/>
        <sz val="11"/>
        <color rgb="FF0070C0"/>
        <rFont val="Calibri"/>
        <family val="2"/>
        <scheme val="minor"/>
      </rPr>
      <t>JUVENILES</t>
    </r>
    <r>
      <rPr>
        <i/>
        <sz val="11"/>
        <color rgb="FF0070C0"/>
        <rFont val="Calibri"/>
        <family val="2"/>
        <scheme val="minor"/>
      </rPr>
      <t xml:space="preserve"> - Hatchery releases summarized by lake and year in </t>
    </r>
    <r>
      <rPr>
        <b/>
        <i/>
        <sz val="11"/>
        <color rgb="FF0070C0"/>
        <rFont val="Calibri"/>
        <family val="2"/>
        <scheme val="minor"/>
      </rPr>
      <t>HATCHERY RELEASES PIVOT</t>
    </r>
    <r>
      <rPr>
        <i/>
        <sz val="11"/>
        <color rgb="FF0070C0"/>
        <rFont val="Calibri"/>
        <family val="2"/>
        <scheme val="minor"/>
      </rPr>
      <t>. Note: Hatchery releases experience mortality from release to presmolt, so presmolt deduction estimates are &lt;&lt; hatchery release numbers.</t>
    </r>
  </si>
  <si>
    <r>
      <rPr>
        <b/>
        <i/>
        <sz val="11"/>
        <color rgb="FF0070C0"/>
        <rFont val="Calibri"/>
        <family val="2"/>
        <scheme val="minor"/>
      </rPr>
      <t>JUVENILES</t>
    </r>
    <r>
      <rPr>
        <i/>
        <sz val="11"/>
        <color rgb="FF0070C0"/>
        <rFont val="Calibri"/>
        <family val="2"/>
        <scheme val="minor"/>
      </rPr>
      <t xml:space="preserve"> - Added new column in JUVENILE DATA for </t>
    </r>
    <r>
      <rPr>
        <b/>
        <i/>
        <sz val="11"/>
        <color rgb="FF0070C0"/>
        <rFont val="Calibri"/>
        <family val="2"/>
        <scheme val="minor"/>
      </rPr>
      <t>Hatchery Release Survivors in Osoyoos Lake</t>
    </r>
    <r>
      <rPr>
        <i/>
        <sz val="11"/>
        <color rgb="FF0070C0"/>
        <rFont val="Calibri"/>
        <family val="2"/>
        <scheme val="minor"/>
      </rPr>
      <t xml:space="preserve">. H-O survivors from hatchery releases outmigrating in SY 2011, 2013, 2014 are now </t>
    </r>
    <r>
      <rPr>
        <b/>
        <i/>
        <u/>
        <sz val="11"/>
        <color rgb="FF0070C0"/>
        <rFont val="Calibri"/>
        <family val="2"/>
        <scheme val="minor"/>
      </rPr>
      <t>optionally</t>
    </r>
    <r>
      <rPr>
        <b/>
        <i/>
        <sz val="11"/>
        <color rgb="FF0070C0"/>
        <rFont val="Calibri"/>
        <family val="2"/>
        <scheme val="minor"/>
      </rPr>
      <t xml:space="preserve"> deductible from annual presmolt estimates</t>
    </r>
    <r>
      <rPr>
        <i/>
        <sz val="11"/>
        <color rgb="FF0070C0"/>
        <rFont val="Calibri"/>
        <family val="2"/>
        <scheme val="minor"/>
      </rPr>
      <t>. See cell "</t>
    </r>
    <r>
      <rPr>
        <b/>
        <i/>
        <sz val="11"/>
        <color rgb="FF0070C0"/>
        <rFont val="Calibri"/>
        <family val="2"/>
        <scheme val="minor"/>
      </rPr>
      <t>Deduct_Hatchery_Survivors</t>
    </r>
    <r>
      <rPr>
        <i/>
        <sz val="11"/>
        <color rgb="FF0070C0"/>
        <rFont val="Calibri"/>
        <family val="2"/>
        <scheme val="minor"/>
      </rPr>
      <t xml:space="preserve">" (Juvenile Data!AD59). </t>
    </r>
    <r>
      <rPr>
        <b/>
        <i/>
        <sz val="11"/>
        <color rgb="FF0070C0"/>
        <rFont val="Calibri"/>
        <family val="2"/>
        <scheme val="minor"/>
      </rPr>
      <t>Setting toggle to zero</t>
    </r>
    <r>
      <rPr>
        <i/>
        <sz val="11"/>
        <color rgb="FF0070C0"/>
        <rFont val="Calibri"/>
        <family val="2"/>
        <scheme val="minor"/>
      </rPr>
      <t xml:space="preserve"> eliminates deduction of H-O survivors from annual presmolt abundance estimate (which is actually based on Total Limnetic Fish abundance), and thus alleviates slight +ve bias in Survival when H-O fish are deducted from (presmolts) denominator but H-O adults can't be differentiated in adult returns numerator. </t>
    </r>
    <r>
      <rPr>
        <b/>
        <i/>
        <sz val="11"/>
        <color rgb="FF0070C0"/>
        <rFont val="Calibri"/>
        <family val="2"/>
        <scheme val="minor"/>
      </rPr>
      <t>Setting toggle to 1 (default)</t>
    </r>
    <r>
      <rPr>
        <i/>
        <sz val="11"/>
        <color rgb="FF0070C0"/>
        <rFont val="Calibri"/>
        <family val="2"/>
        <scheme val="minor"/>
      </rPr>
      <t xml:space="preserve"> deducts H-O survivors from annual presmolts before calculation of SAR. (</t>
    </r>
    <r>
      <rPr>
        <b/>
        <i/>
        <sz val="11"/>
        <color rgb="FF0070C0"/>
        <rFont val="Calibri"/>
        <family val="2"/>
        <scheme val="minor"/>
      </rPr>
      <t>Note: this only affects SAR for SY 2011, 2013, and 2014.</t>
    </r>
    <r>
      <rPr>
        <i/>
        <sz val="11"/>
        <color rgb="FF0070C0"/>
        <rFont val="Calibri"/>
        <family val="2"/>
        <scheme val="minor"/>
      </rPr>
      <t>)</t>
    </r>
  </si>
  <si>
    <t>Version 23.02.11</t>
  </si>
  <si>
    <r>
      <rPr>
        <b/>
        <i/>
        <sz val="11"/>
        <color rgb="FF0070C0"/>
        <rFont val="Calibri"/>
        <family val="2"/>
        <scheme val="minor"/>
      </rPr>
      <t>ADULTS</t>
    </r>
    <r>
      <rPr>
        <i/>
        <sz val="11"/>
        <color rgb="FF0070C0"/>
        <rFont val="Calibri"/>
        <family val="2"/>
        <scheme val="minor"/>
      </rPr>
      <t xml:space="preserve"> - Total Redfish Sockeye returns estimates deducted from total Sockeye returns estimates to BONN - just to account for them. No significant effect on OKA or WEN returns estimates.</t>
    </r>
  </si>
  <si>
    <t>Version 23.02.12</t>
  </si>
  <si>
    <r>
      <rPr>
        <b/>
        <i/>
        <sz val="11"/>
        <color rgb="FF0070C0"/>
        <rFont val="Calibri"/>
        <family val="2"/>
        <scheme val="minor"/>
      </rPr>
      <t>ADULTS</t>
    </r>
    <r>
      <rPr>
        <i/>
        <sz val="11"/>
        <color rgb="FF0070C0"/>
        <rFont val="Calibri"/>
        <family val="2"/>
        <scheme val="minor"/>
      </rPr>
      <t xml:space="preserve"> - Improvements to estimated SKAHA contributions on the spawning grounds. Proportion of SKAHA fish to TOTAL SOCKEYE on the spawning grounds is used to apportion OKANAGAN-bound Sockeye returns estimates (based on mainstem dam counts) to N-O OSOYOOS and H-O SKAHA Sockeye sub-stocks (see tab SOCKEYE RETURNS DATA). The resulting OSO Sockeye returns by Return Year is formulaically copied into ADULT RETURNS DATA, and rotated to Smolt Year in SMOLT TO ADULT SURVIVAL tab. </t>
    </r>
  </si>
  <si>
    <t>Version 23.02.23</t>
  </si>
  <si>
    <r>
      <rPr>
        <b/>
        <i/>
        <sz val="11"/>
        <color rgb="FF0070C0"/>
        <rFont val="Calibri"/>
        <family val="2"/>
        <scheme val="minor"/>
      </rPr>
      <t>ADULTS</t>
    </r>
    <r>
      <rPr>
        <i/>
        <sz val="11"/>
        <color rgb="FF0070C0"/>
        <rFont val="Calibri"/>
        <family val="2"/>
        <scheme val="minor"/>
      </rPr>
      <t xml:space="preserve"> - Improvements to estimated SKAHA contributions on the spawning grounds. MINOR changes to %SKA on spawning ground (based on proper assignment of proportions NO:HO in the middle OK RIver (Skaha Section). The resulting OSO Sockeye returns by Return Year is formulaically copied into ADULT RETURNS DATA, and rotated to Smolt Year in SMOLT TO ADULT SURVIVAL tab. </t>
    </r>
  </si>
  <si>
    <t>Version 23.02.28</t>
  </si>
  <si>
    <r>
      <rPr>
        <b/>
        <i/>
        <sz val="11"/>
        <color rgb="FF0070C0"/>
        <rFont val="Calibri"/>
        <family val="2"/>
        <scheme val="minor"/>
      </rPr>
      <t xml:space="preserve">ADULTS - </t>
    </r>
    <r>
      <rPr>
        <i/>
        <sz val="11"/>
        <color rgb="FF0070C0"/>
        <rFont val="Calibri"/>
        <family val="2"/>
        <scheme val="minor"/>
      </rPr>
      <t xml:space="preserve">updates to mid-Columbia Recreational harvest (2004-2022) based on annual reports provided by Catherine Willard (Chelan PUD) and/or Ryan Fortier (WDFW). Mid-CR Recfish data compiled in file </t>
    </r>
    <r>
      <rPr>
        <b/>
        <i/>
        <sz val="11"/>
        <color rgb="FF0070C0"/>
        <rFont val="Calibri"/>
        <family val="2"/>
        <scheme val="minor"/>
      </rPr>
      <t>Mid-Columbia RecFish Harvest Estimates 23.03.08.xlsx</t>
    </r>
    <r>
      <rPr>
        <i/>
        <sz val="11"/>
        <color rgb="FF0070C0"/>
        <rFont val="Calibri"/>
        <family val="2"/>
        <scheme val="minor"/>
      </rPr>
      <t>.</t>
    </r>
  </si>
  <si>
    <t>Version 23.04.21</t>
  </si>
  <si>
    <r>
      <rPr>
        <b/>
        <i/>
        <sz val="11"/>
        <color rgb="FF0070C0"/>
        <rFont val="Calibri"/>
        <family val="2"/>
        <scheme val="minor"/>
      </rPr>
      <t xml:space="preserve">ADULTS - </t>
    </r>
    <r>
      <rPr>
        <i/>
        <sz val="11"/>
        <color rgb="FF0070C0"/>
        <rFont val="Calibri"/>
        <family val="2"/>
        <scheme val="minor"/>
      </rPr>
      <t>adjusted adult returns estimates for RY 1995, 1999, 2007 to adjust for apparent negative mortality between BON and RIS dams, by adding the multi-year (long-term) average of 13% nat. mortality to BON 16-hr COUNTS column.  See tab CHECK for results (&lt;0.5% increase in SAR for associated Smolt Years (1992-1994, 1997-1998, 2003-2006).</t>
    </r>
  </si>
  <si>
    <t>Version 23.04.23</t>
  </si>
  <si>
    <r>
      <rPr>
        <b/>
        <i/>
        <sz val="11"/>
        <color rgb="FF0070C0"/>
        <rFont val="Calibri"/>
        <family val="2"/>
        <scheme val="minor"/>
      </rPr>
      <t>ADULTS</t>
    </r>
    <r>
      <rPr>
        <i/>
        <sz val="11"/>
        <color rgb="FF0070C0"/>
        <rFont val="Calibri"/>
        <family val="2"/>
        <scheme val="minor"/>
      </rPr>
      <t xml:space="preserve"> - fix in 23.04.21 for RY 1995, 1999, 2007 to adjust for apparent negative mortality between BON and RIS dams, by optionally DEDUCTING the multi-year (long-term) average of 13% nat. mortality from RIS dam counts column (presuming fall-back at RIS is the problem).  Still poses problems for 2007, since RIS-13% &lt; RRH, and so WEN% --&gt; 0</t>
    </r>
  </si>
  <si>
    <t>Version 23.05.25</t>
  </si>
  <si>
    <r>
      <rPr>
        <b/>
        <i/>
        <sz val="11"/>
        <color rgb="FF0070C0"/>
        <rFont val="Calibri"/>
        <family val="2"/>
        <scheme val="minor"/>
      </rPr>
      <t>ADULTS</t>
    </r>
    <r>
      <rPr>
        <i/>
        <sz val="11"/>
        <color rgb="FF0070C0"/>
        <rFont val="Calibri"/>
        <family val="2"/>
        <scheme val="minor"/>
      </rPr>
      <t xml:space="preserve"> - revisions to spawning ground OSO:SKA ratios; updated values in Components 1-5 (Colin Bailey) from R-program to derive OSO 'recruitment' to mouth of CR.</t>
    </r>
  </si>
  <si>
    <t>Next steps…</t>
  </si>
  <si>
    <r>
      <rPr>
        <b/>
        <i/>
        <sz val="11"/>
        <color rgb="FFFF0000"/>
        <rFont val="Calibri"/>
        <family val="2"/>
        <scheme val="minor"/>
      </rPr>
      <t>JUVENILES</t>
    </r>
    <r>
      <rPr>
        <i/>
        <sz val="11"/>
        <color rgb="FFFF0000"/>
        <rFont val="Calibri"/>
        <family val="2"/>
        <scheme val="minor"/>
      </rPr>
      <t>: Re-estimate pre-1998 ATS Equivalents (BJ, HS, CB). BJ is working on this, developing novel relationship between McNary smolt index and annual N-O ATS data. Once completed, juvenile production for smolt years 1985-1997 will be re-estimated.</t>
    </r>
  </si>
  <si>
    <t>Version 23.09.01</t>
  </si>
  <si>
    <r>
      <t xml:space="preserve">JUVENILES - </t>
    </r>
    <r>
      <rPr>
        <i/>
        <sz val="11"/>
        <color rgb="FF0070C0"/>
        <rFont val="Calibri"/>
        <family val="2"/>
        <scheme val="minor"/>
      </rPr>
      <t>examination of the data used (McNary smolt indices) and regression methods employed to generate the SY1985-1997 juvenile abundance estimates (aka ATS Equivalents; pers. comm. M. Stockwell 201x) indicates low reliability based on comparison of predictive estimates with observed ATS estimates. Annual ATS EQ values 1985-1997 therefore have been deleted, along with any 'marine survival' estimates that depended on them.</t>
    </r>
  </si>
  <si>
    <t>Version 24.02.12</t>
  </si>
  <si>
    <r>
      <t xml:space="preserve">ADULTS - </t>
    </r>
    <r>
      <rPr>
        <i/>
        <sz val="11"/>
        <color rgb="FF0070C0"/>
        <rFont val="Calibri"/>
        <family val="2"/>
        <scheme val="minor"/>
      </rPr>
      <t>dam counts and age composition brought up to date (RY2023)</t>
    </r>
    <r>
      <rPr>
        <b/>
        <i/>
        <sz val="11"/>
        <color rgb="FF0070C0"/>
        <rFont val="Calibri"/>
        <family val="2"/>
        <scheme val="minor"/>
      </rPr>
      <t xml:space="preserve"> - </t>
    </r>
    <r>
      <rPr>
        <b/>
        <i/>
        <sz val="11"/>
        <color rgb="FFFF0000"/>
        <rFont val="Calibri"/>
        <family val="2"/>
        <scheme val="minor"/>
      </rPr>
      <t>may need to review age composition for previous years against AO's deadpitch results [2024-03-23</t>
    </r>
    <r>
      <rPr>
        <b/>
        <i/>
        <sz val="11"/>
        <color rgb="FF0070C0"/>
        <rFont val="Calibri"/>
        <family val="2"/>
        <scheme val="minor"/>
      </rPr>
      <t>]</t>
    </r>
  </si>
  <si>
    <t xml:space="preserve">Use this sheet to (optionally) record any reports and source data file names and locations for easy future reference. </t>
  </si>
  <si>
    <t>SHORT REFERENCE</t>
  </si>
  <si>
    <t>FULL REFERENCE</t>
  </si>
  <si>
    <t>Source Data Files</t>
  </si>
  <si>
    <t>FILENAME and LOCATION</t>
  </si>
  <si>
    <t>Bailey et al. 2023</t>
  </si>
  <si>
    <r>
      <t xml:space="preserve">Bailey, C.J., H. Stiff, B. Judson, and A.D. Ogden. 2023. </t>
    </r>
    <r>
      <rPr>
        <b/>
        <sz val="11"/>
        <rFont val="Calibri"/>
        <family val="2"/>
        <scheme val="minor"/>
      </rPr>
      <t>Osoyoos Lake Sockeye Salmon (Oncorhynchus nerka) recruit abundance, adult age composition, and marine survival (1985-2019).</t>
    </r>
    <r>
      <rPr>
        <sz val="11"/>
        <rFont val="Calibri"/>
        <family val="2"/>
        <scheme val="minor"/>
      </rPr>
      <t xml:space="preserve"> Can. Manuscr. Rep. Fish. Aquat. Sci. xxxx: yyy + zz p. </t>
    </r>
    <r>
      <rPr>
        <b/>
        <sz val="11"/>
        <rFont val="Calibri"/>
        <family val="2"/>
        <scheme val="minor"/>
      </rPr>
      <t>ABSTRACT</t>
    </r>
    <r>
      <rPr>
        <sz val="11"/>
        <rFont val="Calibri"/>
        <family val="2"/>
        <scheme val="minor"/>
      </rPr>
      <t xml:space="preserve">: </t>
    </r>
    <r>
      <rPr>
        <i/>
        <sz val="11"/>
        <rFont val="Calibri"/>
        <family val="2"/>
        <scheme val="minor"/>
      </rPr>
      <t>This report presents historical Osoyoos adult Sockeye Salmon recruit abundance, age-composition, and marine survival data from 1985-2019. Data sets were acquired and validated from a variety of sources including Sockeye Salmon abundance estimates from several mainstem Columbia River dams from CBR-DART , age composition and abundances from spawner enumerations and dead pitch surveys conducted by the Okanagan Nation Alliance (ONA), paired PIT-tagging and scale-sampling by the Columbia River Inter-Tribal Fish Commission, and Sockeye pre-smolt abundances from existing and forthcoming Fisheries and Oceans Canada data reports. These data were collectively used to estimate adult Sockeye recruit abundance and age composition below Bonneville Dam, and marine survival from Osoyoos Lake pre-smolts to adults returning below Bonneville Dam.</t>
    </r>
  </si>
  <si>
    <t>JUVENILE DATA</t>
  </si>
  <si>
    <t>Hyatt &amp; Rankin 1999</t>
  </si>
  <si>
    <r>
      <t xml:space="preserve">Hyatt, K. D. and D. P. Rankin. 1999. </t>
    </r>
    <r>
      <rPr>
        <b/>
        <sz val="11"/>
        <color theme="1"/>
        <rFont val="Calibri"/>
        <family val="2"/>
        <scheme val="minor"/>
      </rPr>
      <t>A Habitat Based Evaluation of Okanagan Sockeye Salmon Escapement Objectives</t>
    </r>
    <r>
      <rPr>
        <sz val="11"/>
        <color theme="1"/>
        <rFont val="Calibri"/>
        <family val="2"/>
        <scheme val="minor"/>
      </rPr>
      <t>. CSAS 99/01 https://waves-vagues.dfo-mpo.gc.ca/Library/244185.pdf</t>
    </r>
  </si>
  <si>
    <r>
      <rPr>
        <b/>
        <sz val="11"/>
        <color theme="1"/>
        <rFont val="Calibri"/>
        <family val="2"/>
        <scheme val="minor"/>
      </rPr>
      <t>Smolt production</t>
    </r>
    <r>
      <rPr>
        <sz val="11"/>
        <color theme="1"/>
        <rFont val="Calibri"/>
        <family val="2"/>
        <scheme val="minor"/>
      </rPr>
      <t>: Total annual pre-smolts from CNAT_nuOkanagan_Juveniles 21.12.10.xlsx</t>
    </r>
  </si>
  <si>
    <t>Hyatt et al. 2018</t>
  </si>
  <si>
    <r>
      <t xml:space="preserve">Hyatt, K. D., D. J. McQueen, and A. D. Ogden. 2018. </t>
    </r>
    <r>
      <rPr>
        <b/>
        <sz val="11"/>
        <color theme="1"/>
        <rFont val="Calibri"/>
        <family val="2"/>
        <scheme val="minor"/>
      </rPr>
      <t>Have invasive mysids (Mysis diluviana) altered the capacity of Osoyoos Lake, British Columbia to produce Sockeye Salmon</t>
    </r>
    <r>
      <rPr>
        <sz val="11"/>
        <color theme="1"/>
        <rFont val="Calibri"/>
        <family val="2"/>
        <scheme val="minor"/>
      </rPr>
      <t xml:space="preserve"> (Oncorhynchus nerka)? Open Fish Science Journal [online serial] 11:1874401X01811010001.</t>
    </r>
  </si>
  <si>
    <r>
      <rPr>
        <b/>
        <sz val="11"/>
        <color theme="1"/>
        <rFont val="Calibri"/>
        <family val="2"/>
        <scheme val="minor"/>
      </rPr>
      <t>Smolt timing (at BON</t>
    </r>
    <r>
      <rPr>
        <sz val="11"/>
        <color theme="1"/>
        <rFont val="Calibri"/>
        <family val="2"/>
        <scheme val="minor"/>
      </rPr>
      <t>): FPC Memo to JF (21.12.28) Table 3.</t>
    </r>
  </si>
  <si>
    <t>Rankin et al. 1998</t>
  </si>
  <si>
    <r>
      <t xml:space="preserve">Rankin, D. P., B. Hanslit and K. D. Hyatt. 1998. </t>
    </r>
    <r>
      <rPr>
        <b/>
        <sz val="11"/>
        <color theme="1"/>
        <rFont val="Calibri"/>
        <family val="2"/>
        <scheme val="minor"/>
      </rPr>
      <t>Acoustic and Trawl Surveys of Lake Osoyoos</t>
    </r>
    <r>
      <rPr>
        <sz val="11"/>
        <color theme="1"/>
        <rFont val="Calibri"/>
        <family val="2"/>
        <scheme val="minor"/>
      </rPr>
      <t xml:space="preserve">, 
1 997. Report to file: JSIDS - SRe nn-98. </t>
    </r>
  </si>
  <si>
    <t>ADULT DATA</t>
  </si>
  <si>
    <t>Hyatt et al. 2017</t>
  </si>
  <si>
    <r>
      <t xml:space="preserve">Hyatt, K.D., McQueen, D.J., Rankin, D.P., Stockwell, M.M., Wright, H., Lawrence, S., Stevens, A., Mathieu, C., and Weins, L. 2017. </t>
    </r>
    <r>
      <rPr>
        <b/>
        <sz val="11"/>
        <color theme="1"/>
        <rFont val="Calibri"/>
        <family val="2"/>
        <scheme val="minor"/>
      </rPr>
      <t>Methods and summary data for limnology and food web structure in Osoyoos Lake, B.C.</t>
    </r>
    <r>
      <rPr>
        <sz val="11"/>
        <color theme="1"/>
        <rFont val="Calibri"/>
        <family val="2"/>
        <scheme val="minor"/>
      </rPr>
      <t xml:space="preserve"> (2005-2013); Revised. Can. Data Rep. Fish. Aquat. Sci. 1274: vii + 73 p. https://waves-vagues.dfo-mpo.gc.ca/Library/40599577.pdf</t>
    </r>
  </si>
  <si>
    <r>
      <rPr>
        <b/>
        <sz val="11"/>
        <color theme="1"/>
        <rFont val="Calibri"/>
        <family val="2"/>
        <scheme val="minor"/>
      </rPr>
      <t>Total Returns (dam counts) by return year and smolt year</t>
    </r>
    <r>
      <rPr>
        <sz val="11"/>
        <color theme="1"/>
        <rFont val="Calibri"/>
        <family val="2"/>
        <scheme val="minor"/>
      </rPr>
      <t>: OkSox Total Rtns to Wells RY_OEY_BY (HS) 2022.06.14</t>
    </r>
  </si>
  <si>
    <t>Williams et al 2014</t>
  </si>
  <si>
    <r>
      <t xml:space="preserve">John G. Williams,Steven G. Smith,Jeffrey K. Fryer,Mark D. Scheuerell,William D. Muir,Tom A. Flagg,Richard W. Zabel,John W. Ferguson,Edmundo Casillas. 2014. </t>
    </r>
    <r>
      <rPr>
        <b/>
        <sz val="11"/>
        <color theme="1"/>
        <rFont val="Calibri"/>
        <family val="2"/>
        <scheme val="minor"/>
      </rPr>
      <t>Influence of ocean and freshwater conditions on Columbia River sockeye salmon Oncorhynchus nerka adult return rates</t>
    </r>
    <r>
      <rPr>
        <sz val="11"/>
        <color theme="1"/>
        <rFont val="Calibri"/>
        <family val="2"/>
        <scheme val="minor"/>
      </rPr>
      <t>. Fish. Oceanogr. 23: 210-224. https://onlinelibrary.wiley.com/doi/10.1111/fog.12056</t>
    </r>
  </si>
  <si>
    <r>
      <rPr>
        <b/>
        <sz val="12"/>
        <rFont val="Calibri"/>
        <family val="2"/>
        <scheme val="minor"/>
      </rPr>
      <t>See also</t>
    </r>
    <r>
      <rPr>
        <sz val="12"/>
        <rFont val="Calibri"/>
        <family val="2"/>
        <scheme val="minor"/>
      </rPr>
      <t>: Bonneville Dam Fish Passage Center Sockeye Counts 1938-2021 21.03.07.xlsx ! Surv &amp; Exposure</t>
    </r>
  </si>
  <si>
    <t>Labelle et al 2021</t>
  </si>
  <si>
    <r>
      <t xml:space="preserve">Labelle M, Bussanich R, Benson R (2021) </t>
    </r>
    <r>
      <rPr>
        <b/>
        <sz val="11"/>
        <color theme="1"/>
        <rFont val="Calibri"/>
        <family val="2"/>
        <scheme val="minor"/>
      </rPr>
      <t>Maximum Likelihood Estimation of Kokanee and Sockeye Salmon Spawners in a Stream Using Visual Survey Data, 2003-2017</t>
    </r>
    <r>
      <rPr>
        <sz val="11"/>
        <color theme="1"/>
        <rFont val="Calibri"/>
        <family val="2"/>
        <scheme val="minor"/>
      </rPr>
      <t xml:space="preserve">. Fish Aquac J. 12:277. </t>
    </r>
  </si>
  <si>
    <r>
      <rPr>
        <b/>
        <sz val="11"/>
        <color theme="1"/>
        <rFont val="Calibri"/>
        <family val="2"/>
        <scheme val="minor"/>
      </rPr>
      <t>Stock Composition</t>
    </r>
    <r>
      <rPr>
        <sz val="11"/>
        <color theme="1"/>
        <rFont val="Calibri"/>
        <family val="2"/>
        <scheme val="minor"/>
      </rPr>
      <t>: OkSox Total Rtns to Wells RY_OEY_BY (HS) 2022.06.14</t>
    </r>
  </si>
  <si>
    <t>OR/WA Joint CR Mgmt Reports for SK stock composition</t>
  </si>
  <si>
    <t>e.g. p. 17 in https://wdfw.wa.gov/sites/default/files/2022-02/2022 OR_WASpring Joint Staff Report.pdf</t>
  </si>
  <si>
    <r>
      <rPr>
        <b/>
        <sz val="11"/>
        <color theme="1"/>
        <rFont val="Calibri"/>
        <family val="2"/>
        <scheme val="minor"/>
      </rPr>
      <t>Age Composition</t>
    </r>
    <r>
      <rPr>
        <sz val="11"/>
        <color theme="1"/>
        <rFont val="Calibri"/>
        <family val="2"/>
        <scheme val="minor"/>
      </rPr>
      <t>: OkSox Total Rtns to Wells RY_OEY_BY (HS) 2022.06.14</t>
    </r>
  </si>
  <si>
    <t>OFW/WDFW 2022 Joint Staff Report</t>
  </si>
  <si>
    <r>
      <rPr>
        <b/>
        <sz val="11"/>
        <color theme="1"/>
        <rFont val="Calibri"/>
        <family val="2"/>
        <scheme val="minor"/>
      </rPr>
      <t>Estimated Sockeye returning to Columbia River Mouth</t>
    </r>
    <r>
      <rPr>
        <sz val="11"/>
        <color theme="1"/>
        <rFont val="Calibri"/>
        <family val="2"/>
        <scheme val="minor"/>
      </rPr>
      <t xml:space="preserve"> (all stocks)  [June 2022]
From: Table 15 p.78
https://www.dfw.state.or.us/fish/OSCRP/CRM/reports/22_reports/2022%20OR_WA%20Spring%20Joint%20Staff%20Report.pdf </t>
    </r>
  </si>
  <si>
    <r>
      <rPr>
        <b/>
        <sz val="11"/>
        <color theme="1"/>
        <rFont val="Calibri"/>
        <family val="2"/>
        <scheme val="minor"/>
      </rPr>
      <t>Rock Island and Rocky Reach dams have one fish ladder each</t>
    </r>
    <r>
      <rPr>
        <sz val="11"/>
        <color theme="1"/>
        <rFont val="Calibri"/>
        <family val="2"/>
        <scheme val="minor"/>
      </rPr>
      <t xml:space="preserve">. In 1999, fish passing upstream through the fishways were recorded 24 hours each day from April 14 through November 14 at Rock Island Dam and from April 15 through November 14 at Rocky Reach Dam. </t>
    </r>
    <r>
      <rPr>
        <b/>
        <sz val="11"/>
        <color theme="1"/>
        <rFont val="Calibri"/>
        <family val="2"/>
        <scheme val="minor"/>
      </rPr>
      <t>The 24 hour counting has been conducted since 1992 at Rock Island Dam and 1996 at Rocky Reach Dam</t>
    </r>
    <r>
      <rPr>
        <sz val="11"/>
        <color theme="1"/>
        <rFont val="Calibri"/>
        <family val="2"/>
        <scheme val="minor"/>
      </rPr>
      <t xml:space="preserve">. The adult counting schedule at </t>
    </r>
    <r>
      <rPr>
        <b/>
        <sz val="11"/>
        <color rgb="FFFF0000"/>
        <rFont val="Calibri"/>
        <family val="2"/>
        <scheme val="minor"/>
      </rPr>
      <t>Wells</t>
    </r>
    <r>
      <rPr>
        <sz val="11"/>
        <color theme="1"/>
        <rFont val="Calibri"/>
        <family val="2"/>
        <scheme val="minor"/>
      </rPr>
      <t xml:space="preserve"> is from May 1 through November 15. Fish passage is assessed by reviewing a video tape record made the previous day. Passage by species and ladder is counted for each hour of the day</t>
    </r>
    <r>
      <rPr>
        <b/>
        <sz val="11"/>
        <color theme="1"/>
        <rFont val="Calibri"/>
        <family val="2"/>
        <scheme val="minor"/>
      </rPr>
      <t>. Counts between 1967 and 1997 were reported for 16 hours (0500 - 2100 PST). Starting in 1998, at the request of the Wells Coordinating Committee, counts were reported in a 24 hour (0000 - 2400</t>
    </r>
    <r>
      <rPr>
        <sz val="11"/>
        <color theme="1"/>
        <rFont val="Calibri"/>
        <family val="2"/>
        <scheme val="minor"/>
      </rPr>
      <t xml:space="preserve">) format. Either format is available upon request from Douglas PUD. Chinook are separated into three populations based upon date of passage through the ladders. Spring chinook pass from May 1 through June 28, summer chinook between June 29 and August 28, and fall chinook from August 29 through November 15. (USACE ANNUAL FISH PASSAGE REPORT. 1999. p16021coll3_63.pdf) 
</t>
    </r>
  </si>
  <si>
    <t>Judson et al. 2023</t>
  </si>
  <si>
    <r>
      <t xml:space="preserve">Judson et al. 2023. </t>
    </r>
    <r>
      <rPr>
        <b/>
        <sz val="11"/>
        <color theme="1"/>
        <rFont val="Calibri"/>
        <family val="2"/>
        <scheme val="minor"/>
      </rPr>
      <t>Methods and summary data for limnology and food web structure in Osoyoos Lake, B.C. (199x-2021</t>
    </r>
    <r>
      <rPr>
        <sz val="11"/>
        <color theme="1"/>
        <rFont val="Calibri"/>
        <family val="2"/>
        <scheme val="minor"/>
      </rPr>
      <t>). Can. Data Rep. Fish. Aquat. Sci. XXXX: vii + zz pp.</t>
    </r>
  </si>
  <si>
    <t>MARINE SURVIVAL</t>
  </si>
  <si>
    <t>FWMT Source Documents</t>
  </si>
  <si>
    <r>
      <t xml:space="preserve">Sockeye Index Stocks - </t>
    </r>
    <r>
      <rPr>
        <b/>
        <sz val="11"/>
        <color theme="1"/>
        <rFont val="Calibri"/>
        <family val="2"/>
        <scheme val="minor"/>
      </rPr>
      <t>Marine Survival Data</t>
    </r>
    <r>
      <rPr>
        <sz val="11"/>
        <color theme="1"/>
        <rFont val="Calibri"/>
        <family val="2"/>
        <scheme val="minor"/>
      </rPr>
      <t xml:space="preserve"> - 22.04.04.xlsx</t>
    </r>
  </si>
  <si>
    <t>Hyatt &amp; Rankin 2008</t>
  </si>
  <si>
    <r>
      <t xml:space="preserve">Hyatt, K. D., D. P. Rankin. 2008. </t>
    </r>
    <r>
      <rPr>
        <b/>
        <sz val="11"/>
        <rFont val="Calibri"/>
        <family val="2"/>
        <scheme val="minor"/>
      </rPr>
      <t>Fish and Water Management Tools (FWMT) Project Assessments: Osoyoos Lake Juvenile Sockeye Salmon (</t>
    </r>
    <r>
      <rPr>
        <b/>
        <i/>
        <sz val="11"/>
        <rFont val="Calibri"/>
        <family val="2"/>
        <scheme val="minor"/>
      </rPr>
      <t>Oncorhynchus nerka</t>
    </r>
    <r>
      <rPr>
        <b/>
        <sz val="11"/>
        <rFont val="Calibri"/>
        <family val="2"/>
        <scheme val="minor"/>
      </rPr>
      <t>) Production Associated With 2001-2006 Brood Year Returns of Adults to the Okanagan River, B.C.</t>
    </r>
    <r>
      <rPr>
        <sz val="11"/>
        <rFont val="Calibri"/>
        <family val="2"/>
        <scheme val="minor"/>
      </rPr>
      <t xml:space="preserve"> Report to file: JSIDS-SRe 3-2008. Salmon in Regional Ecosystems Program, Fisheries and Oceans Canada, Nanaimo, BC V9T 6N7. </t>
    </r>
  </si>
  <si>
    <t>Hyatt &amp; Rankin 2007</t>
  </si>
  <si>
    <r>
      <t xml:space="preserve">Hyatt, K. D., D. P. Rankin. 2007. </t>
    </r>
    <r>
      <rPr>
        <b/>
        <sz val="11"/>
        <rFont val="Calibri"/>
        <family val="2"/>
        <scheme val="minor"/>
      </rPr>
      <t>Fish and Water Management Tools (FWMT) Project Assessments: Osoyoos Lake Juvenile Sockeye Salmon (</t>
    </r>
    <r>
      <rPr>
        <b/>
        <i/>
        <sz val="11"/>
        <rFont val="Calibri"/>
        <family val="2"/>
        <scheme val="minor"/>
      </rPr>
      <t>Oncorhynchus nerka</t>
    </r>
    <r>
      <rPr>
        <b/>
        <sz val="11"/>
        <rFont val="Calibri"/>
        <family val="2"/>
        <scheme val="minor"/>
      </rPr>
      <t>) Production Associated With 2001-2005 Brood Year Returns of Adults to the Okanagan River, B.C.</t>
    </r>
    <r>
      <rPr>
        <sz val="11"/>
        <rFont val="Calibri"/>
        <family val="2"/>
        <scheme val="minor"/>
      </rPr>
      <t xml:space="preserve"> Report to file: JSIDS-SRe 3-05. Salmon in Regional Ecosystems Program, Fisheries and Oceans Canada, Nanaimo, BC V9T 6N7. 22 p.</t>
    </r>
  </si>
  <si>
    <t>Hyatt et al. 2007</t>
  </si>
  <si>
    <r>
      <t xml:space="preserve">Hyatt, K. D., M. M. Stockwell, and D. P. Rankin. 2007. </t>
    </r>
    <r>
      <rPr>
        <b/>
        <sz val="11"/>
        <rFont val="Calibri"/>
        <family val="2"/>
        <scheme val="minor"/>
      </rPr>
      <t>Fish and Water Management Tools Assessments: Miscellaneous Observations of Okanagan Sockeye Salmon (</t>
    </r>
    <r>
      <rPr>
        <b/>
        <i/>
        <sz val="11"/>
        <rFont val="Calibri"/>
        <family val="2"/>
        <scheme val="minor"/>
      </rPr>
      <t>Oncorhynchus nerka</t>
    </r>
    <r>
      <rPr>
        <b/>
        <sz val="11"/>
        <rFont val="Calibri"/>
        <family val="2"/>
        <scheme val="minor"/>
      </rPr>
      <t>) Smolt Abundance, Size, Migratory Timing and Associated Environmental Conditions Between 1957 and 2006</t>
    </r>
    <r>
      <rPr>
        <sz val="11"/>
        <rFont val="Calibri"/>
        <family val="2"/>
        <scheme val="minor"/>
      </rPr>
      <t>. Report to file: JSIDS-SRe 4-06. Salmon in Regional Ecosystems Program, Fisheries and Oceans Canada, Nanaimo, BC V9T 6N7. 24 p.</t>
    </r>
  </si>
  <si>
    <t>Conservation Unit Name</t>
  </si>
  <si>
    <t>Smolt Migration Year</t>
  </si>
  <si>
    <r>
      <t>Smolt Abundance</t>
    </r>
    <r>
      <rPr>
        <sz val="11"/>
        <color theme="1"/>
        <rFont val="Calibri"/>
        <family val="2"/>
        <scheme val="minor"/>
      </rPr>
      <t xml:space="preserve"> (#fish)</t>
    </r>
  </si>
  <si>
    <r>
      <t xml:space="preserve">Smolt Biosample Data - Length </t>
    </r>
    <r>
      <rPr>
        <sz val="11"/>
        <color theme="1"/>
        <rFont val="Calibri"/>
        <family val="2"/>
        <scheme val="minor"/>
      </rPr>
      <t>(mm)</t>
    </r>
    <r>
      <rPr>
        <b/>
        <sz val="11"/>
        <color theme="1"/>
        <rFont val="Calibri"/>
        <family val="2"/>
        <scheme val="minor"/>
      </rPr>
      <t xml:space="preserve"> &amp; Std Weight </t>
    </r>
    <r>
      <rPr>
        <sz val="11"/>
        <color theme="1"/>
        <rFont val="Calibri"/>
        <family val="2"/>
        <scheme val="minor"/>
      </rPr>
      <t>(g)</t>
    </r>
  </si>
  <si>
    <r>
      <t xml:space="preserve">Smolt Migration Timing </t>
    </r>
    <r>
      <rPr>
        <sz val="11"/>
        <color theme="1"/>
        <rFont val="Calibri"/>
        <family val="2"/>
        <scheme val="minor"/>
      </rPr>
      <t>(m/d/y)</t>
    </r>
  </si>
  <si>
    <t>Pre-Smolt Data</t>
  </si>
  <si>
    <t>Environ- mental Conditions</t>
  </si>
  <si>
    <t>General Comments</t>
  </si>
  <si>
    <t>Contact Info</t>
  </si>
  <si>
    <t>Age 1</t>
  </si>
  <si>
    <t>Age 2</t>
  </si>
  <si>
    <t>Age 3</t>
  </si>
  <si>
    <t>Total</t>
  </si>
  <si>
    <t>Methods &amp; Notes</t>
  </si>
  <si>
    <r>
      <t>Length Type</t>
    </r>
    <r>
      <rPr>
        <sz val="11"/>
        <color theme="1"/>
        <rFont val="Calibri"/>
        <family val="2"/>
        <scheme val="minor"/>
      </rPr>
      <t xml:space="preserve"> (SL, TL, FL, PO)</t>
    </r>
  </si>
  <si>
    <t>Biosample Summary</t>
  </si>
  <si>
    <t>Start Date</t>
  </si>
  <si>
    <t>1st Quartile (10%)</t>
  </si>
  <si>
    <t>Median (TT50%) or Peak Date</t>
  </si>
  <si>
    <t>3st Quartile (90%)</t>
  </si>
  <si>
    <t>End Date</t>
  </si>
  <si>
    <r>
      <t>Abundance</t>
    </r>
    <r>
      <rPr>
        <sz val="11"/>
        <color theme="1"/>
        <rFont val="Calibri"/>
        <family val="2"/>
        <scheme val="minor"/>
      </rPr>
      <t xml:space="preserve"> (#fish)</t>
    </r>
  </si>
  <si>
    <t>Survey Date</t>
  </si>
  <si>
    <t>Hatchery Release Survivors</t>
  </si>
  <si>
    <t>Biosample Data</t>
  </si>
  <si>
    <t>N</t>
  </si>
  <si>
    <t>Len</t>
  </si>
  <si>
    <t>Wt</t>
  </si>
  <si>
    <t>Total N</t>
  </si>
  <si>
    <t>Weighted Mean Length</t>
  </si>
  <si>
    <t>Weighted Mean Weight</t>
  </si>
  <si>
    <r>
      <t>Length</t>
    </r>
    <r>
      <rPr>
        <sz val="11"/>
        <color theme="1"/>
        <rFont val="Calibri"/>
        <family val="2"/>
        <scheme val="minor"/>
      </rPr>
      <t xml:space="preserve"> (mm)</t>
    </r>
  </si>
  <si>
    <r>
      <t xml:space="preserve">Weight </t>
    </r>
    <r>
      <rPr>
        <sz val="11"/>
        <color theme="1"/>
        <rFont val="Calibri"/>
        <family val="2"/>
        <scheme val="minor"/>
      </rPr>
      <t>(g)</t>
    </r>
  </si>
  <si>
    <t>Length Type</t>
  </si>
  <si>
    <t>Okanagan - Osoyoos</t>
  </si>
  <si>
    <t>Total "Smolt" Abundance is just duplicated from total pre-smolt abundance column, since Osoyoos smolts are not actually tallied.</t>
  </si>
  <si>
    <t xml:space="preserve"> </t>
  </si>
  <si>
    <t>It should be possible to use TT50% at McNary Dam from the FPC or CBR-DART website (which would include Wen &amp; Ok smolts), as long as years demonstrating a bi-modal peak were treated differently. Wenatchee tends to migrate before Ok Sockeye (Williams et al. 2014), so it would be necessary to exclude the first mode to get Ok Sox migration timing. (hs 2022-09-28)</t>
  </si>
  <si>
    <t>N/A</t>
  </si>
  <si>
    <t>ATS Equivalents SY1985-1997 deleted [2023-09-05]</t>
  </si>
  <si>
    <t>howard.stiff@dfo-mpo.gc.ca</t>
  </si>
  <si>
    <t>SY1998-present: Presmolt estimates from fall-winter ATS survey(s) in previous year. Length &amp; Weight weighted by trawl sample sizes.</t>
  </si>
  <si>
    <r>
      <t xml:space="preserve">Age comp based on FW age composition of adult returns x best winter presmolt abundance copied from Pre-Smolt section. See </t>
    </r>
    <r>
      <rPr>
        <b/>
        <sz val="11"/>
        <rFont val="Calibri"/>
        <family val="2"/>
        <scheme val="minor"/>
      </rPr>
      <t>General Comments</t>
    </r>
    <r>
      <rPr>
        <sz val="11"/>
        <rFont val="Calibri"/>
        <family val="2"/>
        <scheme val="minor"/>
      </rPr>
      <t>. [hs 2022-10-31]</t>
    </r>
  </si>
  <si>
    <t>FL</t>
  </si>
  <si>
    <r>
      <rPr>
        <sz val="11"/>
        <color rgb="FFFF0000"/>
        <rFont val="Calibri"/>
        <family val="2"/>
      </rPr>
      <t>Abund based on mean of Jul Sep Nov 97 ATS surveys</t>
    </r>
    <r>
      <rPr>
        <sz val="11"/>
        <rFont val="Calibri"/>
        <family val="2"/>
      </rPr>
      <t xml:space="preserve"> (Judson et al. 2023); Len Wt estimates from weighted mean of select fall-winter ATS survey(s) in previous year (see Presmolt_Sizes_tidy_22.11.16.xlsx); Data Source:  Osoyoos_trawl_November'97.xlsx, CNAT_nuOkanagan_Juveniles 22.10.27.xlsx</t>
    </r>
  </si>
  <si>
    <t>Hottest summer</t>
  </si>
  <si>
    <r>
      <t>"Smolt" abundances (</t>
    </r>
    <r>
      <rPr>
        <sz val="11"/>
        <color theme="4" tint="-0.249977111117893"/>
        <rFont val="Calibri"/>
        <family val="2"/>
        <scheme val="minor"/>
      </rPr>
      <t>blue section</t>
    </r>
    <r>
      <rPr>
        <sz val="11"/>
        <color theme="1"/>
        <rFont val="Calibri"/>
        <family val="2"/>
        <scheme val="minor"/>
      </rPr>
      <t>)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t>
    </r>
  </si>
  <si>
    <r>
      <rPr>
        <sz val="11"/>
        <color rgb="FFFF0000"/>
        <rFont val="Calibri"/>
        <family val="2"/>
      </rPr>
      <t>Abund based on mean of May Jul Oct 98 ATS surveys</t>
    </r>
    <r>
      <rPr>
        <sz val="11"/>
        <rFont val="Calibri"/>
        <family val="2"/>
      </rPr>
      <t xml:space="preserve"> (Judson et al. 2023); Len Wt estimates from weighted mean of select fall-winter ATS survey(s) in previous year (see Presmolt_Sizes_tidy_22.11.16.xlsx); Data Source:  Osoyoos_trawl_November'97.xlsx, CNAT_nuOkanagan_Juveniles 22.10.27.xlsx</t>
    </r>
  </si>
  <si>
    <t/>
  </si>
  <si>
    <r>
      <rPr>
        <sz val="11"/>
        <color rgb="FFFF0000"/>
        <rFont val="Calibri"/>
        <family val="2"/>
      </rPr>
      <t>Abund based on mean of May Aug Sep 99 ATS surveys</t>
    </r>
    <r>
      <rPr>
        <sz val="11"/>
        <rFont val="Calibri"/>
        <family val="2"/>
      </rPr>
      <t xml:space="preserve"> (Judson et al. 2023); Len Wt estimates from weighted mean of select fall-winter ATS survey(s) in previous year (see Presmolt_Sizes_tidy_22.11.16.xlsx); Data Source:  Osoyoos_trawl_November'97.xlsx, CNAT_nuOkanagan_Juveniles 22.10.27.xlsx</t>
    </r>
  </si>
  <si>
    <r>
      <rPr>
        <sz val="11"/>
        <color rgb="FFFF0000"/>
        <rFont val="Calibri"/>
        <family val="2"/>
      </rPr>
      <t>Abund based on mean of Jul Sep 2000 ATS surveys</t>
    </r>
    <r>
      <rPr>
        <sz val="11"/>
        <rFont val="Calibri"/>
        <family val="2"/>
      </rPr>
      <t xml:space="preserve"> (Judson et al. 2023); Len Wt estimates from weighted mean of select fall-winter ATS survey(s) in previous year (see Presmolt_Sizes_tidy_22.11.16.xlsx); Data Source:  Osoyoos_trawl_November'97.xlsx, CNAT_nuOkanagan_Juveniles 22.10.27.xlsx</t>
    </r>
  </si>
  <si>
    <r>
      <rPr>
        <sz val="11"/>
        <color rgb="FFFF0000"/>
        <rFont val="Calibri"/>
        <family val="2"/>
      </rPr>
      <t>Abund based on mean of Nov 2001 ATS surveys</t>
    </r>
    <r>
      <rPr>
        <sz val="11"/>
        <rFont val="Calibri"/>
        <family val="2"/>
      </rPr>
      <t xml:space="preserve"> (Judson et al. 2023); Len Wt estimates from weighted mean of select fall-winter ATS survey(s) in previous year (see Presmolt_Sizes_tidy_22.11.16.xlsx); Data Source:  Osoyoos_trawl_November'97.xlsx, CNAT_nuOkanagan_Juveniles 22.10.27.xlsx</t>
    </r>
  </si>
  <si>
    <r>
      <rPr>
        <sz val="11"/>
        <color rgb="FFFF0000"/>
        <rFont val="Calibri"/>
        <family val="2"/>
      </rPr>
      <t>Abund based on mean of Oct Nov 2002 ATS surveys</t>
    </r>
    <r>
      <rPr>
        <sz val="11"/>
        <rFont val="Calibri"/>
        <family val="2"/>
      </rPr>
      <t xml:space="preserve"> (Judson et al. 2023); Len Wt estimates from weighted mean of select fall-winter ATS survey(s) in previous year (see Presmolt_Sizes_tidy_22.11.16.xlsx); Data Source:  Osoyoos_trawl_November'97.xlsx, CNAT_nuOkanagan_Juveniles 22.10.27.xlsx</t>
    </r>
  </si>
  <si>
    <t>Abund based on mean of Sep 03 Mar 04 ATS surveys (Judson et al. 2023); Len Wt estimates from weighted mean of select fall-winter ATS survey(s) in previous year (see Presmolt_Sizes_tidy_22.11.16.xlsx); Data Source:  Osoyoos_trawl_November'97.xlsx, CNAT_nuOkanagan_Juveniles 22.10.27.xlsx</t>
  </si>
  <si>
    <t>Hot, dry summer in 2003; no rain in Oliver Jul/Aug 2003</t>
  </si>
  <si>
    <r>
      <t xml:space="preserve">Abund based on mean of Nov 04 Feb 05 ATS surveys (Judson et al. 2023); </t>
    </r>
    <r>
      <rPr>
        <sz val="11"/>
        <color rgb="FFFF0000"/>
        <rFont val="Calibri"/>
        <family val="2"/>
      </rPr>
      <t>Size data missing for Feb 05 survey</t>
    </r>
    <r>
      <rPr>
        <sz val="11"/>
        <color theme="1"/>
        <rFont val="Calibri"/>
        <family val="2"/>
      </rPr>
      <t>. Len Wt estimates from weighted mean of select fall-winter ATS survey(s) in previous year (see Presmolt_Sizes_tidy_22.11.16.xlsx); Data Source:  Osoyoos_trawl_November'97.xlsx, CNAT_nuOkanagan_Juveniles 22.10.27.xlsx</t>
    </r>
  </si>
  <si>
    <t>Abund based on mean of Nov Jan ATS surveys (Judson et al. 2023); Len Wt estimates from weighted mean of select fall-winter ATS survey(s) in previous year (see Presmolt_Sizes_tidy_22.11.16.xlsx); Data Source:  Osoyoos_trawl_November'97.xlsx, CNAT_nuOkanagan_Juveniles 22.10.27.xlsx</t>
  </si>
  <si>
    <t>Abund based on mean of Oct Nov Dec Mar ATS surveys (Judson et al. 2023); Len Wt estimates from weighted mean of select fall-winter ATS survey(s) in previous year (see Presmolt_Sizes_tidy_22.11.16.xlsx); Data Source:  Osoyoos_trawl_November'97.xlsx, CNAT_nuOkanagan_Juveniles 22.10.27.xlsx</t>
  </si>
  <si>
    <t>Abund based on mean of Oct Nov Jan ATS surveys (Judson et al. 2023); Len Wt estimates from weighted mean of select fall-winter ATS survey(s) in previous year (see Presmolt_Sizes_tidy_22.11.16.xlsx); Data Source:  Osoyoos_trawl_November'97.xlsx, CNAT_nuOkanagan_Juveniles 22.10.27.xlsx</t>
  </si>
  <si>
    <r>
      <rPr>
        <sz val="11"/>
        <color rgb="FFFF0000"/>
        <rFont val="Calibri"/>
        <family val="2"/>
      </rPr>
      <t>Abund based on mean of Nov ATS surveys</t>
    </r>
    <r>
      <rPr>
        <sz val="11"/>
        <rFont val="Calibri"/>
        <family val="2"/>
      </rPr>
      <t xml:space="preserve"> (Judson et al. 2023); Len Wt estimates from weighted mean of select fall-winter ATS survey(s) in previous year (see Presmolt_Sizes_tidy_22.11.16.xlsx); Data Source:  Osoyoos_trawl_November'97.xlsx, CNAT_nuOkanagan_Juveniles 22.10.27.xlsx</t>
    </r>
  </si>
  <si>
    <t>Abund based on mean of Nov Feb ATS surveys (Judson et al. 2023); Len Wt estimates from weighted mean of select fall-winter ATS survey(s) in previous year (see Presmolt_Sizes_tidy_22.11.16.xlsx); Data Source:  Osoyoos_trawl_November'97.xlsx, CNAT_nuOkanagan_Juveniles 22.10.27.xlsx</t>
  </si>
  <si>
    <t>Note: H-O release survivors estimate MAY BE deducted from total limnetic fish abundance estimate (see Pre-Smolt section), based on setting of Deduct_Hatchery_Survivors toggle. Age comp based on FW age composition of adult returns x best winter presmolt abundance copied from Pre-Smolt section. See General Comments. [hs 2022-10-31</t>
  </si>
  <si>
    <r>
      <rPr>
        <sz val="11"/>
        <color rgb="FFFF0000"/>
        <rFont val="Calibri"/>
        <family val="2"/>
      </rPr>
      <t>H-O fish released in Osoyoos</t>
    </r>
    <r>
      <rPr>
        <sz val="11"/>
        <rFont val="Calibri"/>
        <family val="2"/>
      </rPr>
      <t>. N-O abund based on mean of Oct Nov Mar ATS surveys (Judson et al. 2023), adjusted for H-O contributions this year (HS 2022-11-23); Len Wt estimates from weighted mean of select fall-winter ATS survey(s) in previous year (see Presmolt_Sizes_tidy_22.11.16.xlsx); 432,400 hatchery fry from BY2009 stocked in Osoyoos in 2010 (Date: 10-06-02; Density: 463/ha; Wt: 1.1g --&gt; 11.03.11; 88/ha; 6g). H-O abund dwindled over the fall-winter to about 11% of final total limnetic ATS fish abundance on 10-March-2011; therefore pre-smolt abundance index reduced by 11% == 103,693 fish (HS 2022-11-23). Data Source:  Osoyoos_trawl_November'97.xlsx, CNAT_nuOkanagan_Juveniles 22.10.27.xlsx</t>
    </r>
  </si>
  <si>
    <t>Testalinden Slide: 2010-06-13</t>
  </si>
  <si>
    <t>Abund based on mean of Oct Nov Mar ATS surveys (Judson et al. 2023); Len Wt estimates from weighted mean of select fall-winter ATS survey(s) in previous year (see Presmolt_Sizes_tidy_22.11.16.xlsx); Data Source:  Osoyoos_trawl_November'97.xlsx, CNAT_nuOkanagan_Juveniles 22.10.27.xlsx</t>
  </si>
  <si>
    <t>PIT tagged juvenile (wild+hatch?) survival (FPC Memo to JF (21.12.28): Table 4. Migration timing of PIT-tagged Okanogan River Basin sockeye smolts (i.e., release aggregate) detected at  Bonneville (BON) dam)</t>
  </si>
  <si>
    <r>
      <rPr>
        <sz val="11"/>
        <color rgb="FFFF0000"/>
        <rFont val="Calibri"/>
        <family val="2"/>
      </rPr>
      <t>H-O fish released in Osoyoos</t>
    </r>
    <r>
      <rPr>
        <sz val="11"/>
        <rFont val="Calibri"/>
        <family val="2"/>
      </rPr>
      <t>. N-O abund based on mean of Oct Nov Mar ATS surveys (Judson et al. 2023); Len Wt estimates from weighted mean of select fall-winter ATS survey(s) in previous year (see Presmolt_Sizes_tidy_22.11.16.xlsx); 837,800 hatchery fry from BY2011 stocked in Osoyoos in 2012 (Date: 2012-05-12; Density: 898/ha; Wt: 0.8g --&gt; 2013-02-13; 317/ha; 81 mm; 5g).  H-O abund dwindled over the fall-winter to about 11% of final total limnetic ATS fish abundance on 15-Feb-2013; therefore pre-smolt abundance index reduced by 11% == 316,775 fish (HS 2022-11-23). Data Source:  Osoyoos_trawl_November'97.xlsx, CNAT_nuOkanagan_Juveniles 22.10.27.xlsx</t>
    </r>
  </si>
  <si>
    <r>
      <rPr>
        <sz val="11"/>
        <color rgb="FFFF0000"/>
        <rFont val="Calibri"/>
        <family val="2"/>
      </rPr>
      <t>H-O fish released in Osoyoos</t>
    </r>
    <r>
      <rPr>
        <sz val="11"/>
        <rFont val="Calibri"/>
        <family val="2"/>
      </rPr>
      <t>. N-O abund based on mean of select fall-winter ATS surveys (Judson et al. 2023); Len Wt estimates from weighted mean of select fall-winter ATS survey(s) in previous year (see Presmolt_Sizes_tidy_22.11.16.xlsx); 869,300 hatchery fry from BY2012 stocked in Osoyoos in 2013 (Date: 2013-06-05; Density: 932/ha (895/ha in Hyatt et al. 2017 Table 11); Wt: 0.98g --&gt; 2014.03.18; 82/ha; 76 mm; 4.6g).  H-O abund dwindled over the fall-winter to about 1% of final total limnetic ATS fish abundance on 18-March-2014; therefore pre-smolt abundance index reduced by 1% == 71,446 fish (HS 2022-11-23). Data Source:  Osoyoos_trawl_November'97.xlsx, CNAT_nuOkanagan_Juveniles 22.10.27.xlsx</t>
    </r>
  </si>
  <si>
    <t>Abund based on mean of Oct Feb ATS surveys (Judson et al. 2023); Len Wt estimates from weighted mean of select fall-winter ATS survey(s) in previous year (see Presmolt_Sizes_tidy_22.11.16.xlsx); Data Source:  Osoyoos_trawl_November'97.xlsx, CNAT_nuOkanagan_Juveniles 22.10.27.xlsx</t>
  </si>
  <si>
    <t>Abund based on mean of Oct Nov Feb Mar ATS surveys (Judson et al. 2023 Missing size data Feb 3, 2016.  Len Wt estimates from weighted mean of select fall-winter ATS survey(s) in previous year (see Presmolt_Sizes_tidy_22.11.16.xlsx);Data Source: NEW OSOYOOS fish metadata 2005-2021 2021.10.14_SAM_WIP 2021.10.16.xlsx</t>
  </si>
  <si>
    <t>Possible Temp-Oxy squeeze impact in late summer 2015. Fry abund dropped from &gt;12M in July to &lt;9.5M in Aug</t>
  </si>
  <si>
    <t>Abund based on mean of Oct Mar ATS surveys (Judson et al. 2023); Len Wt estimates from weighted mean of select fall-winter ATS survey(s) in previous year (see Presmolt_Sizes_tidy_22.11.16.xlsx); Data Source:  Osoyoos_trawl_November'97.xlsx, CNAT_nuOkanagan_Juveniles 22.10.27.xlsx</t>
  </si>
  <si>
    <t>Abund based on mean of Oct Nov Feb ATS surveys (Judson et al. 2023); Len Wt estimates from weighted mean of select fall-winter ATS survey(s) in previous year (see Presmolt_Sizes_tidy_22.11.16.xlsx); Data Source:  Osoyoos_trawl_November'97.xlsx, CNAT_nuOkanagan_Juveniles 22.10.27.xlsx</t>
  </si>
  <si>
    <r>
      <rPr>
        <sz val="11"/>
        <color rgb="FFFF0000"/>
        <rFont val="Calibri"/>
        <family val="2"/>
      </rPr>
      <t>Abund based on mean of Oct ATS survey only</t>
    </r>
    <r>
      <rPr>
        <sz val="11"/>
        <rFont val="Calibri"/>
        <family val="2"/>
      </rPr>
      <t xml:space="preserve"> (Judson et al. 2023); Len Wt estimates from weighted mean of select fall-winter ATS survey(s) in previous year (see Presmolt_Sizes_tidy_22.11.16.xlsx); Data Source:  Osoyoos_trawl_November'97.xlsx, CNAT_nuOkanagan_Juveniles 22.10.27.xlsx</t>
    </r>
  </si>
  <si>
    <t>Lakes frozen over, no winter estimates</t>
  </si>
  <si>
    <t>Preliminary!  [hs 2022-10-31]</t>
  </si>
  <si>
    <t>Winter estimate from AO's CNAT file [22.08.17]</t>
  </si>
  <si>
    <t>athena.ogden@dfo-mpo.gc.ca</t>
  </si>
  <si>
    <t>Preliminary!  [hs 2024-01-22]</t>
  </si>
  <si>
    <t>Winter estimate from AO's CNAT file [2024-01-22]</t>
  </si>
  <si>
    <t>Deduct Hatchery Release Survivors from "Smolt Abundance" ?</t>
  </si>
  <si>
    <t>0=No, 1=Yes</t>
  </si>
  <si>
    <t>CU Name</t>
  </si>
  <si>
    <t>CU Index</t>
  </si>
  <si>
    <r>
      <t xml:space="preserve">Smolt Migrant Abundance </t>
    </r>
    <r>
      <rPr>
        <sz val="11"/>
        <color rgb="FF0070C0"/>
        <rFont val="Calibri"/>
        <family val="2"/>
        <scheme val="minor"/>
      </rPr>
      <t>(#fish)</t>
    </r>
  </si>
  <si>
    <r>
      <t>Smolt Fork Length</t>
    </r>
    <r>
      <rPr>
        <b/>
        <sz val="11"/>
        <color rgb="FF0070C0"/>
        <rFont val="Calibri"/>
        <family val="2"/>
        <scheme val="minor"/>
      </rPr>
      <t xml:space="preserve"> </t>
    </r>
    <r>
      <rPr>
        <sz val="11"/>
        <color rgb="FF0070C0"/>
        <rFont val="Calibri"/>
        <family val="2"/>
        <scheme val="minor"/>
      </rPr>
      <t>(mm)</t>
    </r>
  </si>
  <si>
    <r>
      <t>Smolt Std Weight</t>
    </r>
    <r>
      <rPr>
        <sz val="11"/>
        <color rgb="FF0070C0"/>
        <rFont val="Calibri"/>
        <family val="2"/>
        <scheme val="minor"/>
      </rPr>
      <t xml:space="preserve"> (g)</t>
    </r>
  </si>
  <si>
    <r>
      <rPr>
        <b/>
        <sz val="11"/>
        <color theme="1"/>
        <rFont val="Calibri"/>
        <family val="2"/>
        <scheme val="minor"/>
      </rPr>
      <t>Smolt Sample Size</t>
    </r>
    <r>
      <rPr>
        <sz val="11"/>
        <color rgb="FF0070C0"/>
        <rFont val="Calibri"/>
        <family val="2"/>
        <scheme val="minor"/>
      </rPr>
      <t xml:space="preserve"> (#fish)</t>
    </r>
  </si>
  <si>
    <r>
      <t>Smolt Migration Timing</t>
    </r>
    <r>
      <rPr>
        <sz val="11"/>
        <color rgb="FF0070C0"/>
        <rFont val="Calibri"/>
        <family val="2"/>
        <scheme val="minor"/>
      </rPr>
      <t xml:space="preserve"> (m/d/y)</t>
    </r>
  </si>
  <si>
    <t>Environmental Conditions</t>
  </si>
  <si>
    <r>
      <t xml:space="preserve">Abundance </t>
    </r>
    <r>
      <rPr>
        <sz val="11"/>
        <color rgb="FF0070C0"/>
        <rFont val="Calibri"/>
        <family val="2"/>
        <scheme val="minor"/>
      </rPr>
      <t>(#fish)</t>
    </r>
  </si>
  <si>
    <r>
      <t>Length</t>
    </r>
    <r>
      <rPr>
        <sz val="11"/>
        <color rgb="FF0070C0"/>
        <rFont val="Calibri"/>
        <family val="2"/>
        <scheme val="minor"/>
      </rPr>
      <t xml:space="preserve"> (mm)</t>
    </r>
  </si>
  <si>
    <r>
      <t>Weight</t>
    </r>
    <r>
      <rPr>
        <sz val="11"/>
        <color rgb="FF0070C0"/>
        <rFont val="Calibri"/>
        <family val="2"/>
        <scheme val="minor"/>
      </rPr>
      <t xml:space="preserve"> (g)</t>
    </r>
  </si>
  <si>
    <t>Methods Notes</t>
  </si>
  <si>
    <t>Age 0</t>
  </si>
  <si>
    <t>Age 1 (%)</t>
  </si>
  <si>
    <t>Methods</t>
  </si>
  <si>
    <t>1st Quartile (25%)</t>
  </si>
  <si>
    <t>3st Quartile (75%)</t>
  </si>
  <si>
    <t>Fake Lake</t>
  </si>
  <si>
    <t>FAK-00-00</t>
  </si>
  <si>
    <t>ATS late winter</t>
  </si>
  <si>
    <t>Fresh weights only</t>
  </si>
  <si>
    <t>Fyke net</t>
  </si>
  <si>
    <t>ATS late fall (Oct)</t>
  </si>
  <si>
    <t>Mean of Jan/Feb surveys</t>
  </si>
  <si>
    <t>Std'ized from Formaldehyde preservative</t>
  </si>
  <si>
    <t>Fence</t>
  </si>
  <si>
    <t>Mean of prev. summer/fall surveys only</t>
  </si>
  <si>
    <t>Std'ized from EtOH preservative</t>
  </si>
  <si>
    <t>Here are some notes, and some problems</t>
  </si>
  <si>
    <t>Spring flood - early April - no Start Date counts</t>
  </si>
  <si>
    <t>No ATS - estimated from multi-year fry:smolt abund. relationship</t>
  </si>
  <si>
    <t>Spring drought</t>
  </si>
  <si>
    <t>Age 2's estimated - not encountered in sampling</t>
  </si>
  <si>
    <t>Age 2's not sampled - multi-year mean used</t>
  </si>
  <si>
    <t>Age 2's not sampled - weight estimated from length-weight regression</t>
  </si>
  <si>
    <t>RST</t>
  </si>
  <si>
    <t>High freshwater temps!</t>
  </si>
  <si>
    <t>MHW along coast</t>
  </si>
  <si>
    <t>Field crew N/A due to COVID precautions; Peak date est'd</t>
  </si>
  <si>
    <t>Adult Return Year</t>
  </si>
  <si>
    <r>
      <t xml:space="preserve">Total Returns (C+H+E+M) </t>
    </r>
    <r>
      <rPr>
        <sz val="11"/>
        <color rgb="FF0070C0"/>
        <rFont val="Calibri"/>
        <family val="2"/>
        <scheme val="minor"/>
      </rPr>
      <t>(#fish)</t>
    </r>
  </si>
  <si>
    <r>
      <t>Mean Fork Length</t>
    </r>
    <r>
      <rPr>
        <sz val="11"/>
        <color rgb="FF0070C0"/>
        <rFont val="Calibri"/>
        <family val="2"/>
        <scheme val="minor"/>
      </rPr>
      <t xml:space="preserve"> (mm)</t>
    </r>
  </si>
  <si>
    <r>
      <t>Mean Fresh Weight</t>
    </r>
    <r>
      <rPr>
        <b/>
        <sz val="11"/>
        <color rgb="FF0070C0"/>
        <rFont val="Calibri"/>
        <family val="2"/>
        <scheme val="minor"/>
      </rPr>
      <t xml:space="preserve"> </t>
    </r>
    <r>
      <rPr>
        <sz val="11"/>
        <color rgb="FF0070C0"/>
        <rFont val="Calibri"/>
        <family val="2"/>
        <scheme val="minor"/>
      </rPr>
      <t>(kg)</t>
    </r>
  </si>
  <si>
    <r>
      <t>Biosample Size</t>
    </r>
    <r>
      <rPr>
        <sz val="11"/>
        <color rgb="FF0070C0"/>
        <rFont val="Calibri"/>
        <family val="2"/>
        <scheme val="minor"/>
      </rPr>
      <t xml:space="preserve"> (#fish)</t>
    </r>
  </si>
  <si>
    <r>
      <t>Adult Migration Timing</t>
    </r>
    <r>
      <rPr>
        <sz val="11"/>
        <color theme="1"/>
        <rFont val="Calibri"/>
        <family val="2"/>
        <scheme val="minor"/>
      </rPr>
      <t xml:space="preserve"> </t>
    </r>
    <r>
      <rPr>
        <sz val="11"/>
        <color rgb="FF0070C0"/>
        <rFont val="Calibri"/>
        <family val="2"/>
        <scheme val="minor"/>
      </rPr>
      <t>(m/d/y)</t>
    </r>
  </si>
  <si>
    <t>Environmental Conditions of Note</t>
  </si>
  <si>
    <r>
      <t>1.1 (3</t>
    </r>
    <r>
      <rPr>
        <vertAlign val="subscript"/>
        <sz val="11"/>
        <color theme="1"/>
        <rFont val="Calibri"/>
        <family val="2"/>
        <scheme val="minor"/>
      </rPr>
      <t>2</t>
    </r>
    <r>
      <rPr>
        <sz val="11"/>
        <color theme="1"/>
        <rFont val="Calibri"/>
        <family val="2"/>
        <scheme val="minor"/>
      </rPr>
      <t>)</t>
    </r>
  </si>
  <si>
    <r>
      <t>1.2 (4</t>
    </r>
    <r>
      <rPr>
        <vertAlign val="subscript"/>
        <sz val="11"/>
        <color theme="1"/>
        <rFont val="Calibri"/>
        <family val="2"/>
        <scheme val="minor"/>
      </rPr>
      <t>2</t>
    </r>
    <r>
      <rPr>
        <sz val="11"/>
        <color theme="1"/>
        <rFont val="Calibri"/>
        <family val="2"/>
        <scheme val="minor"/>
      </rPr>
      <t>)</t>
    </r>
  </si>
  <si>
    <r>
      <t>2.1 (4</t>
    </r>
    <r>
      <rPr>
        <vertAlign val="subscript"/>
        <sz val="11"/>
        <color theme="1"/>
        <rFont val="Calibri"/>
        <family val="2"/>
        <scheme val="minor"/>
      </rPr>
      <t>3</t>
    </r>
    <r>
      <rPr>
        <sz val="11"/>
        <color theme="1"/>
        <rFont val="Calibri"/>
        <family val="2"/>
        <scheme val="minor"/>
      </rPr>
      <t>)</t>
    </r>
  </si>
  <si>
    <r>
      <t>1.3 (5</t>
    </r>
    <r>
      <rPr>
        <vertAlign val="subscript"/>
        <sz val="11"/>
        <color theme="1"/>
        <rFont val="Calibri"/>
        <family val="2"/>
        <scheme val="minor"/>
      </rPr>
      <t>2</t>
    </r>
    <r>
      <rPr>
        <sz val="11"/>
        <color theme="1"/>
        <rFont val="Calibri"/>
        <family val="2"/>
        <scheme val="minor"/>
      </rPr>
      <t>)</t>
    </r>
  </si>
  <si>
    <r>
      <t>2.2 (5</t>
    </r>
    <r>
      <rPr>
        <vertAlign val="subscript"/>
        <sz val="11"/>
        <color theme="1"/>
        <rFont val="Calibri"/>
        <family val="2"/>
        <scheme val="minor"/>
      </rPr>
      <t>3</t>
    </r>
    <r>
      <rPr>
        <sz val="11"/>
        <color theme="1"/>
        <rFont val="Calibri"/>
        <family val="2"/>
        <scheme val="minor"/>
      </rPr>
      <t>)</t>
    </r>
  </si>
  <si>
    <r>
      <t>2.3 (6</t>
    </r>
    <r>
      <rPr>
        <vertAlign val="subscript"/>
        <sz val="11"/>
        <color theme="1"/>
        <rFont val="Calibri"/>
        <family val="2"/>
        <scheme val="minor"/>
      </rPr>
      <t>3</t>
    </r>
    <r>
      <rPr>
        <sz val="11"/>
        <color theme="1"/>
        <rFont val="Calibri"/>
        <family val="2"/>
        <scheme val="minor"/>
      </rPr>
      <t>)</t>
    </r>
  </si>
  <si>
    <t>Other</t>
  </si>
  <si>
    <t>Weighted Mean</t>
  </si>
  <si>
    <t>1.1 (32)</t>
  </si>
  <si>
    <t>1.2 (42)</t>
  </si>
  <si>
    <t>2.1 (43)</t>
  </si>
  <si>
    <t>1.3 (52)</t>
  </si>
  <si>
    <t>2.2 (53)</t>
  </si>
  <si>
    <t>2.3 (63)</t>
  </si>
  <si>
    <t>Median (TT50%) or Peak</t>
  </si>
  <si>
    <t>One age 7 fish</t>
  </si>
  <si>
    <t>converted from PO-HYP</t>
  </si>
  <si>
    <r>
      <t>Total Returns</t>
    </r>
    <r>
      <rPr>
        <sz val="11"/>
        <color theme="1"/>
        <rFont val="Calibri"/>
        <family val="2"/>
        <scheme val="minor"/>
      </rPr>
      <t xml:space="preserve"> (#fish)</t>
    </r>
  </si>
  <si>
    <r>
      <t xml:space="preserve">Biosample Data - Mean Length </t>
    </r>
    <r>
      <rPr>
        <sz val="11"/>
        <color theme="1"/>
        <rFont val="Calibri"/>
        <family val="2"/>
        <scheme val="minor"/>
      </rPr>
      <t>(mm)</t>
    </r>
    <r>
      <rPr>
        <b/>
        <sz val="11"/>
        <color theme="1"/>
        <rFont val="Calibri"/>
        <family val="2"/>
        <scheme val="minor"/>
      </rPr>
      <t xml:space="preserve"> and Weight</t>
    </r>
    <r>
      <rPr>
        <sz val="11"/>
        <color theme="1"/>
        <rFont val="Calibri"/>
        <family val="2"/>
        <scheme val="minor"/>
      </rPr>
      <t xml:space="preserve"> (kg)</t>
    </r>
  </si>
  <si>
    <r>
      <t xml:space="preserve">Adult Migration Timing </t>
    </r>
    <r>
      <rPr>
        <sz val="11"/>
        <color theme="1"/>
        <rFont val="Calibri"/>
        <family val="2"/>
        <scheme val="minor"/>
      </rPr>
      <t>(m/d/y)</t>
    </r>
  </si>
  <si>
    <t>Age</t>
  </si>
  <si>
    <r>
      <t xml:space="preserve">1.1 </t>
    </r>
    <r>
      <rPr>
        <sz val="11"/>
        <color theme="1"/>
        <rFont val="Calibri"/>
        <family val="2"/>
        <scheme val="minor"/>
      </rPr>
      <t>(3</t>
    </r>
    <r>
      <rPr>
        <vertAlign val="subscript"/>
        <sz val="11"/>
        <color theme="1"/>
        <rFont val="Calibri"/>
        <family val="2"/>
        <scheme val="minor"/>
      </rPr>
      <t>2</t>
    </r>
    <r>
      <rPr>
        <sz val="11"/>
        <color theme="1"/>
        <rFont val="Calibri"/>
        <family val="2"/>
        <scheme val="minor"/>
      </rPr>
      <t>)</t>
    </r>
  </si>
  <si>
    <r>
      <t>1.2</t>
    </r>
    <r>
      <rPr>
        <sz val="11"/>
        <color theme="1"/>
        <rFont val="Calibri"/>
        <family val="2"/>
        <scheme val="minor"/>
      </rPr>
      <t xml:space="preserve"> (4</t>
    </r>
    <r>
      <rPr>
        <vertAlign val="subscript"/>
        <sz val="11"/>
        <color theme="1"/>
        <rFont val="Calibri"/>
        <family val="2"/>
        <scheme val="minor"/>
      </rPr>
      <t>2</t>
    </r>
    <r>
      <rPr>
        <sz val="11"/>
        <color theme="1"/>
        <rFont val="Calibri"/>
        <family val="2"/>
        <scheme val="minor"/>
      </rPr>
      <t>)</t>
    </r>
  </si>
  <si>
    <r>
      <t xml:space="preserve">2.1 </t>
    </r>
    <r>
      <rPr>
        <sz val="11"/>
        <color theme="1"/>
        <rFont val="Calibri"/>
        <family val="2"/>
        <scheme val="minor"/>
      </rPr>
      <t>(4</t>
    </r>
    <r>
      <rPr>
        <vertAlign val="subscript"/>
        <sz val="11"/>
        <color theme="1"/>
        <rFont val="Calibri"/>
        <family val="2"/>
        <scheme val="minor"/>
      </rPr>
      <t>3</t>
    </r>
    <r>
      <rPr>
        <sz val="11"/>
        <color theme="1"/>
        <rFont val="Calibri"/>
        <family val="2"/>
        <scheme val="minor"/>
      </rPr>
      <t>)</t>
    </r>
  </si>
  <si>
    <r>
      <t>1.3</t>
    </r>
    <r>
      <rPr>
        <sz val="11"/>
        <color theme="1"/>
        <rFont val="Calibri"/>
        <family val="2"/>
        <scheme val="minor"/>
      </rPr>
      <t xml:space="preserve"> (5</t>
    </r>
    <r>
      <rPr>
        <vertAlign val="subscript"/>
        <sz val="11"/>
        <color theme="1"/>
        <rFont val="Calibri"/>
        <family val="2"/>
        <scheme val="minor"/>
      </rPr>
      <t>2</t>
    </r>
    <r>
      <rPr>
        <sz val="11"/>
        <color theme="1"/>
        <rFont val="Calibri"/>
        <family val="2"/>
        <scheme val="minor"/>
      </rPr>
      <t>)</t>
    </r>
  </si>
  <si>
    <r>
      <t>2.2</t>
    </r>
    <r>
      <rPr>
        <sz val="11"/>
        <color theme="1"/>
        <rFont val="Calibri"/>
        <family val="2"/>
        <scheme val="minor"/>
      </rPr>
      <t xml:space="preserve"> (5</t>
    </r>
    <r>
      <rPr>
        <vertAlign val="subscript"/>
        <sz val="11"/>
        <color theme="1"/>
        <rFont val="Calibri"/>
        <family val="2"/>
        <scheme val="minor"/>
      </rPr>
      <t>3</t>
    </r>
    <r>
      <rPr>
        <sz val="11"/>
        <color theme="1"/>
        <rFont val="Calibri"/>
        <family val="2"/>
        <scheme val="minor"/>
      </rPr>
      <t>)</t>
    </r>
  </si>
  <si>
    <r>
      <t xml:space="preserve">1.4 </t>
    </r>
    <r>
      <rPr>
        <sz val="11"/>
        <color theme="1"/>
        <rFont val="Calibri"/>
        <family val="2"/>
        <scheme val="minor"/>
      </rPr>
      <t>(6</t>
    </r>
    <r>
      <rPr>
        <vertAlign val="subscript"/>
        <sz val="11"/>
        <color theme="1"/>
        <rFont val="Calibri"/>
        <family val="2"/>
        <scheme val="minor"/>
      </rPr>
      <t>2</t>
    </r>
    <r>
      <rPr>
        <sz val="11"/>
        <color theme="1"/>
        <rFont val="Calibri"/>
        <family val="2"/>
        <scheme val="minor"/>
      </rPr>
      <t>)</t>
    </r>
  </si>
  <si>
    <r>
      <t>2.3</t>
    </r>
    <r>
      <rPr>
        <sz val="11"/>
        <color theme="1"/>
        <rFont val="Calibri"/>
        <family val="2"/>
        <scheme val="minor"/>
      </rPr>
      <t xml:space="preserve"> (6</t>
    </r>
    <r>
      <rPr>
        <vertAlign val="subscript"/>
        <sz val="11"/>
        <color theme="1"/>
        <rFont val="Calibri"/>
        <family val="2"/>
        <scheme val="minor"/>
      </rPr>
      <t>3</t>
    </r>
    <r>
      <rPr>
        <sz val="11"/>
        <color theme="1"/>
        <rFont val="Calibri"/>
        <family val="2"/>
        <scheme val="minor"/>
      </rPr>
      <t>)</t>
    </r>
  </si>
  <si>
    <r>
      <t xml:space="preserve">Length Type </t>
    </r>
    <r>
      <rPr>
        <sz val="11"/>
        <color theme="1"/>
        <rFont val="Calibri"/>
        <family val="2"/>
        <scheme val="minor"/>
      </rPr>
      <t>(SL, TL, FL, PO)</t>
    </r>
  </si>
  <si>
    <t>1st Quantile (TT01%)</t>
  </si>
  <si>
    <t>Peak or Median (TT50%)</t>
  </si>
  <si>
    <t>3rd Quantile (TT99%)</t>
  </si>
  <si>
    <r>
      <t xml:space="preserve">1.2 </t>
    </r>
    <r>
      <rPr>
        <sz val="11"/>
        <color theme="1"/>
        <rFont val="Calibri"/>
        <family val="2"/>
        <scheme val="minor"/>
      </rPr>
      <t>(4</t>
    </r>
    <r>
      <rPr>
        <vertAlign val="subscript"/>
        <sz val="11"/>
        <color theme="1"/>
        <rFont val="Calibri"/>
        <family val="2"/>
        <scheme val="minor"/>
      </rPr>
      <t>2</t>
    </r>
    <r>
      <rPr>
        <sz val="11"/>
        <color theme="1"/>
        <rFont val="Calibri"/>
        <family val="2"/>
        <scheme val="minor"/>
      </rPr>
      <t>)</t>
    </r>
  </si>
  <si>
    <r>
      <t>2.1</t>
    </r>
    <r>
      <rPr>
        <sz val="11"/>
        <color theme="1"/>
        <rFont val="Calibri"/>
        <family val="2"/>
        <scheme val="minor"/>
      </rPr>
      <t xml:space="preserve"> (4</t>
    </r>
    <r>
      <rPr>
        <vertAlign val="subscript"/>
        <sz val="11"/>
        <color theme="1"/>
        <rFont val="Calibri"/>
        <family val="2"/>
        <scheme val="minor"/>
      </rPr>
      <t>3</t>
    </r>
    <r>
      <rPr>
        <sz val="11"/>
        <color theme="1"/>
        <rFont val="Calibri"/>
        <family val="2"/>
        <scheme val="minor"/>
      </rPr>
      <t>)</t>
    </r>
  </si>
  <si>
    <r>
      <t>1.4</t>
    </r>
    <r>
      <rPr>
        <sz val="11"/>
        <color theme="1"/>
        <rFont val="Calibri"/>
        <family val="2"/>
        <scheme val="minor"/>
      </rPr>
      <t xml:space="preserve"> (6</t>
    </r>
    <r>
      <rPr>
        <vertAlign val="subscript"/>
        <sz val="11"/>
        <color theme="1"/>
        <rFont val="Calibri"/>
        <family val="2"/>
        <scheme val="minor"/>
      </rPr>
      <t>2</t>
    </r>
    <r>
      <rPr>
        <sz val="11"/>
        <color theme="1"/>
        <rFont val="Calibri"/>
        <family val="2"/>
        <scheme val="minor"/>
      </rPr>
      <t>)</t>
    </r>
  </si>
  <si>
    <r>
      <t xml:space="preserve">2.3 </t>
    </r>
    <r>
      <rPr>
        <sz val="11"/>
        <color theme="1"/>
        <rFont val="Calibri"/>
        <family val="2"/>
        <scheme val="minor"/>
      </rPr>
      <t>(6</t>
    </r>
    <r>
      <rPr>
        <vertAlign val="subscript"/>
        <sz val="11"/>
        <color theme="1"/>
        <rFont val="Calibri"/>
        <family val="2"/>
        <scheme val="minor"/>
      </rPr>
      <t>3</t>
    </r>
    <r>
      <rPr>
        <sz val="11"/>
        <color theme="1"/>
        <rFont val="Calibri"/>
        <family val="2"/>
        <scheme val="minor"/>
      </rPr>
      <t>)</t>
    </r>
  </si>
  <si>
    <t>Okanagan-Osoyoos</t>
  </si>
  <si>
    <t>Ok adults at mouth of Columbia (based on BONN counts (adj. 24-hr counts) + [[downstream harvest (Zones 1-5) apportioned to stock (based on annual RRH:Rock dam ratios)]]. [hs 2023-02-03]</t>
  </si>
  <si>
    <t>Adult abundance, stock comp, and age comp: Total OK Sox abundance based on BON SK dam count + Zone1-6 harvest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t>
  </si>
  <si>
    <t>howard.stiff@shaw.ca</t>
  </si>
  <si>
    <t>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t>
  </si>
  <si>
    <t>Hot summer, high Columbia/Okanogan water temps == mass mortality of adults ~95%.  Possible Temp-Oxy squeeze impact in late summer 2015.</t>
  </si>
  <si>
    <t>Age composition preliminary (JF 2022-05-06]]</t>
  </si>
  <si>
    <t xml:space="preserve">Hot summer, high Columbia/Okanogan water temps.  </t>
  </si>
  <si>
    <t>Based on 663,253 Sox at Bonneville as of 11.Oct.22 (harvest not included). Stock composition (84% Okanagan-bound) (~537,299 SK) and age composition preliminary (JF 2022-07-29]]. H-O fish fraction not determined.</t>
  </si>
  <si>
    <t>Get average age comp</t>
  </si>
  <si>
    <t>Return</t>
  </si>
  <si>
    <t>O_Age1</t>
  </si>
  <si>
    <t>O_Age2</t>
  </si>
  <si>
    <t>O_Age3</t>
  </si>
  <si>
    <t>for 1-ocean, 2-ocean,</t>
  </si>
  <si>
    <t>and 3-ocean fish</t>
  </si>
  <si>
    <t>for forecasting 2023</t>
  </si>
  <si>
    <t>AVG</t>
  </si>
  <si>
    <r>
      <rPr>
        <b/>
        <sz val="11"/>
        <color rgb="FFFF0000"/>
        <rFont val="Calibri"/>
        <family val="2"/>
        <scheme val="minor"/>
      </rPr>
      <t>NOTE: This worksheet is updated automatically from the</t>
    </r>
    <r>
      <rPr>
        <b/>
        <sz val="11"/>
        <color rgb="FFC00000"/>
        <rFont val="Calibri"/>
        <family val="2"/>
        <scheme val="minor"/>
      </rPr>
      <t xml:space="preserve"> </t>
    </r>
    <r>
      <rPr>
        <b/>
        <u/>
        <sz val="11"/>
        <color theme="4" tint="-0.249977111117893"/>
        <rFont val="Calibri"/>
        <family val="2"/>
        <scheme val="minor"/>
      </rPr>
      <t>Juvenile</t>
    </r>
    <r>
      <rPr>
        <b/>
        <sz val="11"/>
        <color rgb="FFC00000"/>
        <rFont val="Calibri"/>
        <family val="2"/>
        <scheme val="minor"/>
      </rPr>
      <t xml:space="preserve"> </t>
    </r>
    <r>
      <rPr>
        <b/>
        <sz val="11"/>
        <color rgb="FFFF0000"/>
        <rFont val="Calibri"/>
        <family val="2"/>
        <scheme val="minor"/>
      </rPr>
      <t>and</t>
    </r>
    <r>
      <rPr>
        <b/>
        <sz val="11"/>
        <color rgb="FFC00000"/>
        <rFont val="Calibri"/>
        <family val="2"/>
        <scheme val="minor"/>
      </rPr>
      <t xml:space="preserve"> </t>
    </r>
    <r>
      <rPr>
        <b/>
        <u/>
        <sz val="11"/>
        <color rgb="FFC00000"/>
        <rFont val="Calibri"/>
        <family val="2"/>
        <scheme val="minor"/>
      </rPr>
      <t>Adult Returns Data</t>
    </r>
    <r>
      <rPr>
        <b/>
        <sz val="11"/>
        <color rgb="FFC00000"/>
        <rFont val="Calibri"/>
        <family val="2"/>
        <scheme val="minor"/>
      </rPr>
      <t xml:space="preserve"> </t>
    </r>
    <r>
      <rPr>
        <b/>
        <sz val="11"/>
        <color rgb="FFFF0000"/>
        <rFont val="Calibri"/>
        <family val="2"/>
        <scheme val="minor"/>
      </rPr>
      <t>worksheets, except for the</t>
    </r>
    <r>
      <rPr>
        <b/>
        <sz val="11"/>
        <color rgb="FFC00000"/>
        <rFont val="Calibri"/>
        <family val="2"/>
        <scheme val="minor"/>
      </rPr>
      <t xml:space="preserve"> </t>
    </r>
    <r>
      <rPr>
        <b/>
        <sz val="11"/>
        <rFont val="Calibri"/>
        <family val="2"/>
        <scheme val="minor"/>
      </rPr>
      <t>Additional Comments</t>
    </r>
    <r>
      <rPr>
        <b/>
        <sz val="11"/>
        <color rgb="FFC00000"/>
        <rFont val="Calibri"/>
        <family val="2"/>
        <scheme val="minor"/>
      </rPr>
      <t xml:space="preserve"> </t>
    </r>
    <r>
      <rPr>
        <b/>
        <sz val="11"/>
        <color rgb="FFFF0000"/>
        <rFont val="Calibri"/>
        <family val="2"/>
        <scheme val="minor"/>
      </rPr>
      <t>column.</t>
    </r>
  </si>
  <si>
    <r>
      <t xml:space="preserve">Total Pre-Smolt Abundance </t>
    </r>
    <r>
      <rPr>
        <sz val="11"/>
        <color theme="1"/>
        <rFont val="Calibri"/>
        <family val="2"/>
        <scheme val="minor"/>
      </rPr>
      <t>(#fish)</t>
    </r>
  </si>
  <si>
    <r>
      <t xml:space="preserve">Total Adult Returns </t>
    </r>
    <r>
      <rPr>
        <sz val="11"/>
        <color theme="1"/>
        <rFont val="Calibri"/>
        <family val="2"/>
        <scheme val="minor"/>
      </rPr>
      <t>(#fish)</t>
    </r>
  </si>
  <si>
    <t>SAR</t>
  </si>
  <si>
    <t>Methods and Notes</t>
  </si>
  <si>
    <t>Smolt Data Notes</t>
  </si>
  <si>
    <t>Adult Data Notes</t>
  </si>
  <si>
    <t>Additional Comments</t>
  </si>
  <si>
    <t>NOAA OCI Mean of Ranks</t>
  </si>
  <si>
    <t>ORIG WELLS</t>
  </si>
  <si>
    <t>Note: Total adult returns (to the mouth of Columbia) now estimated based on (1) Wells Dam counts (adjusted pre-1998 to 24-hr counts); (2) downstream harvest below Wells (i.e., Zones 1-5 below Bonneville + Zone 6 Bonn-McNary) allocated to stock via annual Wells:RockIsland count ratios; and (3) estimated mainstem natural mortality between Bonneville (16-hr counts) and Wells 16-hr counts, also allocated to stock via annual Wells:RockIsland count ratios</t>
  </si>
  <si>
    <t>Missing age is a true zero for age 52 in 1999 [hs 2022-05-04]</t>
  </si>
  <si>
    <t>Missing age is a true zero for age 52 in 2004 [hs 2022-05-04]</t>
  </si>
  <si>
    <t>Murauskas et al. 2021</t>
  </si>
  <si>
    <t>SAR 3.1% (Murauskas et al. 2021 Table 5.</t>
  </si>
  <si>
    <r>
      <t xml:space="preserve">Select </t>
    </r>
    <r>
      <rPr>
        <b/>
        <sz val="11"/>
        <color theme="1"/>
        <rFont val="Calibri"/>
        <family val="2"/>
        <scheme val="minor"/>
      </rPr>
      <t>Smolt Year</t>
    </r>
    <r>
      <rPr>
        <sz val="11"/>
        <color theme="1"/>
        <rFont val="Calibri"/>
        <family val="2"/>
        <scheme val="minor"/>
      </rPr>
      <t xml:space="preserve"> (SY) :</t>
    </r>
  </si>
  <si>
    <r>
      <t xml:space="preserve">to list associated </t>
    </r>
    <r>
      <rPr>
        <b/>
        <sz val="11"/>
        <color theme="1"/>
        <rFont val="Calibri"/>
        <family val="2"/>
        <scheme val="minor"/>
      </rPr>
      <t>Return Year</t>
    </r>
    <r>
      <rPr>
        <sz val="11"/>
        <color theme="1"/>
        <rFont val="Calibri"/>
        <family val="2"/>
        <scheme val="minor"/>
      </rPr>
      <t xml:space="preserve"> and </t>
    </r>
    <r>
      <rPr>
        <b/>
        <sz val="11"/>
        <color theme="1"/>
        <rFont val="Calibri"/>
        <family val="2"/>
        <scheme val="minor"/>
      </rPr>
      <t>Adult Return at Age</t>
    </r>
    <r>
      <rPr>
        <sz val="11"/>
        <color theme="1"/>
        <rFont val="Calibri"/>
        <family val="2"/>
        <scheme val="minor"/>
      </rPr>
      <t xml:space="preserve"> in that year</t>
    </r>
  </si>
  <si>
    <t>SAR 0.9% (Murauskas et al. 2021 Table 5.</t>
  </si>
  <si>
    <t>SAR 0.4% (Murauskas et al. 2021 Table 5.</t>
  </si>
  <si>
    <t>TOTAL</t>
  </si>
  <si>
    <t>SAR 0.6% (Murauskas et al. 2021 Table 5.</t>
  </si>
  <si>
    <t>Juv abundance based on one October survey (1,556,054) due to frozen lakes in winter. M/S likely approximate, since 3-ocean returns (41s, 52s and 63s) from SY 2019 returning in 2022 may be preliminary [2022-07-22].</t>
  </si>
  <si>
    <t>M/S likely approximate, since 2-ocean returns (42s, 53s and 64s) from SY 2020 returning in 2022 are preliminary [2022-07-22].</t>
  </si>
  <si>
    <t>RY</t>
  </si>
  <si>
    <t>New Adult Totals</t>
  </si>
  <si>
    <t>SIS old</t>
  </si>
  <si>
    <t>diff</t>
  </si>
  <si>
    <t>pct</t>
  </si>
  <si>
    <t>Old Adult Totals</t>
  </si>
  <si>
    <t>SAR (RRH)</t>
  </si>
  <si>
    <t>SAR (Wells)</t>
  </si>
  <si>
    <t>Based on RRH Methods…</t>
  </si>
  <si>
    <t>Years</t>
  </si>
  <si>
    <t>Min</t>
  </si>
  <si>
    <t>Mean</t>
  </si>
  <si>
    <t>Max</t>
  </si>
  <si>
    <t>SD</t>
  </si>
  <si>
    <t>Pre-FWMT</t>
  </si>
  <si>
    <t>FWMT</t>
  </si>
  <si>
    <t>Percent Improvement:</t>
  </si>
  <si>
    <t>Pre-FWMT years include years of "ATS Equivalents" based on McNary Dam counts, 1985-1997 (Stockwell, unpub.); other years: Bailey et al. 2023</t>
  </si>
  <si>
    <t>Out-migration Year</t>
  </si>
  <si>
    <t>Pre-FWMT years restricted to 1998-2001 ATS data only; all years from Bailey et al. 2023</t>
  </si>
  <si>
    <r>
      <t xml:space="preserve">UPDATED to reflect FWMT full implementation in BY2004 -- thus "POST-FWMT" smolt production beginning in SY2006 </t>
    </r>
    <r>
      <rPr>
        <sz val="11"/>
        <color rgb="FF006100"/>
        <rFont val="Calibri"/>
        <family val="2"/>
        <scheme val="minor"/>
      </rPr>
      <t>[hs 2023-06-26]</t>
    </r>
  </si>
  <si>
    <t>Pre-FWMT years include years of "ATS Equivalents" based on McNary Dam counts, SY1985-1997 (Stockwell, unpub.); other years: Bailey et al. 2023</t>
  </si>
  <si>
    <t>Pre-FWMT years restricted to SY1998-2005 ATS data only; all years from Bailey et al. 2023</t>
  </si>
  <si>
    <r>
      <t xml:space="preserve">UPDATED with </t>
    </r>
    <r>
      <rPr>
        <b/>
        <sz val="11"/>
        <color theme="5"/>
        <rFont val="Calibri"/>
        <family val="2"/>
        <scheme val="minor"/>
      </rPr>
      <t>FWMT development years (BY1999-2003, SY2001-2005)</t>
    </r>
    <r>
      <rPr>
        <b/>
        <sz val="11"/>
        <color rgb="FF006100"/>
        <rFont val="Calibri"/>
        <family val="2"/>
        <scheme val="minor"/>
      </rPr>
      <t xml:space="preserve">, which are omitted from the </t>
    </r>
    <r>
      <rPr>
        <b/>
        <i/>
        <sz val="11"/>
        <color rgb="FF006100"/>
        <rFont val="Calibri"/>
        <family val="2"/>
        <scheme val="minor"/>
      </rPr>
      <t xml:space="preserve">%Improvement (Pre- to Post-FWMT) </t>
    </r>
    <r>
      <rPr>
        <b/>
        <sz val="11"/>
        <color rgb="FF006100"/>
        <rFont val="Calibri"/>
        <family val="2"/>
        <scheme val="minor"/>
      </rPr>
      <t>calculations…</t>
    </r>
  </si>
  <si>
    <t>Dev-FWMT</t>
  </si>
  <si>
    <t>Post-FWMT</t>
  </si>
  <si>
    <t>% Improvement Pre to Post:</t>
  </si>
  <si>
    <t>Pre-FWMT years restricted to years of ATS data only (SY1998-2000); all years from Bailey et al. 2023</t>
  </si>
  <si>
    <t>Based on RRH:RI ratios for stock identification</t>
  </si>
  <si>
    <t>New</t>
  </si>
  <si>
    <t>Old</t>
  </si>
  <si>
    <t>Status</t>
  </si>
  <si>
    <t>NOTE</t>
  </si>
  <si>
    <t xml:space="preserve">Return Year </t>
  </si>
  <si>
    <t>Age Composition Method</t>
  </si>
  <si>
    <t>Reference</t>
  </si>
  <si>
    <t>Comments</t>
  </si>
  <si>
    <t>NOTES</t>
  </si>
  <si>
    <t>Unresolved</t>
  </si>
  <si>
    <t>WORK in PROGRESS: The proportions in this spreadsheet are being used with the Adult Returns in column B to populate the returns at age in tab Adult Returns Data [cb/hs 2022-11-26]</t>
  </si>
  <si>
    <t>No age comp data - SIRE multi-year mean the best available information (not ideal)</t>
  </si>
  <si>
    <t>Are there length data anywhere that could be applied, as in Fryer (1995)?</t>
  </si>
  <si>
    <t>Rows are white (unchecked), red (unresolved), yellow (conditionally resolved) or green (resolved &amp; approved)</t>
  </si>
  <si>
    <t>Approved</t>
  </si>
  <si>
    <t>Fryer</t>
  </si>
  <si>
    <t>(Fryer 1995)</t>
  </si>
  <si>
    <t>Marine ages based on length</t>
  </si>
  <si>
    <t>SIRE</t>
  </si>
  <si>
    <t>No directly measured age comp data. Marine ages based on length-at-age relationships. Alternative SIRE multi-year mean.</t>
  </si>
  <si>
    <t>Very high jack proportion - the thesis reviewed?</t>
  </si>
  <si>
    <t>Fryer pers.data (Schwatzberg and Fryer 1989)</t>
  </si>
  <si>
    <t>Fryer pers.data (Schwatzberg and Fryer 1990)</t>
  </si>
  <si>
    <t>Unchecked</t>
  </si>
  <si>
    <t>Check info re: high jack proportion?</t>
  </si>
  <si>
    <t>Fryer pers.data (Schwatzberg and Fryer 1991)</t>
  </si>
  <si>
    <t>Wells Dam 406 fish sampled by Fryer. ***Need the report that produced the SIRE data for this year to assess which data source may be better</t>
  </si>
  <si>
    <t>Fryer pers.data (Fryer et al 1992)</t>
  </si>
  <si>
    <t>Fryer pers.data (Fryer and Schwartzberg 1993)</t>
  </si>
  <si>
    <t>Fryer, pers.data (Fryer &amp; Schwartzberg 1994)</t>
  </si>
  <si>
    <t>(official source ref unknown)</t>
  </si>
  <si>
    <t>No comments on the Fryer data nor any source information (nothing on CRIT-FC either) or why they used Fryer instead of SIRE but it looks like the SIRE option is just multi-year average so Fryer is by default the better data source.</t>
  </si>
  <si>
    <t>QA/QC by BJ</t>
  </si>
  <si>
    <t>Use Fryer since ONA N=48, Prop1.2=98%, Prop1.1=0% i.e., zero jacks; may not be representative</t>
  </si>
  <si>
    <t>Updated: 2023-03-14</t>
  </si>
  <si>
    <t>deadpitch</t>
  </si>
  <si>
    <t>ONA deadpitch lower Ok River</t>
  </si>
  <si>
    <t>Use Fryer &amp; Kelsey? - ONA 54% 1.2s; missing 2.3s</t>
  </si>
  <si>
    <t>(Fryer &amp; Kelsey 2003)</t>
  </si>
  <si>
    <t>Spawning ground estimate included no age-2 smolts. Does Osoyoos Lake even produce 2-yr old smolts or is the growth rate too high? Original choice Fryer but what evidence supports Fryer over SIRE? Sample size 149 fish for Fryer. Where do the SIRE data come from?</t>
  </si>
  <si>
    <t>Fryer found 10% 3.1s - not in ONA S.G., probably lumped with 1.3s ?</t>
  </si>
  <si>
    <t>(Fryer 2004)</t>
  </si>
  <si>
    <t>Fryer found 1.8% 3.1s - not in ONA S.G., probably lumped with 1.3s ?</t>
  </si>
  <si>
    <t>(Fryer 2005)</t>
  </si>
  <si>
    <t>Fryer found 2% 2.3s - not in ONA S.G., probably lumped with 1.3s ?</t>
  </si>
  <si>
    <t>(Fryer 2006)</t>
  </si>
  <si>
    <t>Not QA/QC'd</t>
  </si>
  <si>
    <t>No age data found yet for QA/QC of this age comp</t>
  </si>
  <si>
    <t>Age 1.2 66%; now 80%</t>
  </si>
  <si>
    <t>(Fryer et al. 2014)</t>
  </si>
  <si>
    <t>ONA N=115</t>
  </si>
  <si>
    <t>QA/QC by BJ, AO</t>
  </si>
  <si>
    <t>Minor revisions by AO [2024-03-23]</t>
  </si>
  <si>
    <t>Updated: 2024-03-23</t>
  </si>
  <si>
    <t>Minor revisions by AO (2024-03-23) Fryer had 25% 1.1s and 60% 1.2s</t>
  </si>
  <si>
    <t>Minor revisions by AO (2024-03-23) Fryer had 96% 1.2s and no 1.3s</t>
  </si>
  <si>
    <t xml:space="preserve">Minor revisions by AO (2024-03-23) Fryer had 94% 1.2s </t>
  </si>
  <si>
    <t>Name</t>
  </si>
  <si>
    <r>
      <t xml:space="preserve">Total Smolt Abundance </t>
    </r>
    <r>
      <rPr>
        <sz val="11"/>
        <color theme="1"/>
        <rFont val="Calibri"/>
        <family val="2"/>
        <scheme val="minor"/>
      </rPr>
      <t>(#fish)</t>
    </r>
  </si>
  <si>
    <r>
      <t xml:space="preserve">Total Adult Returns </t>
    </r>
    <r>
      <rPr>
        <sz val="11"/>
        <color theme="1"/>
        <rFont val="Calibri"/>
        <family val="2"/>
        <scheme val="minor"/>
      </rPr>
      <t>(old)</t>
    </r>
  </si>
  <si>
    <r>
      <t xml:space="preserve">Marine Survival </t>
    </r>
    <r>
      <rPr>
        <sz val="11"/>
        <color theme="1"/>
        <rFont val="Calibri"/>
        <family val="2"/>
        <scheme val="minor"/>
      </rPr>
      <t>(old)</t>
    </r>
  </si>
  <si>
    <r>
      <t xml:space="preserve">Marine Survival </t>
    </r>
    <r>
      <rPr>
        <sz val="11"/>
        <color theme="1"/>
        <rFont val="Calibri"/>
        <family val="2"/>
        <scheme val="minor"/>
      </rPr>
      <t>(%)</t>
    </r>
  </si>
  <si>
    <t>HS 2022-10-18</t>
  </si>
  <si>
    <r>
      <t xml:space="preserve">P-SAR Marine Survival </t>
    </r>
    <r>
      <rPr>
        <sz val="11"/>
        <color theme="1"/>
        <rFont val="Calibri"/>
        <family val="2"/>
        <scheme val="minor"/>
      </rPr>
      <t>(%)</t>
    </r>
  </si>
  <si>
    <t>Implications for Salmon at Ocean Entry</t>
  </si>
  <si>
    <t>Age Group(s)</t>
  </si>
  <si>
    <t>Multi-Year Mean Age Composition</t>
  </si>
  <si>
    <r>
      <t xml:space="preserve">Multi-Year Mean P-SAR Survival </t>
    </r>
    <r>
      <rPr>
        <sz val="11"/>
        <color theme="1"/>
        <rFont val="Calibri"/>
        <family val="2"/>
        <scheme val="minor"/>
      </rPr>
      <t xml:space="preserve">(since </t>
    </r>
    <r>
      <rPr>
        <sz val="11"/>
        <color rgb="FFC00000"/>
        <rFont val="Calibri"/>
        <family val="2"/>
        <scheme val="minor"/>
      </rPr>
      <t>1998</t>
    </r>
    <r>
      <rPr>
        <sz val="11"/>
        <color theme="1"/>
        <rFont val="Calibri"/>
        <family val="2"/>
        <scheme val="minor"/>
      </rPr>
      <t>)</t>
    </r>
  </si>
  <si>
    <t>2023 Returns at Age</t>
  </si>
  <si>
    <r>
      <t xml:space="preserve">Multi-Year Mean P-SAR Survival </t>
    </r>
    <r>
      <rPr>
        <sz val="11"/>
        <color theme="1"/>
        <rFont val="Calibri"/>
        <family val="2"/>
        <scheme val="minor"/>
      </rPr>
      <t xml:space="preserve">(since </t>
    </r>
    <r>
      <rPr>
        <sz val="11"/>
        <color rgb="FFC00000"/>
        <rFont val="Calibri"/>
        <family val="2"/>
        <scheme val="minor"/>
      </rPr>
      <t>2006</t>
    </r>
    <r>
      <rPr>
        <sz val="11"/>
        <color theme="1"/>
        <rFont val="Calibri"/>
        <family val="2"/>
        <scheme val="minor"/>
      </rPr>
      <t>)</t>
    </r>
  </si>
  <si>
    <t>Poor</t>
  </si>
  <si>
    <t>Poor year for 4-ocean fish returning in 2023</t>
  </si>
  <si>
    <t>62s</t>
  </si>
  <si>
    <t>Fair</t>
  </si>
  <si>
    <t>Mediocre year for 3-ocean fish returning in 2023</t>
  </si>
  <si>
    <t>52s and 63s</t>
  </si>
  <si>
    <t>Good</t>
  </si>
  <si>
    <t>Good year for 2-ocean fish returning in 2023</t>
  </si>
  <si>
    <t>42s and 53s</t>
  </si>
  <si>
    <t>Fair year for 1-ocean fish returning in 2023 (good PDO/ONI, fair local BIO, but poor local PHYS like SST)</t>
  </si>
  <si>
    <t>Jacks-n-Jills</t>
  </si>
  <si>
    <t>to</t>
  </si>
  <si>
    <t>Wild Only</t>
  </si>
  <si>
    <t>2020-2022 Smolt Estimate Error:</t>
  </si>
  <si>
    <t>from CNAT surveys</t>
  </si>
  <si>
    <t>Forecast</t>
  </si>
  <si>
    <t>Okanogan</t>
  </si>
  <si>
    <t>Lower 95%</t>
  </si>
  <si>
    <t>Wenatchee</t>
  </si>
  <si>
    <t>Upper 95%</t>
  </si>
  <si>
    <t>Snake</t>
  </si>
  <si>
    <t xml:space="preserve">Source: </t>
  </si>
  <si>
    <t>Columbia River Adult Salmon Returns: Actual and Forecasted (wa.gov)</t>
  </si>
  <si>
    <t>Jeff Fryer?</t>
  </si>
  <si>
    <t>Decade</t>
  </si>
  <si>
    <t>Return Year</t>
  </si>
  <si>
    <t>Brood Year</t>
  </si>
  <si>
    <t>Smolt Year</t>
  </si>
  <si>
    <t>Total Sox (Mouth)  [16-hour]</t>
  </si>
  <si>
    <t>Total Sox (Bonn)  [16-hour]</t>
  </si>
  <si>
    <t>Total Sox (Rock)  [24-hour]</t>
  </si>
  <si>
    <t>Total Sox (Wells) [24-hour]</t>
  </si>
  <si>
    <t>Ok Stock Composition (Wells:Rock [adj])</t>
  </si>
  <si>
    <t>OK Sox at Mouth</t>
  </si>
  <si>
    <t>OK Stock 1 (Bonn)</t>
  </si>
  <si>
    <t>Ok Stock Comp 2 (Bonn)</t>
  </si>
  <si>
    <t>OK Stock 2 (Bonn)</t>
  </si>
  <si>
    <t>Bon to Wells (CR)</t>
  </si>
  <si>
    <t>OKSox Harvest Below Wells</t>
  </si>
  <si>
    <t>Harvest Below Wells (%)</t>
  </si>
  <si>
    <t>Total B4 Harvest (Wells)</t>
  </si>
  <si>
    <t>Bon to Wells (Adj CR)</t>
  </si>
  <si>
    <t>Total Age (Years)</t>
  </si>
  <si>
    <t>FW Years</t>
  </si>
  <si>
    <t>Age Comp (Fryer)</t>
  </si>
  <si>
    <t>Returns at Age (Bonn)</t>
  </si>
  <si>
    <t>Age Comp (SIRE)</t>
  </si>
  <si>
    <t>Ok Returns at Mouth (Best)</t>
  </si>
  <si>
    <t>OK Returns at Age (Bonn)</t>
  </si>
  <si>
    <t>OK Returns at Age 2 (Bonn)</t>
  </si>
  <si>
    <t>OK Returns at Age 3 (Bonn)</t>
  </si>
  <si>
    <t>OK Returns at Age BEST (Bonn)</t>
  </si>
  <si>
    <t>Returns at Age (Wells)</t>
  </si>
  <si>
    <t>Returns at Age (Wells b4 Harvest)</t>
  </si>
  <si>
    <t>Bon To Wells (Adj)</t>
  </si>
  <si>
    <t>Okanagan Sockeye</t>
  </si>
  <si>
    <t>Use SIRE default age comp</t>
  </si>
  <si>
    <t>Fryer thesis: freshwater aged, marine ages based on length</t>
  </si>
  <si>
    <t>no age comp data - multi-year mean applied</t>
  </si>
  <si>
    <t>Fryer pers. data; Schwartzberg and Fryer 1989</t>
  </si>
  <si>
    <t>Fryer pers. data; Schwartzberg and Fryer 1991</t>
  </si>
  <si>
    <t>Fryer pers. data; Schwartzberg and Fryer 1993</t>
  </si>
  <si>
    <t>Fryer pers. data; Schwartzberg and Fryer 1990</t>
  </si>
  <si>
    <t>Fryer pers. data; Schwartzberg and Fryer 1992</t>
  </si>
  <si>
    <t>Fryer pers. data: Fryer and Schwartzberg 1990</t>
  </si>
  <si>
    <t>Fryer pers. data: Fryer and Schwartzberg 1991</t>
  </si>
  <si>
    <t>Fryer pers data; Fryer et al 1992</t>
  </si>
  <si>
    <t>Fryer personal data; Fryer and Schwartzberg 1993</t>
  </si>
  <si>
    <t>Jeff Fryer, pers.data &amp; Fryer &amp; Schwartzberg 1994</t>
  </si>
  <si>
    <t>Fryer: pers data (Wells Dam)) used for SIRE age comps</t>
  </si>
  <si>
    <t>SIRE = spawning grounds; Wells = 0.031 CRITFC 02_02 Table 3</t>
  </si>
  <si>
    <t>spawning grounds; Wells = 0.940</t>
  </si>
  <si>
    <t>spawning grounds; Wells = 0.020</t>
  </si>
  <si>
    <t>spawning grounds; Wells = 0.006</t>
  </si>
  <si>
    <t>spawning grounds; Wells = 0.003</t>
  </si>
  <si>
    <t>Use Fryer; SIRE = spawning grounds no 53s; Wells = 0.015</t>
  </si>
  <si>
    <t>Use Fryer; SIRE = spawning grounds no 53s; Wells = 0.441</t>
  </si>
  <si>
    <t>Use Fryer; SIRE = spawning grounds no 53s; Wells = 0.160</t>
  </si>
  <si>
    <t>Use Fryer; SIRE = spawning grounds no 53s; Wells = 0.236</t>
  </si>
  <si>
    <t>SIRE = Broodstock (hatchery highgrading?), use Fryer</t>
  </si>
  <si>
    <t>Fryer age 1.3 comp (0.4%) is quite low relative to spawning ground data; Fryer age comp only adds up to 98.5%, so adding 1.5% to age 1.3 composition [2022-10-30]</t>
  </si>
  <si>
    <t>check age comp for 2003 with Jeff? DONE [10/21/2020]</t>
  </si>
  <si>
    <t>a lot of older fish</t>
  </si>
  <si>
    <t>SIRE = broodstock?  Wells = 0.016, Use Fryer</t>
  </si>
  <si>
    <t>broodstock; Wells = 0.951</t>
  </si>
  <si>
    <t>broodstock; Wells = na</t>
  </si>
  <si>
    <t>broodstock; Wells = 0.001</t>
  </si>
  <si>
    <t>broodstock; Wells = 0.017</t>
  </si>
  <si>
    <t>broodstock: Wells = 0.015</t>
  </si>
  <si>
    <t>broodstock; Wells = 0.887</t>
  </si>
  <si>
    <t>broodstock; Wells = 0.039</t>
  </si>
  <si>
    <t>broodstock; Wells = 0.023</t>
  </si>
  <si>
    <t>CNAT - deadpitch ages &lt;-- use</t>
  </si>
  <si>
    <t>CNAT - deadpitch ages</t>
  </si>
  <si>
    <t>Using Fryer, since SIRE age comp does not add up to 100%</t>
  </si>
  <si>
    <t>NB: 2015 was DEATH year for Columbia sox because of high temps</t>
  </si>
  <si>
    <t>mortalities between BON and Wells unknown</t>
  </si>
  <si>
    <t>~10% of Ok Sox returned to spawning grounds</t>
  </si>
  <si>
    <t>* sample sizes for ages extremely small - use Fryer age comp</t>
  </si>
  <si>
    <t>presuming SIRE age comp from Sp Grds in 2016</t>
  </si>
  <si>
    <t>presuming SIRE age comp from Sp Grds in 2017</t>
  </si>
  <si>
    <t>based on deadpitch of natural spawners in "2018 Deadpiitch Adult Sockeye BioData.xlsx 10/21/2020</t>
  </si>
  <si>
    <t>based on deadpitch of natural spawners in "2018 Deadpiitch Adult Sockeye BioData.xlsx 10/21/2021</t>
  </si>
  <si>
    <t>based on deadpitch of natural spawners in "2018 Deadpiitch Adult Sockeye BioData.xlsx 10/21/2022</t>
  </si>
  <si>
    <t>based on deadpitch of natural spawners in "2018 Deadpiitch Adult Sockeye BioData.xlsx 10/21/2023</t>
  </si>
  <si>
    <t>based on deadpitch of natural spawners in "2018 Deadpiitch Adult Sockeye BioData.xlsx 10/21/2024</t>
  </si>
  <si>
    <t>Mean %OK = 85.7% from CNAT_Escapement Units _2020.xlsx!%Okanagan - avg of Wells/RIS &amp; RRH/RIS estimates [HS July 2020]</t>
  </si>
  <si>
    <t>Fryer's sampling at BON -- 85% OK; 11% Wenatchee; 4% other [prelim. 14/09/2020]</t>
  </si>
  <si>
    <t>Ages for 2019 Return year are from Fryer's sampling at BON [prelim, report not finalized, 14/09/2020]</t>
  </si>
  <si>
    <t>Ages for 2019 now from deadpitch [11/3/2020]</t>
  </si>
  <si>
    <t>Deadpitch age comp from ONA to AO [2024-03-23]</t>
  </si>
  <si>
    <t>Ok Aggregate!</t>
  </si>
  <si>
    <r>
      <t xml:space="preserve">This PIVOT table must be arranged by </t>
    </r>
    <r>
      <rPr>
        <b/>
        <sz val="11"/>
        <rFont val="Calibri"/>
        <family val="2"/>
        <scheme val="minor"/>
      </rPr>
      <t>SMOLT YEAR</t>
    </r>
    <r>
      <rPr>
        <b/>
        <sz val="11"/>
        <color rgb="FFC00000"/>
        <rFont val="Calibri"/>
        <family val="2"/>
        <scheme val="minor"/>
      </rPr>
      <t xml:space="preserve"> for age partitioning in Juvenile Data tab to be correct.</t>
    </r>
  </si>
  <si>
    <t>FW Age</t>
  </si>
  <si>
    <t>Total At Age</t>
  </si>
  <si>
    <t>Total %</t>
  </si>
  <si>
    <t>At Age</t>
  </si>
  <si>
    <t>%</t>
  </si>
  <si>
    <t>2024 Returns at Age</t>
  </si>
  <si>
    <t>Columbia River Mouth</t>
  </si>
  <si>
    <t>Non-Treaty Catch Zones 1-5</t>
  </si>
  <si>
    <t>Bonneville</t>
  </si>
  <si>
    <t>Diff: B-(C+D)</t>
  </si>
  <si>
    <t>Treaty Catch (Zone 6)</t>
  </si>
  <si>
    <t>Total Harvest Zones 1-6</t>
  </si>
  <si>
    <t>Escapement Wen+Oka?</t>
  </si>
  <si>
    <t>Tumwater (Wen)</t>
  </si>
  <si>
    <t>Wells (Oka)</t>
  </si>
  <si>
    <t>Natural Enroute Mortality? Diff: H-(I+J)</t>
  </si>
  <si>
    <t>SK Harvest as proportion of Returns</t>
  </si>
  <si>
    <t>BONNEVILLE DAM SOCKEYE ESTIMATES</t>
  </si>
  <si>
    <t>YEAR</t>
  </si>
  <si>
    <t>CHINOOK*</t>
  </si>
  <si>
    <t>STEELHEAD</t>
  </si>
  <si>
    <t>USACE</t>
  </si>
  <si>
    <t>COHO*</t>
  </si>
  <si>
    <t>CHUM</t>
  </si>
  <si>
    <t>PINK</t>
  </si>
  <si>
    <t>SALMONID</t>
  </si>
  <si>
    <t>CBR-DART</t>
  </si>
  <si>
    <t>FPC</t>
  </si>
  <si>
    <t>JSR</t>
  </si>
  <si>
    <r>
      <t xml:space="preserve">Total Sox (Mouth) </t>
    </r>
    <r>
      <rPr>
        <sz val="10"/>
        <rFont val="Tahoma"/>
        <family val="2"/>
      </rPr>
      <t xml:space="preserve"> [16-hour]</t>
    </r>
  </si>
  <si>
    <r>
      <t xml:space="preserve">Total Sox (Mouth) </t>
    </r>
    <r>
      <rPr>
        <sz val="10"/>
        <rFont val="Tahoma"/>
        <family val="2"/>
      </rPr>
      <t xml:space="preserve"> [24-hour]</t>
    </r>
  </si>
  <si>
    <r>
      <t>Total Sox (Bonn)</t>
    </r>
    <r>
      <rPr>
        <sz val="10"/>
        <rFont val="Tahoma"/>
        <family val="2"/>
      </rPr>
      <t xml:space="preserve">  [16-hour]</t>
    </r>
  </si>
  <si>
    <r>
      <t>Total Sox (Bonn)</t>
    </r>
    <r>
      <rPr>
        <sz val="10"/>
        <rFont val="Tahoma"/>
        <family val="2"/>
      </rPr>
      <t xml:space="preserve">  [24-hour]</t>
    </r>
  </si>
  <si>
    <t>Total Sockeye (Snake)</t>
  </si>
  <si>
    <r>
      <t>Total Sockeye (RockI)</t>
    </r>
    <r>
      <rPr>
        <sz val="10"/>
        <rFont val="Tahoma"/>
        <family val="2"/>
      </rPr>
      <t xml:space="preserve"> [24-hr]</t>
    </r>
  </si>
  <si>
    <r>
      <t xml:space="preserve">Total Sockeye (RRH) </t>
    </r>
    <r>
      <rPr>
        <sz val="10"/>
        <rFont val="Tahoma"/>
        <family val="2"/>
      </rPr>
      <t xml:space="preserve"> [??-hour]</t>
    </r>
  </si>
  <si>
    <r>
      <t xml:space="preserve">Total Sockeye (RRH) </t>
    </r>
    <r>
      <rPr>
        <sz val="10"/>
        <rFont val="Tahoma"/>
        <family val="2"/>
      </rPr>
      <t xml:space="preserve"> [24-hour]</t>
    </r>
  </si>
  <si>
    <t>Total Sockeye (Wells) [orig]</t>
  </si>
  <si>
    <t>Total Sockeye (Wells) [16-hour]</t>
  </si>
  <si>
    <r>
      <t xml:space="preserve">Total Sockeye (Wells) </t>
    </r>
    <r>
      <rPr>
        <sz val="10"/>
        <rFont val="Tahoma"/>
        <family val="2"/>
      </rPr>
      <t>[24-hour]</t>
    </r>
  </si>
  <si>
    <r>
      <t xml:space="preserve">Total Sockeye (TUM) </t>
    </r>
    <r>
      <rPr>
        <sz val="10"/>
        <rFont val="Tahoma"/>
        <family val="2"/>
      </rPr>
      <t>[24-hour]</t>
    </r>
  </si>
  <si>
    <t>Wells&gt;RRH Count?</t>
  </si>
  <si>
    <t>% RIS:BON</t>
  </si>
  <si>
    <r>
      <t xml:space="preserve">Okanagan Sockeye Stock Comp </t>
    </r>
    <r>
      <rPr>
        <sz val="10"/>
        <rFont val="Tahoma"/>
        <family val="2"/>
      </rPr>
      <t>(%)</t>
    </r>
  </si>
  <si>
    <r>
      <t>Ok Stock Comp</t>
    </r>
    <r>
      <rPr>
        <sz val="10"/>
        <rFont val="Tahoma"/>
        <family val="2"/>
      </rPr>
      <t xml:space="preserve"> (Wells:Rock [orig])</t>
    </r>
  </si>
  <si>
    <r>
      <t>Ok Stock Comp</t>
    </r>
    <r>
      <rPr>
        <sz val="10"/>
        <rFont val="Tahoma"/>
        <family val="2"/>
      </rPr>
      <t xml:space="preserve"> (Wells:RI)</t>
    </r>
  </si>
  <si>
    <r>
      <t xml:space="preserve">Ok Stock Comp </t>
    </r>
    <r>
      <rPr>
        <sz val="10"/>
        <rFont val="Tahoma"/>
        <family val="2"/>
      </rPr>
      <t>(SPA&amp;PIT)</t>
    </r>
  </si>
  <si>
    <r>
      <t xml:space="preserve">Ok Stock Comp </t>
    </r>
    <r>
      <rPr>
        <sz val="10"/>
        <rFont val="Tahoma"/>
        <family val="2"/>
      </rPr>
      <t>(HGMP)</t>
    </r>
  </si>
  <si>
    <r>
      <t xml:space="preserve">OK Stock Comp (%)  </t>
    </r>
    <r>
      <rPr>
        <sz val="10"/>
        <color rgb="FF0000FF"/>
        <rFont val="Tahoma"/>
        <family val="2"/>
      </rPr>
      <t>(Best)</t>
    </r>
  </si>
  <si>
    <r>
      <t xml:space="preserve">WEN Stock Comp (%)  </t>
    </r>
    <r>
      <rPr>
        <sz val="10"/>
        <color rgb="FF0000FF"/>
        <rFont val="Tahoma"/>
        <family val="2"/>
      </rPr>
      <t>(Best)</t>
    </r>
  </si>
  <si>
    <r>
      <t xml:space="preserve">WEN Sox </t>
    </r>
    <r>
      <rPr>
        <sz val="10"/>
        <rFont val="Tahoma"/>
        <family val="2"/>
      </rPr>
      <t>(RIS)</t>
    </r>
  </si>
  <si>
    <r>
      <t xml:space="preserve">Main-stem Mort Rate </t>
    </r>
    <r>
      <rPr>
        <sz val="10"/>
        <rFont val="Tahoma"/>
        <family val="2"/>
      </rPr>
      <t>(BON:RIS)</t>
    </r>
  </si>
  <si>
    <r>
      <t xml:space="preserve">OK Sox at Mouth </t>
    </r>
    <r>
      <rPr>
        <sz val="10"/>
        <rFont val="Tahoma"/>
        <family val="2"/>
      </rPr>
      <t>(RRH:RI)</t>
    </r>
  </si>
  <si>
    <r>
      <t xml:space="preserve">OK Sox at Mouth </t>
    </r>
    <r>
      <rPr>
        <sz val="10"/>
        <rFont val="Tahoma"/>
        <family val="2"/>
      </rPr>
      <t>(Wells:RI)</t>
    </r>
  </si>
  <si>
    <r>
      <t xml:space="preserve">OK Sox at Bonn </t>
    </r>
    <r>
      <rPr>
        <sz val="10"/>
        <rFont val="Tahoma"/>
        <family val="2"/>
      </rPr>
      <t>(PIT&amp;DNA)</t>
    </r>
  </si>
  <si>
    <r>
      <t xml:space="preserve">Est WEN Returns </t>
    </r>
    <r>
      <rPr>
        <sz val="10"/>
        <color rgb="FF0000FF"/>
        <rFont val="Tahoma"/>
        <family val="2"/>
      </rPr>
      <t>(BON NO)</t>
    </r>
  </si>
  <si>
    <t>Estimated Okanagan Sockeye Returns</t>
  </si>
  <si>
    <r>
      <t xml:space="preserve">WEN Sox at Mouth </t>
    </r>
    <r>
      <rPr>
        <sz val="10"/>
        <rFont val="Tahoma"/>
        <family val="2"/>
      </rPr>
      <t>(BEST)</t>
    </r>
  </si>
  <si>
    <r>
      <t>WEN Nat Mort</t>
    </r>
    <r>
      <rPr>
        <sz val="10"/>
        <rFont val="Tahoma"/>
        <family val="2"/>
      </rPr>
      <t xml:space="preserve"> N-O</t>
    </r>
  </si>
  <si>
    <t>WEN H-O (%)</t>
  </si>
  <si>
    <r>
      <t>WEN Nat Mort</t>
    </r>
    <r>
      <rPr>
        <sz val="10"/>
        <rFont val="Tahoma"/>
        <family val="2"/>
      </rPr>
      <t xml:space="preserve"> (RIS-Tum)</t>
    </r>
  </si>
  <si>
    <t>Total COMM Harvest (Zones 1-6)</t>
  </si>
  <si>
    <r>
      <t xml:space="preserve">Total </t>
    </r>
    <r>
      <rPr>
        <b/>
        <sz val="10"/>
        <rFont val="Tahoma"/>
        <family val="2"/>
      </rPr>
      <t>REC</t>
    </r>
    <r>
      <rPr>
        <sz val="10"/>
        <rFont val="Tahoma"/>
        <family val="2"/>
      </rPr>
      <t xml:space="preserve"> Harvest (Lower CR)</t>
    </r>
  </si>
  <si>
    <r>
      <t xml:space="preserve">Total </t>
    </r>
    <r>
      <rPr>
        <b/>
        <sz val="10"/>
        <rFont val="Tahoma"/>
        <family val="2"/>
      </rPr>
      <t>REC</t>
    </r>
    <r>
      <rPr>
        <sz val="10"/>
        <rFont val="Tahoma"/>
        <family val="2"/>
      </rPr>
      <t xml:space="preserve"> Harvest (BON to PR)</t>
    </r>
  </si>
  <si>
    <r>
      <t xml:space="preserve">Total </t>
    </r>
    <r>
      <rPr>
        <b/>
        <sz val="10"/>
        <rFont val="Tahoma"/>
        <family val="2"/>
      </rPr>
      <t>REC</t>
    </r>
    <r>
      <rPr>
        <sz val="10"/>
        <rFont val="Tahoma"/>
        <family val="2"/>
      </rPr>
      <t xml:space="preserve"> Harvest (PR to RIS)</t>
    </r>
  </si>
  <si>
    <r>
      <t xml:space="preserve">Total </t>
    </r>
    <r>
      <rPr>
        <b/>
        <sz val="10"/>
        <rFont val="Tahoma"/>
        <family val="2"/>
      </rPr>
      <t>REC</t>
    </r>
    <r>
      <rPr>
        <sz val="10"/>
        <rFont val="Tahoma"/>
        <family val="2"/>
      </rPr>
      <t xml:space="preserve"> Harvest (RIS to RRH)</t>
    </r>
  </si>
  <si>
    <r>
      <t xml:space="preserve">Total </t>
    </r>
    <r>
      <rPr>
        <b/>
        <sz val="10"/>
        <rFont val="Tahoma"/>
        <family val="2"/>
      </rPr>
      <t>REC</t>
    </r>
    <r>
      <rPr>
        <sz val="10"/>
        <rFont val="Tahoma"/>
        <family val="2"/>
      </rPr>
      <t xml:space="preserve"> Harvest RRH to WELLS</t>
    </r>
  </si>
  <si>
    <t>Total Harvest BONN-to-WELLS</t>
  </si>
  <si>
    <t>Total Sockeye Harvest Below Wells</t>
  </si>
  <si>
    <t>WEN Sox Harvest Below RRH</t>
  </si>
  <si>
    <t>OK Sox Harvest Below RRH</t>
  </si>
  <si>
    <t>OK Sox Harvest Below Wells</t>
  </si>
  <si>
    <r>
      <t>Ok Sox @RRH</t>
    </r>
    <r>
      <rPr>
        <sz val="10"/>
        <rFont val="Tahoma"/>
        <family val="2"/>
      </rPr>
      <t xml:space="preserve"> (incl. Harvest) </t>
    </r>
  </si>
  <si>
    <r>
      <t>Ok Sox @Wells</t>
    </r>
    <r>
      <rPr>
        <sz val="10"/>
        <rFont val="Tahoma"/>
        <family val="2"/>
      </rPr>
      <t xml:space="preserve"> (incl. Harvest) </t>
    </r>
  </si>
  <si>
    <r>
      <rPr>
        <b/>
        <sz val="10"/>
        <rFont val="Tahoma"/>
        <family val="2"/>
      </rPr>
      <t>Ok Harvest Rate</t>
    </r>
    <r>
      <rPr>
        <sz val="10"/>
        <rFont val="Tahoma"/>
        <family val="2"/>
      </rPr>
      <t xml:space="preserve"> (below Wells)</t>
    </r>
  </si>
  <si>
    <r>
      <rPr>
        <b/>
        <sz val="10"/>
        <rFont val="Tahoma"/>
        <family val="2"/>
      </rPr>
      <t>Ok Sox Nat Mort Rate</t>
    </r>
    <r>
      <rPr>
        <sz val="11"/>
        <rFont val="Calibri"/>
        <family val="2"/>
        <scheme val="minor"/>
      </rPr>
      <t xml:space="preserve"> Bonn-RRH (%)</t>
    </r>
  </si>
  <si>
    <r>
      <rPr>
        <b/>
        <sz val="10"/>
        <rFont val="Tahoma"/>
        <family val="2"/>
      </rPr>
      <t>Ok Sox Nat Mort Rate</t>
    </r>
    <r>
      <rPr>
        <sz val="11"/>
        <rFont val="Calibri"/>
        <family val="2"/>
        <scheme val="minor"/>
      </rPr>
      <t xml:space="preserve"> Bonn-Wells (%)</t>
    </r>
  </si>
  <si>
    <r>
      <rPr>
        <b/>
        <sz val="10"/>
        <rFont val="Tahoma"/>
        <family val="2"/>
      </rPr>
      <t>Ok Sox Nat Morts</t>
    </r>
    <r>
      <rPr>
        <sz val="11"/>
        <rFont val="Calibri"/>
        <family val="2"/>
        <scheme val="minor"/>
      </rPr>
      <t xml:space="preserve"> (#fish) Bonn-RRH (</t>
    </r>
    <r>
      <rPr>
        <i/>
        <sz val="10"/>
        <rFont val="Tahoma"/>
        <family val="2"/>
      </rPr>
      <t>M</t>
    </r>
    <r>
      <rPr>
        <sz val="11"/>
        <rFont val="Calibri"/>
        <family val="2"/>
        <scheme val="minor"/>
      </rPr>
      <t>)</t>
    </r>
  </si>
  <si>
    <r>
      <rPr>
        <b/>
        <sz val="10"/>
        <rFont val="Tahoma"/>
        <family val="2"/>
      </rPr>
      <t>Ok Sox Nat Morts</t>
    </r>
    <r>
      <rPr>
        <sz val="11"/>
        <rFont val="Calibri"/>
        <family val="2"/>
        <scheme val="minor"/>
      </rPr>
      <t xml:space="preserve"> (#fish) Bonn-Wells (</t>
    </r>
    <r>
      <rPr>
        <i/>
        <sz val="10"/>
        <rFont val="Tahoma"/>
        <family val="2"/>
      </rPr>
      <t>M</t>
    </r>
    <r>
      <rPr>
        <sz val="11"/>
        <rFont val="Calibri"/>
        <family val="2"/>
        <scheme val="minor"/>
      </rPr>
      <t>)</t>
    </r>
  </si>
  <si>
    <r>
      <t xml:space="preserve">Ok Sox @ Mouth </t>
    </r>
    <r>
      <rPr>
        <sz val="10"/>
        <rFont val="Tahoma"/>
        <family val="2"/>
      </rPr>
      <t>(RRH+</t>
    </r>
    <r>
      <rPr>
        <i/>
        <sz val="10"/>
        <rFont val="Tahoma"/>
        <family val="2"/>
      </rPr>
      <t>F</t>
    </r>
    <r>
      <rPr>
        <sz val="10"/>
        <rFont val="Tahoma"/>
        <family val="2"/>
      </rPr>
      <t>+</t>
    </r>
    <r>
      <rPr>
        <i/>
        <sz val="10"/>
        <rFont val="Tahoma"/>
        <family val="2"/>
      </rPr>
      <t>M</t>
    </r>
    <r>
      <rPr>
        <sz val="10"/>
        <rFont val="Tahoma"/>
        <family val="2"/>
      </rPr>
      <t>)</t>
    </r>
  </si>
  <si>
    <r>
      <t xml:space="preserve">Ok Sox @ Mouth </t>
    </r>
    <r>
      <rPr>
        <sz val="10"/>
        <rFont val="Tahoma"/>
        <family val="2"/>
      </rPr>
      <t>(Wells+</t>
    </r>
    <r>
      <rPr>
        <i/>
        <sz val="10"/>
        <rFont val="Tahoma"/>
        <family val="2"/>
      </rPr>
      <t>F</t>
    </r>
    <r>
      <rPr>
        <sz val="10"/>
        <rFont val="Tahoma"/>
        <family val="2"/>
      </rPr>
      <t>+</t>
    </r>
    <r>
      <rPr>
        <i/>
        <sz val="10"/>
        <rFont val="Tahoma"/>
        <family val="2"/>
      </rPr>
      <t>M</t>
    </r>
    <r>
      <rPr>
        <sz val="10"/>
        <rFont val="Tahoma"/>
        <family val="2"/>
      </rPr>
      <t>)</t>
    </r>
  </si>
  <si>
    <t>Rec Harvest Above Wells</t>
  </si>
  <si>
    <t>Mainstem Ok Natural Mortality? (A-B)</t>
  </si>
  <si>
    <t>Mouth to Wells %Mort</t>
  </si>
  <si>
    <t>Mouth to Wells Survival (Fixed)</t>
  </si>
  <si>
    <t>Bonn to Wells Survival (CR)</t>
  </si>
  <si>
    <t>Alternative OkSox Total (Wells + d/s Harvest + d/s NatMort (G+R+U))</t>
  </si>
  <si>
    <t>Same as OkSox at Mouth calc?</t>
  </si>
  <si>
    <t>%N-O vs H-O</t>
  </si>
  <si>
    <t>Skaha Sockeye (Lower Ok River)</t>
  </si>
  <si>
    <t>Skaha Sockeye (Pen Channel + Shingle)</t>
  </si>
  <si>
    <t>Total Sockeye (all Spawn Grounds)</t>
  </si>
  <si>
    <r>
      <t>%</t>
    </r>
    <r>
      <rPr>
        <b/>
        <sz val="10"/>
        <rFont val="Tahoma"/>
        <family val="2"/>
      </rPr>
      <t>OSO</t>
    </r>
    <r>
      <rPr>
        <sz val="10"/>
        <rFont val="Tahoma"/>
        <family val="2"/>
      </rPr>
      <t xml:space="preserve"> Sockeye (all Spawn Grounds)</t>
    </r>
  </si>
  <si>
    <r>
      <t>%</t>
    </r>
    <r>
      <rPr>
        <b/>
        <sz val="10"/>
        <rFont val="Tahoma"/>
        <family val="2"/>
      </rPr>
      <t>SKA</t>
    </r>
    <r>
      <rPr>
        <sz val="10"/>
        <rFont val="Tahoma"/>
        <family val="2"/>
      </rPr>
      <t xml:space="preserve"> Sockeye (all Spawn Grounds)</t>
    </r>
  </si>
  <si>
    <r>
      <t>Estimated Osoyoos Sockeye Returns</t>
    </r>
    <r>
      <rPr>
        <sz val="10"/>
        <rFont val="Tahoma"/>
        <family val="2"/>
      </rPr>
      <t xml:space="preserve"> (N-O)</t>
    </r>
  </si>
  <si>
    <r>
      <t>Estimated Skaha Sockeye Returns</t>
    </r>
    <r>
      <rPr>
        <sz val="10"/>
        <rFont val="Tahoma"/>
        <family val="2"/>
      </rPr>
      <t xml:space="preserve"> (H-O&amp;N-O)</t>
    </r>
  </si>
  <si>
    <t>BON 24-hr Counts (C1)</t>
  </si>
  <si>
    <t>SK Harvest Below BON (C2)</t>
  </si>
  <si>
    <t>Snake SK (C3)</t>
  </si>
  <si>
    <t>Ratio Ok:Wen (C4)</t>
  </si>
  <si>
    <t>OSO:SKA ratio</t>
  </si>
  <si>
    <r>
      <t>Ratio OSO NO:HO</t>
    </r>
    <r>
      <rPr>
        <b/>
        <sz val="10"/>
        <color rgb="FFFF0000"/>
        <rFont val="Tahoma"/>
        <family val="2"/>
      </rPr>
      <t xml:space="preserve"> (CB's C6)</t>
    </r>
  </si>
  <si>
    <t>Based on CB's Calc of OSO Recruits</t>
  </si>
  <si>
    <t>CB's OSO Recruits from R Prog</t>
  </si>
  <si>
    <r>
      <t xml:space="preserve">Diff </t>
    </r>
    <r>
      <rPr>
        <sz val="10"/>
        <rFont val="Tahoma"/>
        <family val="2"/>
      </rPr>
      <t>(CD-CC)</t>
    </r>
  </si>
  <si>
    <t>%Diff</t>
  </si>
  <si>
    <r>
      <t xml:space="preserve">Difference </t>
    </r>
    <r>
      <rPr>
        <sz val="10"/>
        <rFont val="Tahoma"/>
        <family val="2"/>
      </rPr>
      <t>(CB vs HS)</t>
    </r>
  </si>
  <si>
    <t>OSO Sox @ Mouth (Wells Method)</t>
  </si>
  <si>
    <t>%Change between dam count ratios</t>
  </si>
  <si>
    <r>
      <rPr>
        <b/>
        <i/>
        <sz val="11"/>
        <color rgb="FFC00000"/>
        <rFont val="Calibri"/>
        <family val="2"/>
        <scheme val="minor"/>
      </rPr>
      <t>&lt;-- BoostBonDamCounts</t>
    </r>
    <r>
      <rPr>
        <i/>
        <sz val="11"/>
        <color rgb="FFC00000"/>
        <rFont val="Calibri"/>
        <family val="2"/>
        <scheme val="minor"/>
      </rPr>
      <t>? Use original Bon Dam 16-hr Count (0) or boost it first (1) in selected years by the multi-year average% of natural mortality for BON-to-RIS.</t>
    </r>
  </si>
  <si>
    <r>
      <t xml:space="preserve">Boost amount </t>
    </r>
    <r>
      <rPr>
        <i/>
        <sz val="11"/>
        <color rgb="FFC00000"/>
        <rFont val="Calibri"/>
        <family val="2"/>
        <scheme val="minor"/>
      </rPr>
      <t>(based on long-term average nat. mort 1977-2021, excluding 1995, 1999, 2007 which have apparently more fish at RIS than BON)</t>
    </r>
  </si>
  <si>
    <t>weighted avg %</t>
  </si>
  <si>
    <r>
      <t xml:space="preserve">&lt;-- </t>
    </r>
    <r>
      <rPr>
        <b/>
        <i/>
        <sz val="11"/>
        <color rgb="FFC00000"/>
        <rFont val="Calibri"/>
        <family val="2"/>
        <scheme val="minor"/>
      </rPr>
      <t>ReduceRISdamCounts</t>
    </r>
    <r>
      <rPr>
        <i/>
        <sz val="11"/>
        <color rgb="FFC00000"/>
        <rFont val="Calibri"/>
        <family val="2"/>
        <scheme val="minor"/>
      </rPr>
      <t xml:space="preserve"> ? Use original RIS Dam 24-hr Count (0) or reduce it first (1) in selected years by the multi-year average% of natural mortality for BON-to-RIS.</t>
    </r>
  </si>
  <si>
    <t>unweighted avg %</t>
  </si>
  <si>
    <t>Column1</t>
  </si>
  <si>
    <t>Standard Error</t>
  </si>
  <si>
    <t>Median</t>
  </si>
  <si>
    <t>Mode</t>
  </si>
  <si>
    <t>Standard Deviation</t>
  </si>
  <si>
    <t>Sample Variance</t>
  </si>
  <si>
    <t>Kurtosis</t>
  </si>
  <si>
    <t>Skewness</t>
  </si>
  <si>
    <t>Range</t>
  </si>
  <si>
    <t>Minimum</t>
  </si>
  <si>
    <t>Maximum</t>
  </si>
  <si>
    <t>Sum</t>
  </si>
  <si>
    <t>Count</t>
  </si>
  <si>
    <t>Largest(4)</t>
  </si>
  <si>
    <t>Largest(1)</t>
  </si>
  <si>
    <t>Smallest(4)</t>
  </si>
  <si>
    <t>Smallest(1)</t>
  </si>
  <si>
    <t>Confidence Level(95.0%)</t>
  </si>
  <si>
    <t>obs</t>
  </si>
  <si>
    <t>return_year</t>
  </si>
  <si>
    <t>tot_bonn_16hr</t>
  </si>
  <si>
    <t>Checks out?</t>
  </si>
  <si>
    <t>total_sockeye_snake</t>
  </si>
  <si>
    <t>ok_stock_comp_percent_best</t>
  </si>
  <si>
    <t>total_comm_harvest_below_bonn</t>
  </si>
  <si>
    <t>bonn_dam_est</t>
  </si>
  <si>
    <t>Diff</t>
  </si>
  <si>
    <t>prop_os_return</t>
  </si>
  <si>
    <t>prop_os_origin</t>
  </si>
  <si>
    <t>R-Code prop_natural</t>
  </si>
  <si>
    <t>Excel Work book Pivot</t>
  </si>
  <si>
    <t>Equal?</t>
  </si>
  <si>
    <t>columbia</t>
  </si>
  <si>
    <t>Old/New (L/K)</t>
  </si>
  <si>
    <t>okanogan</t>
  </si>
  <si>
    <t>Old/New (P/O)</t>
  </si>
  <si>
    <t>osoyoos_total_returns</t>
  </si>
  <si>
    <t>osoyoos_origin_returns</t>
  </si>
  <si>
    <t>Old/New (i.e., Col. P/N)</t>
  </si>
  <si>
    <t>(ignore)</t>
  </si>
  <si>
    <t>%NO imputed instead of statistical relations</t>
  </si>
  <si>
    <t>%NO imputed instead of multiple statistical relations</t>
  </si>
  <si>
    <t>PT Estimates (R-Code)</t>
  </si>
  <si>
    <t>SIS Version</t>
  </si>
  <si>
    <t>Obs</t>
  </si>
  <si>
    <t>population</t>
  </si>
  <si>
    <t>lower95</t>
  </si>
  <si>
    <t>upper95</t>
  </si>
  <si>
    <t>sockeye</t>
  </si>
  <si>
    <t>osoyoos_natural</t>
  </si>
  <si>
    <t>H-O Source</t>
  </si>
  <si>
    <r>
      <t>H-O Released (</t>
    </r>
    <r>
      <rPr>
        <sz val="11"/>
        <color rgb="FFC00000"/>
        <rFont val="Calibri"/>
        <family val="2"/>
        <scheme val="minor"/>
      </rPr>
      <t>x1000</t>
    </r>
    <r>
      <rPr>
        <sz val="11"/>
        <color theme="1"/>
        <rFont val="Calibri"/>
        <family val="2"/>
        <scheme val="minor"/>
      </rPr>
      <t>)</t>
    </r>
  </si>
  <si>
    <t>Total H-O on S.G.</t>
  </si>
  <si>
    <r>
      <rPr>
        <b/>
        <sz val="11"/>
        <color theme="4" tint="-0.249977111117893"/>
        <rFont val="Calibri"/>
        <family val="2"/>
        <scheme val="minor"/>
      </rPr>
      <t>OSO --&gt; SKA</t>
    </r>
    <r>
      <rPr>
        <sz val="11"/>
        <color theme="1"/>
        <rFont val="Calibri"/>
        <family val="2"/>
        <scheme val="minor"/>
      </rPr>
      <t xml:space="preserve"> Stray Rate</t>
    </r>
  </si>
  <si>
    <t>Flow (SEP) cms</t>
  </si>
  <si>
    <t>Flow (OCT) cms</t>
  </si>
  <si>
    <t>Mean Flow (cms)</t>
  </si>
  <si>
    <r>
      <rPr>
        <b/>
        <sz val="11"/>
        <color theme="1"/>
        <rFont val="Calibri"/>
        <family val="2"/>
        <scheme val="minor"/>
      </rPr>
      <t>Spawners</t>
    </r>
    <r>
      <rPr>
        <sz val="11"/>
        <color theme="1"/>
        <rFont val="Calibri"/>
        <family val="2"/>
        <scheme val="minor"/>
      </rPr>
      <t xml:space="preserve"> L. OkR</t>
    </r>
  </si>
  <si>
    <r>
      <rPr>
        <b/>
        <sz val="11"/>
        <color theme="1"/>
        <rFont val="Calibri"/>
        <family val="2"/>
        <scheme val="minor"/>
      </rPr>
      <t>Spawners</t>
    </r>
    <r>
      <rPr>
        <sz val="11"/>
        <color theme="1"/>
        <rFont val="Calibri"/>
        <family val="2"/>
        <scheme val="minor"/>
      </rPr>
      <t xml:space="preserve"> Pen Ch.</t>
    </r>
  </si>
  <si>
    <r>
      <rPr>
        <b/>
        <sz val="11"/>
        <color theme="1"/>
        <rFont val="Calibri"/>
        <family val="2"/>
        <scheme val="minor"/>
      </rPr>
      <t>Spawners</t>
    </r>
    <r>
      <rPr>
        <sz val="11"/>
        <color theme="1"/>
        <rFont val="Calibri"/>
        <family val="2"/>
        <scheme val="minor"/>
      </rPr>
      <t xml:space="preserve"> Total</t>
    </r>
  </si>
  <si>
    <t>Obs Eff (L. OkR)</t>
  </si>
  <si>
    <t>Obs Eff (Pen Ch.)</t>
  </si>
  <si>
    <t>Summary</t>
  </si>
  <si>
    <t>Osoyoos (100%)</t>
  </si>
  <si>
    <r>
      <rPr>
        <b/>
        <sz val="11"/>
        <color theme="1"/>
        <rFont val="Calibri"/>
        <family val="2"/>
        <scheme val="minor"/>
      </rPr>
      <t>Flows &lt; 10cms</t>
    </r>
    <r>
      <rPr>
        <sz val="11"/>
        <color theme="1"/>
        <rFont val="Calibri"/>
        <family val="2"/>
        <scheme val="minor"/>
      </rPr>
      <t xml:space="preserve">; Spawn abundance low; Obs Eff good: </t>
    </r>
    <r>
      <rPr>
        <b/>
        <sz val="11"/>
        <color theme="1"/>
        <rFont val="Calibri"/>
        <family val="2"/>
        <scheme val="minor"/>
      </rPr>
      <t>low (zero) OSO-to-SKA stray rates</t>
    </r>
    <r>
      <rPr>
        <sz val="11"/>
        <color theme="1"/>
        <rFont val="Calibri"/>
        <family val="2"/>
        <scheme val="minor"/>
      </rPr>
      <t xml:space="preserve">, </t>
    </r>
    <r>
      <rPr>
        <sz val="11"/>
        <color rgb="FFFF0000"/>
        <rFont val="Calibri"/>
        <family val="2"/>
        <scheme val="minor"/>
      </rPr>
      <t>as expected</t>
    </r>
  </si>
  <si>
    <r>
      <rPr>
        <b/>
        <sz val="11"/>
        <color theme="1"/>
        <rFont val="Calibri"/>
        <family val="2"/>
        <scheme val="minor"/>
      </rPr>
      <t>Flows &gt; 10cms</t>
    </r>
    <r>
      <rPr>
        <sz val="11"/>
        <color theme="1"/>
        <rFont val="Calibri"/>
        <family val="2"/>
        <scheme val="minor"/>
      </rPr>
      <t xml:space="preserve">; Spawn abundance high; Obs Eff okay: </t>
    </r>
    <r>
      <rPr>
        <b/>
        <sz val="11"/>
        <color theme="1"/>
        <rFont val="Calibri"/>
        <family val="2"/>
        <scheme val="minor"/>
      </rPr>
      <t>moderate OSO-to-SKA stray rates</t>
    </r>
    <r>
      <rPr>
        <sz val="11"/>
        <color theme="1"/>
        <rFont val="Calibri"/>
        <family val="2"/>
        <scheme val="minor"/>
      </rPr>
      <t xml:space="preserve">, </t>
    </r>
    <r>
      <rPr>
        <sz val="11"/>
        <color rgb="FFFF0000"/>
        <rFont val="Calibri"/>
        <family val="2"/>
        <scheme val="minor"/>
      </rPr>
      <t>as expected</t>
    </r>
  </si>
  <si>
    <r>
      <rPr>
        <b/>
        <sz val="11"/>
        <color theme="1"/>
        <rFont val="Calibri"/>
        <family val="2"/>
        <scheme val="minor"/>
      </rPr>
      <t>Flows &gt; 10cms</t>
    </r>
    <r>
      <rPr>
        <sz val="11"/>
        <color theme="1"/>
        <rFont val="Calibri"/>
        <family val="2"/>
        <scheme val="minor"/>
      </rPr>
      <t xml:space="preserve">; Spawn abundance moderate; Obs Eff okay: </t>
    </r>
    <r>
      <rPr>
        <sz val="11"/>
        <color rgb="FFFF0000"/>
        <rFont val="Calibri"/>
        <family val="2"/>
        <scheme val="minor"/>
      </rPr>
      <t>anomalously</t>
    </r>
    <r>
      <rPr>
        <sz val="11"/>
        <color theme="1"/>
        <rFont val="Calibri"/>
        <family val="2"/>
        <scheme val="minor"/>
      </rPr>
      <t xml:space="preserve"> </t>
    </r>
    <r>
      <rPr>
        <b/>
        <sz val="11"/>
        <color theme="1"/>
        <rFont val="Calibri"/>
        <family val="2"/>
        <scheme val="minor"/>
      </rPr>
      <t>high (?) OSO-to-SKA stray rates</t>
    </r>
    <r>
      <rPr>
        <sz val="11"/>
        <color theme="1"/>
        <rFont val="Calibri"/>
        <family val="2"/>
        <scheme val="minor"/>
      </rPr>
      <t xml:space="preserve">; </t>
    </r>
    <r>
      <rPr>
        <sz val="11"/>
        <color rgb="FFFF0000"/>
        <rFont val="Calibri"/>
        <family val="2"/>
        <scheme val="minor"/>
      </rPr>
      <t>probably Age5's.</t>
    </r>
  </si>
  <si>
    <t>Brood</t>
  </si>
  <si>
    <r>
      <rPr>
        <b/>
        <sz val="11"/>
        <color rgb="FFC00000"/>
        <rFont val="Calibri"/>
        <family val="2"/>
        <scheme val="minor"/>
      </rPr>
      <t>SKA --&gt; OSO</t>
    </r>
    <r>
      <rPr>
        <sz val="11"/>
        <color theme="1"/>
        <rFont val="Calibri"/>
        <family val="2"/>
        <scheme val="minor"/>
      </rPr>
      <t xml:space="preserve"> Stray Rate</t>
    </r>
  </si>
  <si>
    <t>Skaha (100%)</t>
  </si>
  <si>
    <r>
      <rPr>
        <b/>
        <sz val="11"/>
        <color theme="1"/>
        <rFont val="Calibri"/>
        <family val="2"/>
        <scheme val="minor"/>
      </rPr>
      <t>Flows &lt; 10cms</t>
    </r>
    <r>
      <rPr>
        <sz val="11"/>
        <color theme="1"/>
        <rFont val="Calibri"/>
        <family val="2"/>
        <scheme val="minor"/>
      </rPr>
      <t xml:space="preserve">; Spawn abundance moderate; Obs Eff unknown: </t>
    </r>
    <r>
      <rPr>
        <b/>
        <sz val="11"/>
        <color rgb="FFFF0000"/>
        <rFont val="Calibri"/>
        <family val="2"/>
        <scheme val="minor"/>
      </rPr>
      <t>expect high</t>
    </r>
    <r>
      <rPr>
        <b/>
        <sz val="11"/>
        <color theme="1"/>
        <rFont val="Calibri"/>
        <family val="2"/>
        <scheme val="minor"/>
      </rPr>
      <t xml:space="preserve"> SKA-to-OSO stray rates</t>
    </r>
    <r>
      <rPr>
        <sz val="11"/>
        <color theme="1"/>
        <rFont val="Calibri"/>
        <family val="2"/>
        <scheme val="minor"/>
      </rPr>
      <t xml:space="preserve"> but came in low</t>
    </r>
  </si>
  <si>
    <r>
      <rPr>
        <b/>
        <sz val="11"/>
        <color theme="1"/>
        <rFont val="Calibri"/>
        <family val="2"/>
        <scheme val="minor"/>
      </rPr>
      <t>Flows &gt; 10cms</t>
    </r>
    <r>
      <rPr>
        <sz val="11"/>
        <color theme="1"/>
        <rFont val="Calibri"/>
        <family val="2"/>
        <scheme val="minor"/>
      </rPr>
      <t xml:space="preserve">; Spawn abundance high; Obs Eff high: </t>
    </r>
    <r>
      <rPr>
        <b/>
        <sz val="11"/>
        <color theme="1"/>
        <rFont val="Calibri"/>
        <family val="2"/>
        <scheme val="minor"/>
      </rPr>
      <t>high SKA-to-OSO stray rates</t>
    </r>
  </si>
  <si>
    <r>
      <rPr>
        <b/>
        <sz val="11"/>
        <color theme="1"/>
        <rFont val="Calibri"/>
        <family val="2"/>
        <scheme val="minor"/>
      </rPr>
      <t>Flows &gt; 10cms</t>
    </r>
    <r>
      <rPr>
        <sz val="11"/>
        <color theme="1"/>
        <rFont val="Calibri"/>
        <family val="2"/>
        <scheme val="minor"/>
      </rPr>
      <t xml:space="preserve">; Spawn abundance high; Obs Eff high: </t>
    </r>
    <r>
      <rPr>
        <b/>
        <sz val="11"/>
        <color theme="1"/>
        <rFont val="Calibri"/>
        <family val="2"/>
        <scheme val="minor"/>
      </rPr>
      <t>moderate SKA-to-OSO stray rates</t>
    </r>
  </si>
  <si>
    <r>
      <rPr>
        <b/>
        <sz val="11"/>
        <color theme="1"/>
        <rFont val="Calibri"/>
        <family val="2"/>
        <scheme val="minor"/>
      </rPr>
      <t>Flows &gt; 10cms</t>
    </r>
    <r>
      <rPr>
        <sz val="11"/>
        <color theme="1"/>
        <rFont val="Calibri"/>
        <family val="2"/>
        <scheme val="minor"/>
      </rPr>
      <t xml:space="preserve">; Spawn abundance moderate; Obs Eff okay: </t>
    </r>
    <r>
      <rPr>
        <b/>
        <sz val="11"/>
        <color theme="1"/>
        <rFont val="Calibri"/>
        <family val="2"/>
        <scheme val="minor"/>
      </rPr>
      <t>low SKA-to-OSO stray rates</t>
    </r>
  </si>
  <si>
    <t>Skaha &amp; OkLake (3%)</t>
  </si>
  <si>
    <r>
      <rPr>
        <b/>
        <sz val="11"/>
        <color theme="1"/>
        <rFont val="Calibri"/>
        <family val="2"/>
        <scheme val="minor"/>
      </rPr>
      <t>Flows &gt; 10cms</t>
    </r>
    <r>
      <rPr>
        <sz val="11"/>
        <color theme="1"/>
        <rFont val="Calibri"/>
        <family val="2"/>
        <scheme val="minor"/>
      </rPr>
      <t xml:space="preserve">; Spawn abundance low; Obs Eff okay: </t>
    </r>
    <r>
      <rPr>
        <b/>
        <sz val="11"/>
        <color theme="1"/>
        <rFont val="Calibri"/>
        <family val="2"/>
        <scheme val="minor"/>
      </rPr>
      <t>moderate SKA-to-OSO stray rates</t>
    </r>
  </si>
  <si>
    <t>Skaha &amp; OkLake (13%)</t>
  </si>
  <si>
    <r>
      <rPr>
        <b/>
        <sz val="11"/>
        <color theme="1"/>
        <rFont val="Calibri"/>
        <family val="2"/>
        <scheme val="minor"/>
      </rPr>
      <t>Flows &gt; 10cms</t>
    </r>
    <r>
      <rPr>
        <sz val="11"/>
        <color theme="1"/>
        <rFont val="Calibri"/>
        <family val="2"/>
        <scheme val="minor"/>
      </rPr>
      <t xml:space="preserve">; Spawn abundance high; Obs Eff high: </t>
    </r>
    <r>
      <rPr>
        <b/>
        <sz val="11"/>
        <color theme="1"/>
        <rFont val="Calibri"/>
        <family val="2"/>
        <scheme val="minor"/>
      </rPr>
      <t>low SKA-to-OSO stray rates</t>
    </r>
  </si>
  <si>
    <t>Skaha &amp; OkLake (8%)</t>
  </si>
  <si>
    <r>
      <rPr>
        <b/>
        <sz val="11"/>
        <color theme="1"/>
        <rFont val="Calibri"/>
        <family val="2"/>
        <scheme val="minor"/>
      </rPr>
      <t>Flows &gt; 10cms</t>
    </r>
    <r>
      <rPr>
        <sz val="11"/>
        <color theme="1"/>
        <rFont val="Calibri"/>
        <family val="2"/>
        <scheme val="minor"/>
      </rPr>
      <t xml:space="preserve">; Spawn abundance low; Obs Eff high: </t>
    </r>
    <r>
      <rPr>
        <b/>
        <sz val="11"/>
        <color theme="1"/>
        <rFont val="Calibri"/>
        <family val="2"/>
        <scheme val="minor"/>
      </rPr>
      <t>high SKA-to-OSO stray rates</t>
    </r>
  </si>
  <si>
    <t>Rearing Lake</t>
  </si>
  <si>
    <t>Spawning Location</t>
  </si>
  <si>
    <t>AUC</t>
  </si>
  <si>
    <t>Spawning Nerkids</t>
  </si>
  <si>
    <t>Deadpitch sampled</t>
  </si>
  <si>
    <t>% ≤ 35cm FL</t>
  </si>
  <si>
    <t># ≤ 35cm FL</t>
  </si>
  <si>
    <t>≤ 35cm FL</t>
  </si>
  <si>
    <t>Sox Total (%)</t>
  </si>
  <si>
    <t>Sox H-O (%)</t>
  </si>
  <si>
    <t>Sox NO (%)</t>
  </si>
  <si>
    <t>Sox Total (#)</t>
  </si>
  <si>
    <t>Sox HO (#)</t>
  </si>
  <si>
    <t>Sox NO (#)</t>
  </si>
  <si>
    <t>Sox HO (dup)</t>
  </si>
  <si>
    <t>Sox HO (%)</t>
  </si>
  <si>
    <t>Osoyoos</t>
  </si>
  <si>
    <t>Lower Ok River</t>
  </si>
  <si>
    <t>0 (0.0)</t>
  </si>
  <si>
    <t>126,972 (100) </t>
  </si>
  <si>
    <t>7,999 (6.3) </t>
  </si>
  <si>
    <t>118,973 (93.7) </t>
  </si>
  <si>
    <t>64 (0.1) </t>
  </si>
  <si>
    <t>64,024 (99.9) </t>
  </si>
  <si>
    <t>7107 (11.1)</t>
  </si>
  <si>
    <t>56,917 (88.9) </t>
  </si>
  <si>
    <t>365 (0.2)</t>
  </si>
  <si>
    <t>182,122 (99.8) </t>
  </si>
  <si>
    <t>5646 (3.1)</t>
  </si>
  <si>
    <t>176,476 (96.9) </t>
  </si>
  <si>
    <t>215.4 (0.6)</t>
  </si>
  <si>
    <t>13,483 (99.4)</t>
  </si>
  <si>
    <t>553 (4.1)</t>
  </si>
  <si>
    <t>12930 (95.9)</t>
  </si>
  <si>
    <t>90,862 (100) </t>
  </si>
  <si>
    <t>1,817 (2.0) </t>
  </si>
  <si>
    <t>89,045 (98.0) </t>
  </si>
  <si>
    <t>620 (1.8)</t>
  </si>
  <si>
    <t>33820 (98.2)</t>
  </si>
  <si>
    <t>4,870 (14.4)</t>
  </si>
  <si>
    <t>28950 (85.6)</t>
  </si>
  <si>
    <t>145,206 (100) </t>
  </si>
  <si>
    <t>3,775 (2.6) </t>
  </si>
  <si>
    <t>141,431 (97.4) </t>
  </si>
  <si>
    <t>10,255 (100) </t>
  </si>
  <si>
    <t>164 (1.6)</t>
  </si>
  <si>
    <t>10,091 (98.4) </t>
  </si>
  <si>
    <t>273 (0.5)</t>
  </si>
  <si>
    <t>54,281 (99.5) </t>
  </si>
  <si>
    <t>380 (0.7) </t>
  </si>
  <si>
    <t>53901 (99.3) </t>
  </si>
  <si>
    <t>140 (1.4)</t>
  </si>
  <si>
    <t>9893 (98.6) </t>
  </si>
  <si>
    <t>9,893 (100.0) </t>
  </si>
  <si>
    <t>30,755 (100) </t>
  </si>
  <si>
    <t>215 (0.7)</t>
  </si>
  <si>
    <t>30,540 (99.3) </t>
  </si>
  <si>
    <t>144 (1.1)</t>
  </si>
  <si>
    <t>12,913 (98.9) </t>
  </si>
  <si>
    <t>Guesstimated sub-stock composition based on weighted mean %Skaha (HO) 2008-2021 [2023-09-11]</t>
  </si>
  <si>
    <t>187 (0.4)</t>
  </si>
  <si>
    <t>46,510 (99.6) </t>
  </si>
  <si>
    <t>1,209 (2.6) </t>
  </si>
  <si>
    <t>45,301 (97.4) </t>
  </si>
  <si>
    <t>203 (1.9)</t>
  </si>
  <si>
    <t>10,457 (98.1) </t>
  </si>
  <si>
    <t>690 (6.6) </t>
  </si>
  <si>
    <t>9,767 (93.4)</t>
  </si>
  <si>
    <t>from Chad Fuller (ONA) presentation - 2023-05-03</t>
  </si>
  <si>
    <t>Middle Ok River</t>
  </si>
  <si>
    <t>mean of recent years 2015, 2018</t>
  </si>
  <si>
    <t>Skaha</t>
  </si>
  <si>
    <t>Penticton Channel</t>
  </si>
  <si>
    <t>22879 (???)</t>
  </si>
  <si>
    <t>No ecotype composition, however presumed 80% H-O based on trend in 2012-2014</t>
  </si>
  <si>
    <t>%H-O</t>
  </si>
  <si>
    <t>25,654 (70.0) </t>
  </si>
  <si>
    <t>10,994 (30.0) </t>
  </si>
  <si>
    <t>8257 (75.1%)</t>
  </si>
  <si>
    <t>2737 (24.9)</t>
  </si>
  <si>
    <t>All Pen Channel numbers updated from Judson et al 23Nov03 version of spawning grounds report</t>
  </si>
  <si>
    <t>20,483 (69.7) </t>
  </si>
  <si>
    <t>8,904 (30.3) </t>
  </si>
  <si>
    <t>5,287 (59.4) </t>
  </si>
  <si>
    <t>3,617 (40.6) </t>
  </si>
  <si>
    <t>11,098 (18.3) </t>
  </si>
  <si>
    <t>49,549 (81.7) </t>
  </si>
  <si>
    <t>20,207 (40.8) </t>
  </si>
  <si>
    <t>29,342 (59.2) </t>
  </si>
  <si>
    <t>45,148 (76.0) </t>
  </si>
  <si>
    <t>14,257 (24.0) </t>
  </si>
  <si>
    <t>0 (???) </t>
  </si>
  <si>
    <t>14257 (100%)</t>
  </si>
  <si>
    <t>unlikely %H-O</t>
  </si>
  <si>
    <t>42571 (53.6)</t>
  </si>
  <si>
    <t>36,853 (46.4) </t>
  </si>
  <si>
    <t>241 (0.7) </t>
  </si>
  <si>
    <t>36,612 (99.3) </t>
  </si>
  <si>
    <t>19,093 (41.3) </t>
  </si>
  <si>
    <t>27,136 (58.7) </t>
  </si>
  <si>
    <t>86 (0.3) </t>
  </si>
  <si>
    <t>27,050 (99.7) </t>
  </si>
  <si>
    <t>19,149 (31.7) </t>
  </si>
  <si>
    <t>41,257 (68.3) </t>
  </si>
  <si>
    <t>4,597 (11.1) </t>
  </si>
  <si>
    <t>36,660 (88.9) </t>
  </si>
  <si>
    <t>33,684 (76.8) </t>
  </si>
  <si>
    <t>10,175 (23.2) </t>
  </si>
  <si>
    <t>4,332 (42.6) </t>
  </si>
  <si>
    <t>5,843 (57.4) </t>
  </si>
  <si>
    <t>32,771 (53.6) </t>
  </si>
  <si>
    <t>28,369 (46.4) </t>
  </si>
  <si>
    <t>5,762 (20.3) </t>
  </si>
  <si>
    <t>22,607 (79.7) </t>
  </si>
  <si>
    <t>49,612 (85.1) </t>
  </si>
  <si>
    <t>8,687 (14.9) </t>
  </si>
  <si>
    <t>1,551 (17.9) </t>
  </si>
  <si>
    <t>7,136 (82.1) </t>
  </si>
  <si>
    <t>22,845 (43.8) </t>
  </si>
  <si>
    <t>29,312 (56.2) </t>
  </si>
  <si>
    <t>Shingle Creek</t>
  </si>
  <si>
    <t>67 (26.3)</t>
  </si>
  <si>
    <t>188 (73.7)</t>
  </si>
  <si>
    <t>use Pen Channel eco-pcts</t>
  </si>
  <si>
    <t>465 (75.6)</t>
  </si>
  <si>
    <t>150 (24.4)</t>
  </si>
  <si>
    <t>341 (41.1)</t>
  </si>
  <si>
    <t>489 (58.9)</t>
  </si>
  <si>
    <t>113 (23.2%)</t>
  </si>
  <si>
    <t>376 (76.8%)</t>
  </si>
  <si>
    <t>xxx (8.3%)</t>
  </si>
  <si>
    <t>xxx (91.7)</t>
  </si>
  <si>
    <t>xxx (90.7%)</t>
  </si>
  <si>
    <t>xxx (9.3%)</t>
  </si>
  <si>
    <t>116 (1.0)</t>
  </si>
  <si>
    <t>11,495 (99.0)</t>
  </si>
  <si>
    <t>11334 (98.6)</t>
  </si>
  <si>
    <t>161 (1.4%)</t>
  </si>
  <si>
    <t>Estimating Sub-Stock Composition of Sockeye on Spawning Grounds in Okanagan Watershed</t>
  </si>
  <si>
    <t>Values</t>
  </si>
  <si>
    <t>Osoyoos Sockeye (NO)</t>
  </si>
  <si>
    <t>Osoyoos Sockeye (HO)</t>
  </si>
  <si>
    <t>Osoyoos Total Sockeye</t>
  </si>
  <si>
    <t>Skaha Sockeye (NO)</t>
  </si>
  <si>
    <t>Skaha Sockeye (HO)</t>
  </si>
  <si>
    <t>Skaha Total Sockeye</t>
  </si>
  <si>
    <t>(blank)</t>
  </si>
  <si>
    <t>(blank) Sockeye (NO)</t>
  </si>
  <si>
    <t>(blank) Sockeye (HO)</t>
  </si>
  <si>
    <t>(blank) Total Sockeye</t>
  </si>
  <si>
    <t>Total Sockeye (NO)</t>
  </si>
  <si>
    <t>Total Sockeye (HO)</t>
  </si>
  <si>
    <t>Total Total Sockeye</t>
  </si>
  <si>
    <t>Sockeye (NO)</t>
  </si>
  <si>
    <t>Sockeye (HO)</t>
  </si>
  <si>
    <t>Total Sockeye</t>
  </si>
  <si>
    <t>Okanagan Sockeye Sub-Stock Abundance on Spawning Grounds</t>
  </si>
  <si>
    <t>Relative Contribution of Natural- and Hatchery-Origin on SG</t>
  </si>
  <si>
    <t>OSO N-O</t>
  </si>
  <si>
    <t>OSO H-O</t>
  </si>
  <si>
    <t>OSO Total</t>
  </si>
  <si>
    <t>SKA N-O</t>
  </si>
  <si>
    <t>SKA H-O</t>
  </si>
  <si>
    <t>SKA Total</t>
  </si>
  <si>
    <t>% OSO</t>
  </si>
  <si>
    <t>% SKA</t>
  </si>
  <si>
    <t>Total N-O</t>
  </si>
  <si>
    <t>Total H-O</t>
  </si>
  <si>
    <t>Total Sox</t>
  </si>
  <si>
    <t>% N-O</t>
  </si>
  <si>
    <t xml:space="preserve"> % H-O</t>
  </si>
  <si>
    <t>Avg 2007-2021</t>
  </si>
  <si>
    <t>Avg 2011-2022</t>
  </si>
  <si>
    <r>
      <t xml:space="preserve">All values obtained from tab </t>
    </r>
    <r>
      <rPr>
        <b/>
        <i/>
        <sz val="11"/>
        <color theme="1"/>
        <rFont val="Calibri"/>
        <family val="2"/>
        <scheme val="minor"/>
      </rPr>
      <t>PIVOT Lake &amp; Spawning Ground</t>
    </r>
    <r>
      <rPr>
        <i/>
        <sz val="11"/>
        <color theme="1"/>
        <rFont val="Calibri"/>
        <family val="2"/>
        <scheme val="minor"/>
      </rPr>
      <t xml:space="preserve"> [2024-01-04]</t>
    </r>
  </si>
  <si>
    <t>Note: tables not auto-updated!</t>
  </si>
  <si>
    <r>
      <t xml:space="preserve">Summarized from </t>
    </r>
    <r>
      <rPr>
        <i/>
        <sz val="11"/>
        <rFont val="Calibri"/>
        <family val="2"/>
        <scheme val="minor"/>
      </rPr>
      <t>OK AUC</t>
    </r>
    <r>
      <rPr>
        <i/>
        <sz val="11"/>
        <color theme="5" tint="-0.249977111117893"/>
        <rFont val="Calibri"/>
        <family val="2"/>
        <scheme val="minor"/>
      </rPr>
      <t xml:space="preserve"> </t>
    </r>
    <r>
      <rPr>
        <i/>
        <sz val="11"/>
        <rFont val="Calibri"/>
        <family val="2"/>
        <scheme val="minor"/>
      </rPr>
      <t>and DEADPITCH RESULTS</t>
    </r>
    <r>
      <rPr>
        <b/>
        <i/>
        <sz val="11"/>
        <color theme="5" tint="-0.249977111117893"/>
        <rFont val="Calibri"/>
        <family val="2"/>
        <scheme val="minor"/>
      </rPr>
      <t xml:space="preserve"> tab</t>
    </r>
  </si>
  <si>
    <t>Skaha Total</t>
  </si>
  <si>
    <t>Osoyoos Total</t>
  </si>
  <si>
    <t>ReturnYear</t>
  </si>
  <si>
    <t>Bon16</t>
  </si>
  <si>
    <t>BonEqn</t>
  </si>
  <si>
    <t>Bon24</t>
  </si>
  <si>
    <t>Harvest</t>
  </si>
  <si>
    <t>Snake_Sox</t>
  </si>
  <si>
    <t>TotSox_Columbia</t>
  </si>
  <si>
    <t>Rock24</t>
  </si>
  <si>
    <t>Rocky24</t>
  </si>
  <si>
    <t>RR-to-RI_Ratio</t>
  </si>
  <si>
    <t>Pct_OSO</t>
  </si>
  <si>
    <t>Pct_NO</t>
  </si>
  <si>
    <t>OSO_Returns</t>
  </si>
  <si>
    <t>CALCULATE</t>
  </si>
  <si>
    <t>DIFF</t>
  </si>
  <si>
    <t>NAMED RANGE: OK_AUC_DP_SUMMARY</t>
  </si>
  <si>
    <t>Summarized from PIVOT LAKE &amp; SPAWNING GROUND tab</t>
  </si>
  <si>
    <r>
      <t>Lower Okanagan River</t>
    </r>
    <r>
      <rPr>
        <sz val="11"/>
        <color theme="1"/>
        <rFont val="Calibri"/>
        <family val="2"/>
        <scheme val="minor"/>
      </rPr>
      <t xml:space="preserve"> (Index and Channelized Sections) </t>
    </r>
  </si>
  <si>
    <r>
      <t xml:space="preserve">Upper Okanagan River </t>
    </r>
    <r>
      <rPr>
        <sz val="11"/>
        <color theme="1"/>
        <rFont val="Calibri"/>
        <family val="2"/>
        <scheme val="minor"/>
      </rPr>
      <t>(Skaha, Pen Channel, Shingle)</t>
    </r>
  </si>
  <si>
    <t>Ok River</t>
  </si>
  <si>
    <t>Mainstem to OkRiver Spawning Grounds Survival</t>
  </si>
  <si>
    <t>H-O</t>
  </si>
  <si>
    <t>% SKAHA</t>
  </si>
  <si>
    <t>Pct H-O</t>
  </si>
  <si>
    <t>WELLS Counts</t>
  </si>
  <si>
    <t>ZOSEL Counts</t>
  </si>
  <si>
    <t>WELLS-to-ZOS Survival</t>
  </si>
  <si>
    <t>WELLS-to-OkR Survival</t>
  </si>
  <si>
    <t>Osoyoos Component</t>
  </si>
  <si>
    <t>Skaha Component</t>
  </si>
  <si>
    <t>Origin of Sockeye on Spawning Grounds in Okanagan Watershed</t>
  </si>
  <si>
    <t>Okanagan Basin Sockeye Stocking - Hatchery-Origin (Penticton Hatchery)</t>
  </si>
  <si>
    <t>Stocked</t>
  </si>
  <si>
    <t>Lake</t>
  </si>
  <si>
    <t>Smolt Year?</t>
  </si>
  <si>
    <t>Return Year?</t>
  </si>
  <si>
    <t>Okanagan</t>
  </si>
  <si>
    <t>Grand Total</t>
  </si>
  <si>
    <t>Started from workbook "stocking history fr Ryan 2022-05-13.xslx" sheet "AO master" - tidied in Okanagan Stocking History to BY2020 - 230202.xlsx</t>
  </si>
  <si>
    <r>
      <t xml:space="preserve">(in </t>
    </r>
    <r>
      <rPr>
        <b/>
        <i/>
        <sz val="11"/>
        <color rgb="FFFF0000"/>
        <rFont val="Calibri"/>
        <family val="2"/>
        <scheme val="minor"/>
      </rPr>
      <t>red</t>
    </r>
    <r>
      <rPr>
        <b/>
        <i/>
        <sz val="11"/>
        <color theme="1"/>
        <rFont val="Calibri"/>
        <family val="2"/>
        <scheme val="minor"/>
      </rPr>
      <t xml:space="preserve"> below is what AO assumed to be Okanagan releases)</t>
    </r>
  </si>
  <si>
    <t>H-O Survivors to Presmolt</t>
  </si>
  <si>
    <t>Release Year</t>
  </si>
  <si>
    <t>Release Date</t>
  </si>
  <si>
    <t>Waterbody Stocked</t>
  </si>
  <si>
    <t>which lake</t>
  </si>
  <si>
    <t>Number stocked</t>
  </si>
  <si>
    <t>Density</t>
  </si>
  <si>
    <t>Number</t>
  </si>
  <si>
    <t>2 June, 2004</t>
  </si>
  <si>
    <t>17 -18 May, 2005</t>
  </si>
  <si>
    <t>16 -17 May, 2006</t>
  </si>
  <si>
    <t>15-16 May, 2007</t>
  </si>
  <si>
    <t>2-3 June, 2008</t>
  </si>
  <si>
    <t>2-3 June, 2009</t>
  </si>
  <si>
    <t>2 June, 2010</t>
  </si>
  <si>
    <t>3 June, 2010</t>
  </si>
  <si>
    <t>Okanagan R (upstream of Osoyoos L)</t>
  </si>
  <si>
    <t xml:space="preserve">Est'd H-O survivors to deduct from OSO presmolt estimate </t>
  </si>
  <si>
    <t>1-2 June 2011</t>
  </si>
  <si>
    <t>29-30 May, 2012</t>
  </si>
  <si>
    <t>4-5 June, 2013</t>
  </si>
  <si>
    <t>no fry production</t>
  </si>
  <si>
    <t>20-21 May, 2015</t>
  </si>
  <si>
    <t>26-27 May, 2015</t>
  </si>
  <si>
    <t>18 May, 2016
1-15 June, 2016</t>
  </si>
  <si>
    <t>Penticton Channel = 10,021 (Ceremonial Release Day); 
Shingle Creek via volitional release = 347,557</t>
  </si>
  <si>
    <t>4-14 June, 2016</t>
  </si>
  <si>
    <r>
      <rPr>
        <sz val="11"/>
        <color rgb="FFFF0000"/>
        <rFont val="Calibri"/>
        <family val="2"/>
        <scheme val="minor"/>
      </rPr>
      <t>Six-Mile Creek = 3,341
Mission Creek = 3,427</t>
    </r>
    <r>
      <rPr>
        <sz val="11"/>
        <rFont val="Calibri"/>
        <family val="2"/>
        <scheme val="minor"/>
      </rPr>
      <t xml:space="preserve">
</t>
    </r>
    <r>
      <rPr>
        <sz val="11"/>
        <color rgb="FFFF0000"/>
        <rFont val="Calibri"/>
        <family val="2"/>
        <scheme val="minor"/>
      </rPr>
      <t xml:space="preserve"> Trout Creek = 3,226</t>
    </r>
  </si>
  <si>
    <t>22 March - 18 May, 2017</t>
  </si>
  <si>
    <t>Penticton Channel = 5,000 (Ceremonial release Day); Shingle Creek Via volitional releases = 4,488,577</t>
  </si>
  <si>
    <t>June 6-10, 2017</t>
  </si>
  <si>
    <r>
      <rPr>
        <sz val="11"/>
        <color rgb="FFFF0000"/>
        <rFont val="Calibri"/>
        <family val="2"/>
        <scheme val="minor"/>
      </rPr>
      <t xml:space="preserve">Six-Mile Creek=228,238 </t>
    </r>
    <r>
      <rPr>
        <sz val="11"/>
        <color theme="1"/>
        <rFont val="Calibri"/>
        <family val="2"/>
        <scheme val="minor"/>
      </rPr>
      <t xml:space="preserve">
</t>
    </r>
    <r>
      <rPr>
        <sz val="11"/>
        <color rgb="FFFF0000"/>
        <rFont val="Calibri"/>
        <family val="2"/>
        <scheme val="minor"/>
      </rPr>
      <t xml:space="preserve">Mission Creek=225,268 </t>
    </r>
    <r>
      <rPr>
        <sz val="11"/>
        <color theme="1"/>
        <rFont val="Calibri"/>
        <family val="2"/>
        <scheme val="minor"/>
      </rPr>
      <t xml:space="preserve">
</t>
    </r>
    <r>
      <rPr>
        <sz val="11"/>
        <color rgb="FFFF0000"/>
        <rFont val="Calibri"/>
        <family val="2"/>
        <scheme val="minor"/>
      </rPr>
      <t>Trout Creek=230,350</t>
    </r>
  </si>
  <si>
    <t>29 March - 3 May, 2018</t>
  </si>
  <si>
    <t>Penticton Channel = 4,431 (Ceremonial Release Day); Shingle Creek via volitional releases = 1,218,171</t>
  </si>
  <si>
    <t xml:space="preserve"> 3 May- 15 May</t>
  </si>
  <si>
    <t>Six-Mile Creek=3,304 
Mission Creek=3,375
Trout Creek=3,431</t>
  </si>
  <si>
    <t>April 9 - May 2, 2019</t>
  </si>
  <si>
    <r>
      <rPr>
        <sz val="11"/>
        <color rgb="FFFF0000"/>
        <rFont val="Calibri"/>
        <family val="2"/>
        <scheme val="minor"/>
      </rPr>
      <t>Six-Mile, Powers, Trout creeks;</t>
    </r>
    <r>
      <rPr>
        <sz val="11"/>
        <rFont val="Calibri"/>
        <family val="2"/>
        <scheme val="minor"/>
      </rPr>
      <t xml:space="preserve">
Pen. Channel (ceremonial); 
</t>
    </r>
    <r>
      <rPr>
        <sz val="11"/>
        <color rgb="FFC00000"/>
        <rFont val="Calibri"/>
        <family val="2"/>
        <scheme val="minor"/>
      </rPr>
      <t xml:space="preserve">Castlegar - Columbia river (1,000, included in total). </t>
    </r>
  </si>
  <si>
    <t xml:space="preserve">All in Skaha; 120,299 Sept release
</t>
  </si>
  <si>
    <t>March 25 - July 17, 2021</t>
  </si>
  <si>
    <t>2,029,615 to Skaha</t>
  </si>
  <si>
    <t>March 25 - July 17, 2022</t>
  </si>
  <si>
    <r>
      <t xml:space="preserve">60,099 upper Columb ceremonial (not incl in total)
</t>
    </r>
    <r>
      <rPr>
        <sz val="11"/>
        <color rgb="FFFF0000"/>
        <rFont val="Calibri"/>
        <family val="2"/>
        <scheme val="minor"/>
      </rPr>
      <t>2,070,088 to OKL</t>
    </r>
  </si>
  <si>
    <t>Upper Columbia 2018</t>
  </si>
  <si>
    <t>Upper Columbia 2019</t>
  </si>
  <si>
    <t>Upper Columbia 2020</t>
  </si>
  <si>
    <t>bradford_24hr</t>
  </si>
  <si>
    <t>washington_24hr</t>
  </si>
  <si>
    <t>24hr_total</t>
  </si>
  <si>
    <t>bradford_16hr</t>
  </si>
  <si>
    <t>washington_16hr</t>
  </si>
  <si>
    <t>16hr_total</t>
  </si>
  <si>
    <t>difference</t>
  </si>
  <si>
    <t>diff_perc</t>
  </si>
  <si>
    <t>Adjustment</t>
  </si>
  <si>
    <t>ALL</t>
  </si>
  <si>
    <t>Weighted</t>
  </si>
  <si>
    <t>Night_Counts</t>
  </si>
  <si>
    <t>16-hr_Counts</t>
  </si>
  <si>
    <t>24-hr_Counts</t>
  </si>
  <si>
    <t>Pct_diff</t>
  </si>
  <si>
    <t>t-Test: Pct_Diff -- Two-Sample Assuming Equal Variances</t>
  </si>
  <si>
    <t>1994-2002</t>
  </si>
  <si>
    <t>2013-2022</t>
  </si>
  <si>
    <t>Variance</t>
  </si>
  <si>
    <t>Observations</t>
  </si>
  <si>
    <t>Pooled Variance</t>
  </si>
  <si>
    <t>Hypothesized Mean Difference</t>
  </si>
  <si>
    <t>df</t>
  </si>
  <si>
    <t>t Stat</t>
  </si>
  <si>
    <t>NAMED RANGE: Bon Count Adjustment</t>
  </si>
  <si>
    <t>P(T&lt;=t) one-tail</t>
  </si>
  <si>
    <t>Mean Adjustment</t>
  </si>
  <si>
    <t>Note</t>
  </si>
  <si>
    <t>Intercept</t>
  </si>
  <si>
    <t>Slope</t>
  </si>
  <si>
    <t>t Critical one-tail</t>
  </si>
  <si>
    <t>weighted m-yr mean (1994-2002)</t>
  </si>
  <si>
    <t>Regression parameters from 1994-2002</t>
  </si>
  <si>
    <t>P(T&lt;=t) two-tail</t>
  </si>
  <si>
    <t>t Critical two-tail</t>
  </si>
  <si>
    <t>Slope trimmed to 2 dec places</t>
  </si>
  <si>
    <t>to match Colin Bailey</t>
  </si>
  <si>
    <t>1.036 Annual estimate</t>
  </si>
  <si>
    <t>1.039 Annual estimate</t>
  </si>
  <si>
    <t>1.030 Annual estimate</t>
  </si>
  <si>
    <t>1.028 Annual estimate</t>
  </si>
  <si>
    <t>1.029 Annual estimate</t>
  </si>
  <si>
    <t>1.023 Annual estimate</t>
  </si>
  <si>
    <t>1.042 Annual estimate</t>
  </si>
  <si>
    <t>1.043 (Average of weighted m-yr means (1994-2002 and 2013-2022))</t>
  </si>
  <si>
    <t>1.031 Annual estimate</t>
  </si>
  <si>
    <t>Regression parameters from 2013-2022</t>
  </si>
  <si>
    <t>1.062 Annual estimate</t>
  </si>
  <si>
    <t>1.064 Annual estimate</t>
  </si>
  <si>
    <t>1.063 Annual estimate</t>
  </si>
  <si>
    <t>1.043 Annual estimate</t>
  </si>
  <si>
    <t>1.026 Annual estimate</t>
  </si>
  <si>
    <t>1.022 Annual estimate</t>
  </si>
  <si>
    <t>1.049 Annual estimate</t>
  </si>
  <si>
    <t>1.044 Annual estimate</t>
  </si>
  <si>
    <t>1.061 Annual estimate</t>
  </si>
  <si>
    <t>1.048 Annual estimate</t>
  </si>
  <si>
    <t>From the R-code - to get R for Diff vs Tot16</t>
  </si>
  <si>
    <t>ret_year</t>
  </si>
  <si>
    <t>tot_16</t>
  </si>
  <si>
    <t>tot_24</t>
  </si>
  <si>
    <t>Showing 1 to 18 of 18 entries, 4 total columns</t>
  </si>
  <si>
    <t>Ok Sox Nat. Mortality</t>
  </si>
  <si>
    <t>Ok Sox Mouth-to-Wells Survival</t>
  </si>
  <si>
    <t>Ok Sox BON-to-Wells Survival</t>
  </si>
  <si>
    <t>AVERAGE</t>
  </si>
  <si>
    <t>SmoltYear</t>
  </si>
  <si>
    <t>Fryer_Adults</t>
  </si>
  <si>
    <t>SiRE_Adults</t>
  </si>
  <si>
    <t>Best_Adults</t>
  </si>
  <si>
    <t>Fryer_SAR</t>
  </si>
  <si>
    <t>SiRE_SAR</t>
  </si>
  <si>
    <t>Best_SAR</t>
  </si>
  <si>
    <t>Project</t>
  </si>
  <si>
    <t>Year </t>
  </si>
  <si>
    <t>Chinook </t>
  </si>
  <si>
    <t>Jack Chinook </t>
  </si>
  <si>
    <t>Steelhead </t>
  </si>
  <si>
    <t>Wild Steelhead </t>
  </si>
  <si>
    <t>Sockeye </t>
  </si>
  <si>
    <t>Coho </t>
  </si>
  <si>
    <t>Jack Coho </t>
  </si>
  <si>
    <t>Shad </t>
  </si>
  <si>
    <t>Lamprey </t>
  </si>
  <si>
    <t>Bull Trout </t>
  </si>
  <si>
    <t>Chum </t>
  </si>
  <si>
    <t>Pink </t>
  </si>
  <si>
    <t>Zosel</t>
  </si>
  <si>
    <r>
      <t>AUC Total Returns</t>
    </r>
    <r>
      <rPr>
        <sz val="11"/>
        <color theme="1"/>
        <rFont val="Calibri"/>
        <family val="2"/>
        <scheme val="minor"/>
      </rPr>
      <t xml:space="preserve"> (#fish)</t>
    </r>
  </si>
  <si>
    <t>AUC Total</t>
  </si>
  <si>
    <t>OSO Spawners by Brood Year</t>
  </si>
  <si>
    <t>AUC (All Ages)</t>
  </si>
  <si>
    <t>From "CNAT_Escapement Units_2020 - AO ver 2022.10.15ff.xlsx" via"AUCs for HS to 2021 ver 2022-12-29.xlsx"</t>
  </si>
  <si>
    <t>guesstimate</t>
  </si>
  <si>
    <t>OSO SK Spawners (PC)</t>
  </si>
  <si>
    <t>DamSite</t>
  </si>
  <si>
    <t>Dalles</t>
  </si>
  <si>
    <t>JohnDay</t>
  </si>
  <si>
    <t>McNary</t>
  </si>
  <si>
    <t>PriestRapids</t>
  </si>
  <si>
    <t>RockIsland</t>
  </si>
  <si>
    <t>RockyReach</t>
  </si>
  <si>
    <t>Wells</t>
  </si>
  <si>
    <t>Tumwater</t>
  </si>
  <si>
    <t>OKC</t>
  </si>
  <si>
    <t>%OKA RRH</t>
  </si>
  <si>
    <t>%OKA WEL</t>
  </si>
  <si>
    <t>m3_OSO N-O</t>
  </si>
  <si>
    <r>
      <t xml:space="preserve">DATA from CB 2023-01-10 - </t>
    </r>
    <r>
      <rPr>
        <b/>
        <sz val="11"/>
        <color rgb="FFFF0000"/>
        <rFont val="Calibri"/>
        <family val="2"/>
        <scheme val="minor"/>
      </rPr>
      <t>H-O (Skaha) fish removed from 2008-2021</t>
    </r>
    <r>
      <rPr>
        <sz val="11"/>
        <color rgb="FFFF0000"/>
        <rFont val="Calibri"/>
        <family val="2"/>
        <scheme val="minor"/>
      </rPr>
      <t xml:space="preserve"> based on deadpitch ratios on SEIS spawning ground (lower Okanagan River)</t>
    </r>
  </si>
  <si>
    <t>Copy to SIS DATA OSO 230108 Adult Age Comp COLUMN B (New)</t>
  </si>
  <si>
    <t>Copy into FORMULA in SIS DATA OSO 230108 Adult Age Comp COLUMN B (New)</t>
  </si>
  <si>
    <t>NA</t>
  </si>
  <si>
    <t>Marine Survival</t>
  </si>
  <si>
    <t>CV</t>
  </si>
  <si>
    <r>
      <t xml:space="preserve">Okanagan Sockeye Returns estimates at the Columbia River Mouth (based on Wells counts + harvest Zones 1-6 + natural mortality below Wells) - </t>
    </r>
    <r>
      <rPr>
        <sz val="10"/>
        <color rgb="FF0066FF"/>
        <rFont val="Tahoma"/>
        <family val="2"/>
      </rPr>
      <t>from column Z in "Data at Age" tab</t>
    </r>
  </si>
  <si>
    <r>
      <rPr>
        <b/>
        <sz val="10"/>
        <rFont val="Tahoma"/>
        <family val="2"/>
      </rPr>
      <t>Total</t>
    </r>
    <r>
      <rPr>
        <sz val="11"/>
        <color theme="1"/>
        <rFont val="Calibri"/>
        <family val="2"/>
        <scheme val="minor"/>
      </rPr>
      <t xml:space="preserve"> column should equal annual sum of </t>
    </r>
    <r>
      <rPr>
        <b/>
        <sz val="10"/>
        <rFont val="Tahoma"/>
        <family val="2"/>
      </rPr>
      <t>Ok Returns at Mouth (Best)</t>
    </r>
    <r>
      <rPr>
        <sz val="11"/>
        <color theme="1"/>
        <rFont val="Calibri"/>
        <family val="2"/>
        <scheme val="minor"/>
      </rPr>
      <t xml:space="preserve"> [column Z] in tab "</t>
    </r>
    <r>
      <rPr>
        <sz val="10"/>
        <color rgb="FFFF0000"/>
        <rFont val="Tahoma"/>
        <family val="2"/>
      </rPr>
      <t>Data at Age</t>
    </r>
    <r>
      <rPr>
        <sz val="11"/>
        <color theme="1"/>
        <rFont val="Calibri"/>
        <family val="2"/>
        <scheme val="minor"/>
      </rPr>
      <t>"</t>
    </r>
  </si>
  <si>
    <r>
      <t>but may not exactly equal annual total (column W) in tab "</t>
    </r>
    <r>
      <rPr>
        <sz val="10"/>
        <color rgb="FFFF0000"/>
        <rFont val="Tahoma"/>
        <family val="2"/>
      </rPr>
      <t>Sockeye Returns Data</t>
    </r>
    <r>
      <rPr>
        <sz val="11"/>
        <color theme="1"/>
        <rFont val="Calibri"/>
        <family val="2"/>
        <scheme val="minor"/>
      </rPr>
      <t>" due to round-off, and age composition in "</t>
    </r>
    <r>
      <rPr>
        <sz val="10"/>
        <color rgb="FFFF0000"/>
        <rFont val="Tahoma"/>
        <family val="2"/>
      </rPr>
      <t>Data at Age</t>
    </r>
    <r>
      <rPr>
        <sz val="11"/>
        <color theme="1"/>
        <rFont val="Calibri"/>
        <family val="2"/>
        <scheme val="minor"/>
      </rPr>
      <t>" not always adding up to exactly 100%</t>
    </r>
  </si>
  <si>
    <t>Ok Returns (Best)</t>
  </si>
  <si>
    <t>Data Check</t>
  </si>
  <si>
    <t>Annual Total</t>
  </si>
  <si>
    <t>Diff (%)</t>
  </si>
  <si>
    <t>%Diff shows minimal (&lt;1%) difference between annual estimates and sum of estimates across ages within each year</t>
  </si>
  <si>
    <r>
      <t xml:space="preserve">Blue data (returns at age) get copied into Adult Returns Data tab.   </t>
    </r>
    <r>
      <rPr>
        <sz val="10"/>
        <color rgb="FFFF0000"/>
        <rFont val="Tahoma"/>
        <family val="2"/>
      </rPr>
      <t>[Done - 2022-11-01]</t>
    </r>
  </si>
  <si>
    <r>
      <t xml:space="preserve">Okanagan Sockeye Returns estimates by Smolt Year at the Columbia River Mouth (based on Wells counts + harvest Zones 1-6 + natural mortality below Wells) - </t>
    </r>
    <r>
      <rPr>
        <sz val="10"/>
        <color rgb="FF0066FF"/>
        <rFont val="Tahoma"/>
        <family val="2"/>
      </rPr>
      <t>from column Z in "Data at Age" tab</t>
    </r>
  </si>
  <si>
    <r>
      <t>Green cells should match up closely with "</t>
    </r>
    <r>
      <rPr>
        <b/>
        <sz val="11"/>
        <color rgb="FF006100"/>
        <rFont val="Calibri"/>
        <family val="2"/>
        <scheme val="minor"/>
      </rPr>
      <t>Total Adult Returns</t>
    </r>
    <r>
      <rPr>
        <sz val="11"/>
        <color rgb="FF006100"/>
        <rFont val="Calibri"/>
        <family val="2"/>
        <scheme val="minor"/>
      </rPr>
      <t>" column in tab "</t>
    </r>
    <r>
      <rPr>
        <sz val="11"/>
        <color rgb="FFFF0000"/>
        <rFont val="Calibri"/>
        <family val="2"/>
        <scheme val="minor"/>
      </rPr>
      <t>Smolt to Adult Survival</t>
    </r>
    <r>
      <rPr>
        <sz val="11"/>
        <color rgb="FF006100"/>
        <rFont val="Calibri"/>
        <family val="2"/>
        <scheme val="minor"/>
      </rPr>
      <t>"</t>
    </r>
  </si>
  <si>
    <t>Fry Released</t>
  </si>
  <si>
    <t>Release notes</t>
  </si>
  <si>
    <t>DENSITY fish/ha</t>
  </si>
  <si>
    <t>Okl-10,001
Skaha - 333,171  
Upper Columbia - 32,446</t>
  </si>
  <si>
    <t>See READ ME tab for current info on Hatchery Returns (a work in progress) [hs 2022-11-27]</t>
  </si>
  <si>
    <t>2,029,615 to Skaha
2,070,088 to OKL</t>
  </si>
  <si>
    <t xml:space="preserve">See workbook </t>
  </si>
  <si>
    <t>all in Skaha
incl 120,299 Sept release</t>
  </si>
  <si>
    <t>OKL.  Incl approx 54,000 ceremonial into Skaha L.</t>
  </si>
  <si>
    <t>includes 10,110 ceremonial into OKL</t>
  </si>
  <si>
    <t>no hatchery production</t>
  </si>
  <si>
    <t>Osoyoos L</t>
  </si>
  <si>
    <r>
      <t xml:space="preserve">Hyatt et al. (2017) Table 11 indicates only </t>
    </r>
    <r>
      <rPr>
        <sz val="11"/>
        <color rgb="FFFF0000"/>
        <rFont val="Calibri"/>
        <family val="2"/>
        <scheme val="minor"/>
      </rPr>
      <t>895/ha</t>
    </r>
    <r>
      <rPr>
        <sz val="11"/>
        <color theme="1"/>
        <rFont val="Calibri"/>
        <family val="2"/>
        <scheme val="minor"/>
      </rPr>
      <t xml:space="preserve"> released (p.56) =</t>
    </r>
  </si>
  <si>
    <t>fish</t>
  </si>
  <si>
    <t>However, only the final ATS abundance estimate for H-O fish is used in each year to deduct from official juvenile abundance index [hs 2022-11-23]</t>
  </si>
  <si>
    <t>Skaha L</t>
  </si>
  <si>
    <t>Skaha Lake</t>
  </si>
  <si>
    <t>Skaha limnetic SA (ha)</t>
  </si>
  <si>
    <t>Osoyoos Lake</t>
  </si>
  <si>
    <t>Osoyoos limnetic SA (ha)</t>
  </si>
  <si>
    <t>RETURN YEAR</t>
  </si>
  <si>
    <t>Skaha Adult returns (Pen Chan)</t>
  </si>
  <si>
    <t>% Hatchery Dead Pitch (Pen Chan - adults from Brood Year)</t>
  </si>
  <si>
    <t>skaha hatchery returns to pen channel</t>
  </si>
  <si>
    <t>Wells dam counts</t>
  </si>
  <si>
    <t>% of returns of Wells</t>
  </si>
  <si>
    <t>^^^ NAMED RANGE: Skaha_Returns_PenChannel</t>
  </si>
  <si>
    <t>Table from Kari Alex (ONA)</t>
  </si>
  <si>
    <t>Not sure where these WELLS counts come from - not from FPC (hs)</t>
  </si>
  <si>
    <r>
      <t xml:space="preserve">NAMED RANGE: SkahaPercentage (in </t>
    </r>
    <r>
      <rPr>
        <b/>
        <i/>
        <sz val="11"/>
        <color rgb="FFFF0000"/>
        <rFont val="Calibri"/>
        <family val="2"/>
        <scheme val="minor"/>
      </rPr>
      <t>lower Okanagan R</t>
    </r>
    <r>
      <rPr>
        <b/>
        <i/>
        <sz val="11"/>
        <color theme="1"/>
        <rFont val="Calibri"/>
        <family val="2"/>
        <scheme val="minor"/>
      </rPr>
      <t>)</t>
    </r>
  </si>
  <si>
    <t>NAMED RANGE: ShingleCreek_Nerkids</t>
  </si>
  <si>
    <t>Source</t>
  </si>
  <si>
    <t>N-O</t>
  </si>
  <si>
    <t>Nerkids</t>
  </si>
  <si>
    <t>Sockeye</t>
  </si>
  <si>
    <t>total_auc</t>
  </si>
  <si>
    <t>total_nerkids</t>
  </si>
  <si>
    <t>Dead-pitch</t>
  </si>
  <si>
    <r>
      <t>NAMED RANGE: SkahaSoxReturns (</t>
    </r>
    <r>
      <rPr>
        <b/>
        <i/>
        <sz val="11"/>
        <color rgb="FFFF0000"/>
        <rFont val="Calibri"/>
        <family val="2"/>
        <scheme val="minor"/>
      </rPr>
      <t>Pen Channel</t>
    </r>
    <r>
      <rPr>
        <b/>
        <i/>
        <sz val="11"/>
        <color theme="1"/>
        <rFont val="Calibri"/>
        <family val="2"/>
        <scheme val="minor"/>
      </rPr>
      <t>)</t>
    </r>
  </si>
  <si>
    <t>Kokanee%</t>
  </si>
  <si>
    <t>Kokanee</t>
  </si>
  <si>
    <t>%Sox</t>
  </si>
  <si>
    <r>
      <rPr>
        <b/>
        <sz val="11"/>
        <color rgb="FF3F3F76"/>
        <rFont val="Calibri"/>
        <family val="2"/>
        <scheme val="minor"/>
      </rPr>
      <t>Kokanee</t>
    </r>
    <r>
      <rPr>
        <sz val="11"/>
        <color rgb="FF3F3F76"/>
        <rFont val="Calibri"/>
        <family val="2"/>
        <scheme val="minor"/>
      </rPr>
      <t xml:space="preserve"> Estimates (Labelle 2017)</t>
    </r>
  </si>
  <si>
    <r>
      <rPr>
        <b/>
        <sz val="11"/>
        <color rgb="FF3F3F76"/>
        <rFont val="Calibri"/>
        <family val="2"/>
        <scheme val="minor"/>
      </rPr>
      <t>Sockeye</t>
    </r>
    <r>
      <rPr>
        <sz val="11"/>
        <color rgb="FF3F3F76"/>
        <rFont val="Calibri"/>
        <family val="2"/>
        <scheme val="minor"/>
      </rPr>
      <t xml:space="preserve"> Estimates (Labelle 2017)</t>
    </r>
  </si>
  <si>
    <t>Multi-year average</t>
  </si>
  <si>
    <t>see Table @ A57</t>
  </si>
  <si>
    <r>
      <t xml:space="preserve">NAMED RANGE: SkahaPercentWithWild (in </t>
    </r>
    <r>
      <rPr>
        <b/>
        <i/>
        <sz val="11"/>
        <color rgb="FFFF0000"/>
        <rFont val="Calibri"/>
        <family val="2"/>
        <scheme val="minor"/>
      </rPr>
      <t>lower Okanagan R and Skaha Section</t>
    </r>
    <r>
      <rPr>
        <b/>
        <i/>
        <sz val="11"/>
        <color theme="1"/>
        <rFont val="Calibri"/>
        <family val="2"/>
        <scheme val="minor"/>
      </rPr>
      <t>)</t>
    </r>
  </si>
  <si>
    <t>Overall Mean 2011-2020</t>
  </si>
  <si>
    <t>RETURN</t>
  </si>
  <si>
    <t>NERKIDS</t>
  </si>
  <si>
    <t>%SOX</t>
  </si>
  <si>
    <t>SOCKEYE</t>
  </si>
  <si>
    <t>%N-O</t>
  </si>
  <si>
    <t>N-O SOX</t>
  </si>
  <si>
    <t>H-O SOX</t>
  </si>
  <si>
    <t>PEN SKAHA SOX</t>
  </si>
  <si>
    <t>TOTAL %SKAHA</t>
  </si>
  <si>
    <r>
      <rPr>
        <i/>
        <sz val="11"/>
        <color rgb="FFFF0000"/>
        <rFont val="Calibri"/>
        <family val="2"/>
        <scheme val="minor"/>
      </rPr>
      <t>Pen Channel Update</t>
    </r>
    <r>
      <rPr>
        <i/>
        <sz val="11"/>
        <color theme="1"/>
        <rFont val="Calibri"/>
        <family val="2"/>
        <scheme val="minor"/>
      </rPr>
      <t xml:space="preserve"> from Braden (Table 1) - referenced above…</t>
    </r>
  </si>
  <si>
    <t>Site</t>
  </si>
  <si>
    <r>
      <t>Year</t>
    </r>
    <r>
      <rPr>
        <sz val="9"/>
        <color theme="1"/>
        <rFont val="Calibri"/>
        <family val="2"/>
        <scheme val="minor"/>
      </rPr>
      <t> </t>
    </r>
  </si>
  <si>
    <t>Kokanee (%)</t>
  </si>
  <si>
    <t>Sockeye (%)</t>
  </si>
  <si>
    <t>Pen Channel</t>
  </si>
  <si>
    <t>47,867 (97.0)</t>
  </si>
  <si>
    <t>1,458 (3.0)</t>
  </si>
  <si>
    <t>some roundoff error to E28</t>
  </si>
  <si>
    <t>25,645 (70.0)</t>
  </si>
  <si>
    <t>11,000 (30.0)</t>
  </si>
  <si>
    <t>some roundoff error to E29</t>
  </si>
  <si>
    <t>no stock comp data</t>
  </si>
  <si>
    <t>20,497 (69.7)</t>
  </si>
  <si>
    <t>8,907 (30.3)</t>
  </si>
  <si>
    <t>some roundoff error to E30</t>
  </si>
  <si>
    <t>10,628 (18.3)</t>
  </si>
  <si>
    <t>47,573 (81.7)</t>
  </si>
  <si>
    <t>some roundoff error to E31</t>
  </si>
  <si>
    <t>44,374 (76.0)</t>
  </si>
  <si>
    <t>14,041 (24.0)</t>
  </si>
  <si>
    <t>some roundoff error to E32</t>
  </si>
  <si>
    <t>42,300 (54.2)</t>
  </si>
  <si>
    <t>35,722 (45.8)</t>
  </si>
  <si>
    <t>some roundoff error to E33</t>
  </si>
  <si>
    <t>18,629 (41.3)</t>
  </si>
  <si>
    <t>26,434 (58.7)</t>
  </si>
  <si>
    <t>some roundoff error to E34</t>
  </si>
  <si>
    <t>18,045 (31.7)</t>
  </si>
  <si>
    <t>38,906 (68.3)</t>
  </si>
  <si>
    <t>some roundoff error to E35</t>
  </si>
  <si>
    <t>30,754 (76.8)</t>
  </si>
  <si>
    <t>9,269 (23.2)</t>
  </si>
  <si>
    <t>some roundoff error to E36</t>
  </si>
  <si>
    <t>31,501 (53.6)</t>
  </si>
  <si>
    <t>27,308 (46.4)</t>
  </si>
  <si>
    <t>some roundoff error to E37</t>
  </si>
  <si>
    <t>47,254 (85.1)</t>
  </si>
  <si>
    <t>8,240 (14.9)</t>
  </si>
  <si>
    <t>some roundoff error to E38</t>
  </si>
  <si>
    <r>
      <t>NAMED RANGE: Skaha_</t>
    </r>
    <r>
      <rPr>
        <b/>
        <i/>
        <sz val="11"/>
        <color rgb="FFFF0000"/>
        <rFont val="Calibri"/>
        <family val="2"/>
        <scheme val="minor"/>
      </rPr>
      <t>Shingle</t>
    </r>
    <r>
      <rPr>
        <b/>
        <i/>
        <sz val="11"/>
        <color theme="1"/>
        <rFont val="Calibri"/>
        <family val="2"/>
        <scheme val="minor"/>
      </rPr>
      <t>_Returns</t>
    </r>
  </si>
  <si>
    <t>%Kok</t>
  </si>
  <si>
    <t>Skaha Sox</t>
  </si>
  <si>
    <t>Shingle</t>
  </si>
  <si>
    <t>PreSmolts</t>
  </si>
  <si>
    <t>McNarySmolts</t>
  </si>
  <si>
    <t>Sockeye are observed clipped and unclipped across the Columbia Basin. In the specific case of juvenile sockeye observed during the year 2000 migration, clipped fish are almost always of hatchery origin, and unclipped fish are almost always of wild origin.</t>
  </si>
  <si>
    <t>JuvMigYear</t>
  </si>
  <si>
    <t>BonnSox</t>
  </si>
  <si>
    <t>Length Types</t>
  </si>
  <si>
    <t>SL</t>
  </si>
  <si>
    <t>Standard Length</t>
  </si>
  <si>
    <t>Fork Length</t>
  </si>
  <si>
    <t>TL</t>
  </si>
  <si>
    <t>Total Length</t>
  </si>
  <si>
    <t>PO</t>
  </si>
  <si>
    <t>Post-Orbital Hypural Length</t>
  </si>
  <si>
    <r>
      <t xml:space="preserve"> Est WEN Returns </t>
    </r>
    <r>
      <rPr>
        <sz val="10"/>
        <color rgb="FF0000FF"/>
        <rFont val="Tahoma"/>
        <family val="2"/>
      </rPr>
      <t>(TUM NO)</t>
    </r>
  </si>
  <si>
    <r>
      <rPr>
        <b/>
        <sz val="10"/>
        <rFont val="Tahoma"/>
        <family val="2"/>
      </rPr>
      <t>Total REC Harvest</t>
    </r>
    <r>
      <rPr>
        <sz val="10"/>
        <rFont val="Tahoma"/>
        <family val="2"/>
      </rPr>
      <t xml:space="preserve"> (Low &amp; Mid-Columbia)</t>
    </r>
  </si>
  <si>
    <t>Version 24.05.13</t>
  </si>
  <si>
    <r>
      <t xml:space="preserve">ADULTS - </t>
    </r>
    <r>
      <rPr>
        <i/>
        <sz val="11"/>
        <color rgb="FF0070C0"/>
        <rFont val="Calibri"/>
        <family val="2"/>
        <scheme val="minor"/>
      </rPr>
      <t>dam counts and age composition brought up to date (RY2023)</t>
    </r>
  </si>
  <si>
    <t>Total COMM Harvest Below Bonn</t>
  </si>
  <si>
    <t>Best Source</t>
  </si>
  <si>
    <t>SiRE MultiYr</t>
  </si>
  <si>
    <t>CRITFC</t>
  </si>
  <si>
    <t>SiRE</t>
  </si>
  <si>
    <t>SIRE =  Sp/Grd but may be brood-stock removals [hs 10/21/2020]</t>
  </si>
  <si>
    <t>CRITFC = Fryer &amp; Kelsey 2001 (CRITFC 01-2) (Wells Dam, Table 3)</t>
  </si>
  <si>
    <t>Return_Year</t>
  </si>
  <si>
    <t>BON</t>
  </si>
  <si>
    <t>RID</t>
  </si>
  <si>
    <t>RRH</t>
  </si>
  <si>
    <t>WELL</t>
  </si>
  <si>
    <t>24-01.pdf (critfc.org)</t>
  </si>
  <si>
    <t>22_02.pdf (critfc.org)</t>
  </si>
  <si>
    <t>21_01.pdf (critfc.org)</t>
  </si>
  <si>
    <t>20_01.pdf (critfc.org)</t>
  </si>
  <si>
    <t>18-02.pdf (critfc.org)</t>
  </si>
  <si>
    <t>17-06.pdf (critfc.org)</t>
  </si>
  <si>
    <t>16-02.pdf (critfc.org)</t>
  </si>
  <si>
    <t>Bonneville Sockeye PIT tag paper (critfc.org)</t>
  </si>
  <si>
    <t>15-01.pdf (critfc.org)</t>
  </si>
  <si>
    <t>Okanagan_Juv_Return_Tags</t>
  </si>
  <si>
    <t>Bon_Adult_Return_Tags</t>
  </si>
  <si>
    <t>find sample size</t>
  </si>
  <si>
    <t>Naughton et al. 2006. Fallback by Adult Sockeye Salmon at Columbia River Dams (researchgate.net)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</si>
</sst>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43" formatCode="_-* #,##0.00_-;\-* #,##0.00_-;_-* &quot;-&quot;??_-;_-@_-"/>
    <numFmt numFmtId="164" formatCode="_(* #,##0_);_(* \(#,##0\);_(* &quot;-&quot;_);_(@_)"/>
    <numFmt numFmtId="165" formatCode="_(* #,##0.00_);_(* \(#,##0.00\);_(* &quot;-&quot;??_);_(@_)"/>
    <numFmt numFmtId="166" formatCode="[$-409]d\-mmm\-yy;@"/>
    <numFmt numFmtId="167" formatCode="0.0"/>
    <numFmt numFmtId="168" formatCode="#,##0.0"/>
    <numFmt numFmtId="169" formatCode="_(* #,##0.0_);_(* \(#,##0.0\);_(* &quot;-&quot;??_);_(@_)"/>
    <numFmt numFmtId="170" formatCode="_(* #,##0_);_(* \(#,##0\);_(* &quot;-&quot;??_);_(@_)"/>
    <numFmt numFmtId="171" formatCode="[$-409]d/mmm/yy;@"/>
    <numFmt numFmtId="172" formatCode="#,##0_ ;\-#,##0\ "/>
    <numFmt numFmtId="173" formatCode="[$-1009]d/mmm/yy;@"/>
    <numFmt numFmtId="174" formatCode="_-* #,##0_-;\-* #,##0_-;_-* &quot;-&quot;??_-;_-@_-"/>
    <numFmt numFmtId="175" formatCode="0.000%"/>
    <numFmt numFmtId="176" formatCode="0.000"/>
    <numFmt numFmtId="177" formatCode="0.0%"/>
    <numFmt numFmtId="178" formatCode="[$-1009]d\-mmm\-yy;@"/>
    <numFmt numFmtId="179" formatCode="0.0000"/>
    <numFmt numFmtId="180" formatCode="0.000000"/>
  </numFmts>
  <fonts count="171" x14ac:knownFonts="1">
    <font>
      <sz val="11"/>
      <color theme="1"/>
      <name val="Calibri"/>
      <family val="2"/>
      <scheme val="minor"/>
    </font>
    <font>
      <sz val="11"/>
      <name val="Calibri"/>
      <family val="2"/>
    </font>
    <font>
      <sz val="11"/>
      <name val="Calibri"/>
      <family val="2"/>
    </font>
    <font>
      <sz val="11"/>
      <color theme="1"/>
      <name val="Calibri"/>
      <family val="2"/>
      <scheme val="minor"/>
    </font>
    <font>
      <b/>
      <sz val="11"/>
      <color theme="3"/>
      <name val="Calibri"/>
      <family val="2"/>
      <scheme val="minor"/>
    </font>
    <font>
      <sz val="11"/>
      <color rgb="FFFF0000"/>
      <name val="Calibri"/>
      <family val="2"/>
      <scheme val="minor"/>
    </font>
    <font>
      <b/>
      <sz val="11"/>
      <color theme="1"/>
      <name val="Calibri"/>
      <family val="2"/>
      <scheme val="minor"/>
    </font>
    <font>
      <b/>
      <sz val="11"/>
      <color rgb="FFFF0000"/>
      <name val="Calibri"/>
      <family val="2"/>
      <scheme val="minor"/>
    </font>
    <font>
      <b/>
      <sz val="11"/>
      <color rgb="FF0070C0"/>
      <name val="Calibri"/>
      <family val="2"/>
      <scheme val="minor"/>
    </font>
    <font>
      <sz val="11"/>
      <color rgb="FF0070C0"/>
      <name val="Calibri"/>
      <family val="2"/>
      <scheme val="minor"/>
    </font>
    <font>
      <sz val="9"/>
      <color indexed="81"/>
      <name val="Tahoma"/>
      <family val="2"/>
    </font>
    <font>
      <b/>
      <sz val="9"/>
      <color indexed="81"/>
      <name val="Tahoma"/>
      <family val="2"/>
    </font>
    <font>
      <vertAlign val="subscript"/>
      <sz val="11"/>
      <color theme="1"/>
      <name val="Calibri"/>
      <family val="2"/>
      <scheme val="minor"/>
    </font>
    <font>
      <sz val="11"/>
      <color theme="0"/>
      <name val="Calibri"/>
      <family val="2"/>
      <scheme val="minor"/>
    </font>
    <font>
      <sz val="11"/>
      <name val="Calibri"/>
      <family val="2"/>
      <scheme val="minor"/>
    </font>
    <font>
      <b/>
      <sz val="11"/>
      <name val="Calibri"/>
      <family val="2"/>
      <scheme val="minor"/>
    </font>
    <font>
      <b/>
      <sz val="14"/>
      <color theme="3"/>
      <name val="Calibri"/>
      <family val="2"/>
      <scheme val="minor"/>
    </font>
    <font>
      <sz val="12"/>
      <color rgb="FFFF0000"/>
      <name val="Calibri"/>
      <family val="2"/>
      <scheme val="minor"/>
    </font>
    <font>
      <b/>
      <sz val="12"/>
      <color rgb="FFFF0000"/>
      <name val="Calibri"/>
      <family val="2"/>
      <scheme val="minor"/>
    </font>
    <font>
      <b/>
      <sz val="16"/>
      <color theme="1"/>
      <name val="Calibri"/>
      <family val="2"/>
      <scheme val="minor"/>
    </font>
    <font>
      <b/>
      <sz val="12"/>
      <color theme="1"/>
      <name val="Calibri"/>
      <family val="2"/>
      <scheme val="minor"/>
    </font>
    <font>
      <b/>
      <sz val="16"/>
      <name val="Calibri"/>
      <family val="2"/>
      <scheme val="minor"/>
    </font>
    <font>
      <i/>
      <sz val="12"/>
      <color rgb="FFFF0000"/>
      <name val="Calibri"/>
      <family val="2"/>
      <scheme val="minor"/>
    </font>
    <font>
      <b/>
      <i/>
      <sz val="12"/>
      <color rgb="FFFF0000"/>
      <name val="Calibri"/>
      <family val="2"/>
      <scheme val="minor"/>
    </font>
    <font>
      <u/>
      <sz val="12"/>
      <color rgb="FFFF0000"/>
      <name val="Calibri"/>
      <family val="2"/>
      <scheme val="minor"/>
    </font>
    <font>
      <b/>
      <sz val="12"/>
      <color theme="4" tint="-0.249977111117893"/>
      <name val="Calibri"/>
      <family val="2"/>
      <scheme val="minor"/>
    </font>
    <font>
      <b/>
      <sz val="12"/>
      <color rgb="FFC00000"/>
      <name val="Calibri"/>
      <family val="2"/>
      <scheme val="minor"/>
    </font>
    <font>
      <b/>
      <sz val="12"/>
      <name val="Calibri"/>
      <family val="2"/>
      <scheme val="minor"/>
    </font>
    <font>
      <b/>
      <sz val="11"/>
      <color rgb="FFC00000"/>
      <name val="Calibri"/>
      <family val="2"/>
      <scheme val="minor"/>
    </font>
    <font>
      <vertAlign val="superscript"/>
      <sz val="12"/>
      <color rgb="FFFF0000"/>
      <name val="Calibri"/>
      <family val="2"/>
      <scheme val="minor"/>
    </font>
    <font>
      <vertAlign val="superscript"/>
      <sz val="11"/>
      <color theme="1"/>
      <name val="Calibri"/>
      <family val="2"/>
      <scheme val="minor"/>
    </font>
    <font>
      <i/>
      <sz val="11"/>
      <name val="Calibri"/>
      <family val="2"/>
      <scheme val="minor"/>
    </font>
    <font>
      <i/>
      <vertAlign val="superscript"/>
      <sz val="11"/>
      <name val="Calibri"/>
      <family val="2"/>
      <scheme val="minor"/>
    </font>
    <font>
      <b/>
      <i/>
      <sz val="14"/>
      <name val="Calibri"/>
      <family val="2"/>
      <scheme val="minor"/>
    </font>
    <font>
      <b/>
      <i/>
      <sz val="11"/>
      <name val="Calibri"/>
      <family val="2"/>
      <scheme val="minor"/>
    </font>
    <font>
      <b/>
      <i/>
      <vertAlign val="subscript"/>
      <sz val="11"/>
      <name val="Calibri"/>
      <family val="2"/>
      <scheme val="minor"/>
    </font>
    <font>
      <b/>
      <sz val="16"/>
      <color theme="0"/>
      <name val="Calibri"/>
      <family val="2"/>
      <scheme val="minor"/>
    </font>
    <font>
      <b/>
      <sz val="14"/>
      <color theme="0"/>
      <name val="Calibri"/>
      <family val="2"/>
      <scheme val="minor"/>
    </font>
    <font>
      <sz val="11"/>
      <color rgb="FF9C6500"/>
      <name val="Calibri"/>
      <family val="2"/>
      <scheme val="minor"/>
    </font>
    <font>
      <sz val="14"/>
      <color theme="1"/>
      <name val="Calibri"/>
      <family val="2"/>
      <scheme val="minor"/>
    </font>
    <font>
      <b/>
      <sz val="11"/>
      <color theme="0"/>
      <name val="Calibri"/>
      <family val="2"/>
      <scheme val="minor"/>
    </font>
    <font>
      <b/>
      <sz val="11"/>
      <color rgb="FF9C6500"/>
      <name val="Calibri"/>
      <family val="2"/>
      <scheme val="minor"/>
    </font>
    <font>
      <i/>
      <sz val="11"/>
      <color theme="1"/>
      <name val="Calibri"/>
      <family val="2"/>
      <scheme val="minor"/>
    </font>
    <font>
      <b/>
      <sz val="10"/>
      <color theme="1"/>
      <name val="Calibri"/>
      <family val="2"/>
      <scheme val="minor"/>
    </font>
    <font>
      <i/>
      <sz val="11"/>
      <color rgb="FFFF0000"/>
      <name val="Calibri"/>
      <family val="2"/>
      <scheme val="minor"/>
    </font>
    <font>
      <sz val="11"/>
      <color rgb="FF000000"/>
      <name val="Calibri"/>
      <family val="2"/>
    </font>
    <font>
      <sz val="11"/>
      <color theme="1"/>
      <name val="Calibri"/>
      <family val="2"/>
    </font>
    <font>
      <sz val="11"/>
      <color rgb="FFFF0000"/>
      <name val="Calibri"/>
      <family val="2"/>
    </font>
    <font>
      <b/>
      <sz val="11"/>
      <color rgb="FF000000"/>
      <name val="Calibri"/>
      <family val="2"/>
    </font>
    <font>
      <b/>
      <sz val="11"/>
      <color rgb="FFFF0000"/>
      <name val="Calibri"/>
      <family val="2"/>
    </font>
    <font>
      <sz val="10"/>
      <color rgb="FFBCBCBC"/>
      <name val="Lucida Console"/>
      <family val="3"/>
    </font>
    <font>
      <b/>
      <sz val="10"/>
      <color indexed="81"/>
      <name val="Tahoma"/>
      <family val="2"/>
    </font>
    <font>
      <sz val="12"/>
      <name val="Calibri"/>
      <family val="2"/>
      <scheme val="minor"/>
    </font>
    <font>
      <u/>
      <sz val="11"/>
      <color theme="10"/>
      <name val="Calibri"/>
      <family val="2"/>
      <scheme val="minor"/>
    </font>
    <font>
      <b/>
      <sz val="11"/>
      <color rgb="FFC00000"/>
      <name val="Calibri"/>
      <family val="2"/>
    </font>
    <font>
      <b/>
      <u/>
      <sz val="11"/>
      <color theme="4" tint="-0.249977111117893"/>
      <name val="Calibri"/>
      <family val="2"/>
      <scheme val="minor"/>
    </font>
    <font>
      <b/>
      <u/>
      <sz val="11"/>
      <color rgb="FFC00000"/>
      <name val="Calibri"/>
      <family val="2"/>
      <scheme val="minor"/>
    </font>
    <font>
      <sz val="11"/>
      <color rgb="FFC00000"/>
      <name val="Calibri"/>
      <family val="2"/>
      <scheme val="minor"/>
    </font>
    <font>
      <sz val="8"/>
      <name val="Calibri"/>
      <family val="2"/>
      <scheme val="minor"/>
    </font>
    <font>
      <sz val="11"/>
      <color rgb="FF006100"/>
      <name val="Calibri"/>
      <family val="2"/>
      <scheme val="minor"/>
    </font>
    <font>
      <sz val="11"/>
      <color rgb="FF9C0006"/>
      <name val="Calibri"/>
      <family val="2"/>
      <scheme val="minor"/>
    </font>
    <font>
      <b/>
      <sz val="11"/>
      <color rgb="FF9C0006"/>
      <name val="Calibri"/>
      <family val="2"/>
      <scheme val="minor"/>
    </font>
    <font>
      <b/>
      <sz val="11"/>
      <color rgb="FF006100"/>
      <name val="Calibri"/>
      <family val="2"/>
      <scheme val="minor"/>
    </font>
    <font>
      <sz val="12"/>
      <color theme="1"/>
      <name val="Calibri"/>
      <family val="2"/>
      <scheme val="minor"/>
    </font>
    <font>
      <sz val="12"/>
      <color rgb="FF000000"/>
      <name val="Open Sans"/>
      <family val="2"/>
    </font>
    <font>
      <i/>
      <sz val="9"/>
      <color indexed="81"/>
      <name val="Tahoma"/>
      <family val="2"/>
    </font>
    <font>
      <b/>
      <i/>
      <sz val="9"/>
      <color indexed="81"/>
      <name val="Tahoma"/>
      <family val="2"/>
    </font>
    <font>
      <sz val="11"/>
      <color theme="0" tint="-0.34998626667073579"/>
      <name val="Calibri"/>
      <family val="2"/>
    </font>
    <font>
      <sz val="10"/>
      <color theme="1"/>
      <name val="Tahoma"/>
      <family val="2"/>
    </font>
    <font>
      <b/>
      <sz val="10"/>
      <color rgb="FF0066FF"/>
      <name val="Tahoma"/>
      <family val="2"/>
    </font>
    <font>
      <sz val="10"/>
      <color rgb="FF0066FF"/>
      <name val="Tahoma"/>
      <family val="2"/>
    </font>
    <font>
      <sz val="10"/>
      <color theme="9" tint="-0.249977111117893"/>
      <name val="Tahoma"/>
      <family val="2"/>
    </font>
    <font>
      <b/>
      <sz val="10"/>
      <color rgb="FFFF0000"/>
      <name val="Tahoma"/>
      <family val="2"/>
    </font>
    <font>
      <sz val="10"/>
      <color rgb="FFC00000"/>
      <name val="Tahoma"/>
      <family val="2"/>
    </font>
    <font>
      <b/>
      <sz val="10"/>
      <name val="Tahoma"/>
      <family val="2"/>
    </font>
    <font>
      <i/>
      <sz val="10"/>
      <name val="Tahoma"/>
      <family val="2"/>
    </font>
    <font>
      <b/>
      <sz val="11"/>
      <color rgb="FF0000FF"/>
      <name val="Calibri"/>
      <family val="2"/>
      <scheme val="minor"/>
    </font>
    <font>
      <sz val="10"/>
      <name val="Tahoma"/>
      <family val="2"/>
    </font>
    <font>
      <u/>
      <sz val="9"/>
      <color indexed="81"/>
      <name val="Tahoma"/>
      <family val="2"/>
    </font>
    <font>
      <sz val="10"/>
      <color rgb="FFFF0000"/>
      <name val="Tahoma"/>
      <family val="2"/>
    </font>
    <font>
      <b/>
      <sz val="10"/>
      <color rgb="FF006100"/>
      <name val="Tahoma"/>
      <family val="2"/>
    </font>
    <font>
      <b/>
      <sz val="10"/>
      <color theme="0"/>
      <name val="Tahoma"/>
      <family val="2"/>
    </font>
    <font>
      <b/>
      <sz val="10"/>
      <color rgb="FFFFFF00"/>
      <name val="Tahoma"/>
      <family val="2"/>
    </font>
    <font>
      <sz val="10"/>
      <color indexed="10"/>
      <name val="Tahoma"/>
      <family val="2"/>
    </font>
    <font>
      <sz val="10"/>
      <color rgb="FFFF00FF"/>
      <name val="Tahoma"/>
      <family val="2"/>
    </font>
    <font>
      <sz val="10"/>
      <color theme="6" tint="-0.249977111117893"/>
      <name val="Tahoma"/>
      <family val="2"/>
    </font>
    <font>
      <sz val="10"/>
      <color indexed="8"/>
      <name val="Arial"/>
      <family val="2"/>
    </font>
    <font>
      <sz val="10"/>
      <color rgb="FFFF0000"/>
      <name val="Arial"/>
      <family val="2"/>
    </font>
    <font>
      <sz val="10"/>
      <color rgb="FF00B050"/>
      <name val="Tahoma"/>
      <family val="2"/>
    </font>
    <font>
      <sz val="10"/>
      <color indexed="23"/>
      <name val="Tahoma"/>
      <family val="2"/>
    </font>
    <font>
      <b/>
      <sz val="10"/>
      <color indexed="10"/>
      <name val="Tahoma"/>
      <family val="2"/>
    </font>
    <font>
      <sz val="10"/>
      <color theme="5" tint="-0.249977111117893"/>
      <name val="Tahoma"/>
      <family val="2"/>
    </font>
    <font>
      <sz val="10"/>
      <color theme="5"/>
      <name val="Tahoma"/>
      <family val="2"/>
    </font>
    <font>
      <sz val="10"/>
      <color rgb="FF0000FF"/>
      <name val="Tahoma"/>
      <family val="2"/>
    </font>
    <font>
      <strike/>
      <sz val="10"/>
      <color rgb="FFFF0000"/>
      <name val="Tahoma"/>
      <family val="2"/>
    </font>
    <font>
      <sz val="10"/>
      <color theme="0"/>
      <name val="Tahoma"/>
      <family val="2"/>
    </font>
    <font>
      <sz val="10"/>
      <color rgb="FF0033CC"/>
      <name val="Tahoma"/>
      <family val="2"/>
    </font>
    <font>
      <sz val="11"/>
      <color rgb="FF0033CC"/>
      <name val="Calibri"/>
      <family val="2"/>
      <scheme val="minor"/>
    </font>
    <font>
      <i/>
      <sz val="11"/>
      <color rgb="FF0070C0"/>
      <name val="Calibri"/>
      <family val="2"/>
      <scheme val="minor"/>
    </font>
    <font>
      <b/>
      <i/>
      <sz val="11"/>
      <color rgb="FF0070C0"/>
      <name val="Calibri"/>
      <family val="2"/>
      <scheme val="minor"/>
    </font>
    <font>
      <b/>
      <i/>
      <sz val="11"/>
      <color rgb="FFFF0000"/>
      <name val="Calibri"/>
      <family val="2"/>
      <scheme val="minor"/>
    </font>
    <font>
      <sz val="11"/>
      <color theme="1" tint="0.499984740745262"/>
      <name val="Calibri"/>
      <family val="2"/>
      <scheme val="minor"/>
    </font>
    <font>
      <sz val="8"/>
      <color rgb="FF003366"/>
      <name val="Arial"/>
      <family val="2"/>
    </font>
    <font>
      <b/>
      <sz val="11"/>
      <color rgb="FFFA7D00"/>
      <name val="Calibri"/>
      <family val="2"/>
      <scheme val="minor"/>
    </font>
    <font>
      <b/>
      <sz val="10"/>
      <name val="Arial"/>
      <family val="2"/>
    </font>
    <font>
      <b/>
      <u/>
      <sz val="11"/>
      <name val="Calibri"/>
      <family val="2"/>
      <scheme val="minor"/>
    </font>
    <font>
      <sz val="11"/>
      <color theme="4" tint="-0.249977111117893"/>
      <name val="Calibri"/>
      <family val="2"/>
      <scheme val="minor"/>
    </font>
    <font>
      <sz val="11"/>
      <color rgb="FF000000"/>
      <name val="Calibri"/>
      <family val="2"/>
      <scheme val="minor"/>
    </font>
    <font>
      <b/>
      <sz val="11"/>
      <color theme="4" tint="-0.249977111117893"/>
      <name val="Calibri"/>
      <family val="2"/>
      <scheme val="minor"/>
    </font>
    <font>
      <i/>
      <sz val="11"/>
      <color theme="4" tint="-0.249977111117893"/>
      <name val="Calibri"/>
      <family val="2"/>
      <scheme val="minor"/>
    </font>
    <font>
      <b/>
      <i/>
      <sz val="11"/>
      <color theme="4" tint="-0.249977111117893"/>
      <name val="Calibri"/>
      <family val="2"/>
      <scheme val="minor"/>
    </font>
    <font>
      <i/>
      <u/>
      <sz val="11"/>
      <name val="Calibri"/>
      <family val="2"/>
      <scheme val="minor"/>
    </font>
    <font>
      <b/>
      <i/>
      <u/>
      <sz val="11"/>
      <name val="Calibri"/>
      <family val="2"/>
      <scheme val="minor"/>
    </font>
    <font>
      <sz val="11"/>
      <color theme="1"/>
      <name val="Times New Roman"/>
      <family val="1"/>
    </font>
    <font>
      <sz val="11"/>
      <name val="Times New Roman"/>
      <family val="1"/>
    </font>
    <font>
      <b/>
      <sz val="11"/>
      <color rgb="FF000000"/>
      <name val="Times New Roman"/>
      <family val="1"/>
    </font>
    <font>
      <sz val="11"/>
      <color theme="0" tint="-0.499984740745262"/>
      <name val="Calibri"/>
      <family val="2"/>
      <scheme val="minor"/>
    </font>
    <font>
      <b/>
      <i/>
      <sz val="11"/>
      <color theme="1"/>
      <name val="Calibri"/>
      <family val="2"/>
      <scheme val="minor"/>
    </font>
    <font>
      <b/>
      <i/>
      <sz val="11"/>
      <name val="Calibri"/>
      <family val="2"/>
    </font>
    <font>
      <sz val="11"/>
      <color rgb="FF3F3F76"/>
      <name val="Calibri"/>
      <family val="2"/>
      <scheme val="minor"/>
    </font>
    <font>
      <i/>
      <sz val="11"/>
      <color rgb="FFC00000"/>
      <name val="Calibri"/>
      <family val="2"/>
      <scheme val="minor"/>
    </font>
    <font>
      <b/>
      <sz val="11"/>
      <color rgb="FF3F3F76"/>
      <name val="Calibri"/>
      <family val="2"/>
      <scheme val="minor"/>
    </font>
    <font>
      <b/>
      <sz val="10"/>
      <color theme="1"/>
      <name val="Times New Roman"/>
      <family val="1"/>
    </font>
    <font>
      <sz val="10"/>
      <color theme="1"/>
      <name val="Calibri"/>
      <family val="2"/>
      <scheme val="minor"/>
    </font>
    <font>
      <b/>
      <sz val="9"/>
      <color theme="1"/>
      <name val="Times New Roman"/>
      <family val="1"/>
    </font>
    <font>
      <sz val="9"/>
      <color theme="1"/>
      <name val="Calibri"/>
      <family val="2"/>
      <scheme val="minor"/>
    </font>
    <font>
      <sz val="10"/>
      <color theme="1"/>
      <name val="Times New Roman"/>
      <family val="1"/>
    </font>
    <font>
      <sz val="10"/>
      <color rgb="FF0070C0"/>
      <name val="Times New Roman"/>
      <family val="1"/>
    </font>
    <font>
      <sz val="10"/>
      <color rgb="FFFF0000"/>
      <name val="Times New Roman"/>
      <family val="1"/>
    </font>
    <font>
      <sz val="10"/>
      <color theme="1" tint="0.499984740745262"/>
      <name val="Tahoma"/>
      <family val="2"/>
    </font>
    <font>
      <b/>
      <i/>
      <u/>
      <sz val="11"/>
      <color rgb="FF0070C0"/>
      <name val="Calibri"/>
      <family val="2"/>
      <scheme val="minor"/>
    </font>
    <font>
      <b/>
      <sz val="11"/>
      <color rgb="FF000000"/>
      <name val="Calibri"/>
      <family val="2"/>
      <scheme val="minor"/>
    </font>
    <font>
      <b/>
      <sz val="10"/>
      <color rgb="FFFF0000"/>
      <name val="Times New Roman"/>
      <family val="1"/>
    </font>
    <font>
      <b/>
      <sz val="10"/>
      <color rgb="FF0070C0"/>
      <name val="Times New Roman"/>
      <family val="1"/>
    </font>
    <font>
      <b/>
      <sz val="11"/>
      <color rgb="FF00B050"/>
      <name val="Calibri"/>
      <family val="2"/>
      <scheme val="minor"/>
    </font>
    <font>
      <sz val="10"/>
      <name val="Times New Roman"/>
      <family val="1"/>
    </font>
    <font>
      <sz val="8"/>
      <color theme="1"/>
      <name val="Calibri"/>
      <family val="2"/>
      <scheme val="minor"/>
    </font>
    <font>
      <sz val="8"/>
      <color rgb="FFFF0000"/>
      <name val="Calibri"/>
      <family val="2"/>
      <scheme val="minor"/>
    </font>
    <font>
      <b/>
      <sz val="14"/>
      <color rgb="FFC00000"/>
      <name val="Calibri"/>
      <family val="2"/>
      <scheme val="minor"/>
    </font>
    <font>
      <b/>
      <i/>
      <sz val="11"/>
      <color theme="5" tint="-0.249977111117893"/>
      <name val="Calibri"/>
      <family val="2"/>
      <scheme val="minor"/>
    </font>
    <font>
      <sz val="14"/>
      <color rgb="FF0070C0"/>
      <name val="Calibri"/>
      <family val="2"/>
      <scheme val="minor"/>
    </font>
    <font>
      <sz val="12"/>
      <color theme="5" tint="-0.249977111117893"/>
      <name val="Calibri"/>
      <family val="2"/>
      <scheme val="minor"/>
    </font>
    <font>
      <b/>
      <sz val="11"/>
      <name val="Calibri"/>
      <family val="2"/>
    </font>
    <font>
      <b/>
      <i/>
      <sz val="11"/>
      <color rgb="FFC00000"/>
      <name val="Calibri"/>
      <family val="2"/>
      <scheme val="minor"/>
    </font>
    <font>
      <b/>
      <sz val="10"/>
      <color rgb="FF0000FF"/>
      <name val="Tahoma"/>
      <family val="2"/>
    </font>
    <font>
      <sz val="9"/>
      <color rgb="FF000000"/>
      <name val="Arial"/>
      <family val="2"/>
    </font>
    <font>
      <sz val="10"/>
      <name val="Arial"/>
      <family val="2"/>
    </font>
    <font>
      <b/>
      <sz val="10"/>
      <name val="Times New Roman"/>
      <family val="1"/>
    </font>
    <font>
      <sz val="10"/>
      <color rgb="FFC00000"/>
      <name val="Times New Roman"/>
      <family val="1"/>
    </font>
    <font>
      <i/>
      <sz val="11"/>
      <color theme="5" tint="-0.249977111117893"/>
      <name val="Calibri"/>
      <family val="2"/>
      <scheme val="minor"/>
    </font>
    <font>
      <i/>
      <sz val="11"/>
      <color rgb="FF006100"/>
      <name val="Calibri"/>
      <family val="2"/>
      <scheme val="minor"/>
    </font>
    <font>
      <b/>
      <sz val="11"/>
      <color theme="5"/>
      <name val="Calibri"/>
      <family val="2"/>
      <scheme val="minor"/>
    </font>
    <font>
      <b/>
      <i/>
      <sz val="11"/>
      <color rgb="FF006100"/>
      <name val="Calibri"/>
      <family val="2"/>
      <scheme val="minor"/>
    </font>
    <font>
      <b/>
      <sz val="10"/>
      <color theme="9" tint="-0.249977111117893"/>
      <name val="Times New Roman"/>
      <family val="1"/>
    </font>
    <font>
      <sz val="10"/>
      <color theme="9" tint="-0.249977111117893"/>
      <name val="Times New Roman"/>
      <family val="1"/>
    </font>
    <font>
      <sz val="10"/>
      <color theme="9" tint="-0.249977111117893"/>
      <name val="Arial"/>
      <family val="2"/>
    </font>
    <font>
      <b/>
      <sz val="10"/>
      <color theme="9" tint="-0.249977111117893"/>
      <name val="Arial"/>
      <family val="2"/>
    </font>
    <font>
      <b/>
      <sz val="10"/>
      <color rgb="FF000000"/>
      <name val="Open Sans"/>
      <family val="2"/>
    </font>
    <font>
      <sz val="10"/>
      <color rgb="FF000000"/>
      <name val="Open Sans"/>
      <family val="2"/>
    </font>
    <font>
      <sz val="11"/>
      <color rgb="FF000000"/>
      <name val="Arial"/>
      <family val="2"/>
    </font>
    <font>
      <b/>
      <sz val="11"/>
      <color theme="9" tint="-0.249977111117893"/>
      <name val="Calibri"/>
      <family val="2"/>
      <scheme val="minor"/>
    </font>
    <font>
      <sz val="11"/>
      <color rgb="FF00B050"/>
      <name val="Calibri"/>
      <family val="2"/>
      <scheme val="minor"/>
    </font>
    <font>
      <sz val="11"/>
      <color theme="8" tint="-0.249977111117893"/>
      <name val="Calibri"/>
      <family val="2"/>
      <scheme val="minor"/>
    </font>
    <font>
      <sz val="11"/>
      <color rgb="FF0000FF"/>
      <name val="Calibri"/>
      <family val="2"/>
      <scheme val="minor"/>
    </font>
    <font>
      <sz val="11"/>
      <color rgb="FFFF0000"/>
      <name val="Times New Roman"/>
      <family val="1"/>
    </font>
    <font>
      <b/>
      <sz val="7"/>
      <color rgb="FF000000"/>
      <name val="Segoe UI"/>
      <family val="2"/>
    </font>
    <font>
      <sz val="7"/>
      <color theme="1"/>
      <name val="Segoe UI"/>
      <family val="2"/>
    </font>
    <font>
      <sz val="7"/>
      <color rgb="FF333333"/>
      <name val="Segoe UI"/>
      <family val="2"/>
    </font>
    <font>
      <sz val="11"/>
      <color rgb="FF000000"/>
      <name val="Aptos Narrow"/>
      <family val="2"/>
    </font>
    <font>
      <sz val="9"/>
      <color indexed="81"/>
      <name val="Tahoma"/>
      <charset val="1"/>
    </font>
    <font>
      <b/>
      <sz val="9"/>
      <color indexed="81"/>
      <name val="Tahoma"/>
      <charset val="1"/>
    </font>
  </fonts>
  <fills count="68">
    <fill>
      <patternFill patternType="none"/>
    </fill>
    <fill>
      <patternFill patternType="gray125"/>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9" tint="0.59999389629810485"/>
        <bgColor indexed="65"/>
      </patternFill>
    </fill>
    <fill>
      <patternFill patternType="solid">
        <fgColor theme="5" tint="0.39997558519241921"/>
        <bgColor indexed="65"/>
      </patternFill>
    </fill>
    <fill>
      <patternFill patternType="solid">
        <fgColor theme="9" tint="0.79998168889431442"/>
        <bgColor indexed="65"/>
      </patternFill>
    </fill>
    <fill>
      <patternFill patternType="solid">
        <fgColor rgb="FFFFFF00"/>
        <bgColor indexed="64"/>
      </patternFill>
    </fill>
    <fill>
      <patternFill patternType="solid">
        <fgColor theme="7" tint="0.79998168889431442"/>
        <bgColor indexed="65"/>
      </patternFill>
    </fill>
    <fill>
      <patternFill patternType="solid">
        <fgColor theme="5" tint="0.79998168889431442"/>
        <bgColor indexed="64"/>
      </patternFill>
    </fill>
    <fill>
      <patternFill patternType="solid">
        <fgColor theme="8"/>
      </patternFill>
    </fill>
    <fill>
      <patternFill patternType="solid">
        <fgColor theme="0" tint="-4.9989318521683403E-2"/>
        <bgColor indexed="64"/>
      </patternFill>
    </fill>
    <fill>
      <patternFill patternType="solid">
        <fgColor theme="2"/>
        <bgColor indexed="64"/>
      </patternFill>
    </fill>
    <fill>
      <patternFill patternType="solid">
        <fgColor theme="9" tint="0.79998168889431442"/>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theme="7" tint="0.59999389629810485"/>
        <bgColor indexed="64"/>
      </patternFill>
    </fill>
    <fill>
      <patternFill patternType="solid">
        <fgColor rgb="FFFF9999"/>
        <bgColor indexed="64"/>
      </patternFill>
    </fill>
    <fill>
      <patternFill patternType="solid">
        <fgColor theme="0"/>
        <bgColor indexed="64"/>
      </patternFill>
    </fill>
    <fill>
      <patternFill patternType="solid">
        <fgColor theme="0" tint="-0.14999847407452621"/>
        <bgColor indexed="64"/>
      </patternFill>
    </fill>
    <fill>
      <patternFill patternType="solid">
        <fgColor theme="1"/>
        <bgColor indexed="64"/>
      </patternFill>
    </fill>
    <fill>
      <patternFill patternType="solid">
        <fgColor rgb="FFFFEB9C"/>
      </patternFill>
    </fill>
    <fill>
      <patternFill patternType="solid">
        <fgColor theme="8" tint="0.79998168889431442"/>
        <bgColor indexed="65"/>
      </patternFill>
    </fill>
    <fill>
      <patternFill patternType="solid">
        <fgColor theme="8" tint="0.59999389629810485"/>
        <bgColor indexed="65"/>
      </patternFill>
    </fill>
    <fill>
      <patternFill patternType="solid">
        <fgColor rgb="FFEDEDED"/>
        <bgColor rgb="FFFFFFFF"/>
      </patternFill>
    </fill>
    <fill>
      <patternFill patternType="solid">
        <fgColor rgb="FFDDEBF7"/>
        <bgColor rgb="FFFFFFFF"/>
      </patternFill>
    </fill>
    <fill>
      <patternFill patternType="solid">
        <fgColor rgb="FFFCE4D6"/>
        <bgColor rgb="FFFFFFFF"/>
      </patternFill>
    </fill>
    <fill>
      <patternFill patternType="solid">
        <fgColor rgb="FFF8CBAD"/>
        <bgColor rgb="FFFFFFFF"/>
      </patternFill>
    </fill>
    <fill>
      <patternFill patternType="solid">
        <fgColor rgb="FFFCE4D6"/>
        <bgColor rgb="FF000000"/>
      </patternFill>
    </fill>
    <fill>
      <patternFill patternType="solid">
        <fgColor rgb="FFFFF2CC"/>
        <bgColor rgb="FFFFFFFF"/>
      </patternFill>
    </fill>
    <fill>
      <patternFill patternType="solid">
        <fgColor rgb="FFE2EFDA"/>
        <bgColor rgb="FFFFFFFF"/>
      </patternFill>
    </fill>
    <fill>
      <patternFill patternType="solid">
        <fgColor rgb="FF161616"/>
        <bgColor indexed="64"/>
      </patternFill>
    </fill>
    <fill>
      <patternFill patternType="solid">
        <fgColor rgb="FFC6EFCE"/>
      </patternFill>
    </fill>
    <fill>
      <patternFill patternType="solid">
        <fgColor rgb="FFFFC7CE"/>
      </patternFill>
    </fill>
    <fill>
      <patternFill patternType="solid">
        <fgColor rgb="FFFFFFFF"/>
        <bgColor indexed="64"/>
      </patternFill>
    </fill>
    <fill>
      <patternFill patternType="solid">
        <fgColor theme="9"/>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theme="4" tint="0.59999389629810485"/>
        <bgColor indexed="64"/>
      </patternFill>
    </fill>
    <fill>
      <patternFill patternType="solid">
        <fgColor indexed="45"/>
        <bgColor indexed="64"/>
      </patternFill>
    </fill>
    <fill>
      <patternFill patternType="solid">
        <fgColor theme="9"/>
        <bgColor indexed="64"/>
      </patternFill>
    </fill>
    <fill>
      <patternFill patternType="solid">
        <fgColor rgb="FFFFFF99"/>
        <bgColor indexed="64"/>
      </patternFill>
    </fill>
    <fill>
      <patternFill patternType="solid">
        <fgColor rgb="FFF2F2F2"/>
      </patternFill>
    </fill>
    <fill>
      <patternFill patternType="solid">
        <fgColor theme="2" tint="-9.9978637043366805E-2"/>
        <bgColor indexed="64"/>
      </patternFill>
    </fill>
    <fill>
      <patternFill patternType="solid">
        <fgColor rgb="FFFF0000"/>
        <bgColor indexed="64"/>
      </patternFill>
    </fill>
    <fill>
      <patternFill patternType="solid">
        <fgColor rgb="FFFFCC99"/>
      </patternFill>
    </fill>
    <fill>
      <patternFill patternType="solid">
        <fgColor theme="8" tint="0.79998168889431442"/>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rgb="FFE6E6E6"/>
        <bgColor indexed="64"/>
      </patternFill>
    </fill>
    <fill>
      <patternFill patternType="solid">
        <fgColor rgb="FFF0F8FF"/>
        <bgColor indexed="64"/>
      </patternFill>
    </fill>
    <fill>
      <patternFill patternType="solid">
        <fgColor rgb="FFF9F9F9"/>
        <bgColor indexed="64"/>
      </patternFill>
    </fill>
    <fill>
      <patternFill patternType="solid">
        <fgColor rgb="FF92D050"/>
        <bgColor indexed="64"/>
      </patternFill>
    </fill>
    <fill>
      <patternFill patternType="solid">
        <fgColor rgb="FFD9E2F3"/>
        <bgColor indexed="64"/>
      </patternFill>
    </fill>
    <fill>
      <patternFill patternType="solid">
        <fgColor rgb="FFFFC000"/>
        <bgColor indexed="64"/>
      </patternFill>
    </fill>
    <fill>
      <patternFill patternType="solid">
        <fgColor theme="8" tint="0.59999389629810485"/>
        <bgColor indexed="64"/>
      </patternFill>
    </fill>
    <fill>
      <patternFill patternType="solid">
        <fgColor theme="7" tint="0.79998168889431442"/>
        <bgColor indexed="64"/>
      </patternFill>
    </fill>
    <fill>
      <patternFill patternType="solid">
        <fgColor rgb="FFFFFF00"/>
        <bgColor theme="5" tint="0.79998168889431442"/>
      </patternFill>
    </fill>
    <fill>
      <patternFill patternType="solid">
        <fgColor indexed="65"/>
        <bgColor theme="5" tint="0.79998168889431442"/>
      </patternFill>
    </fill>
    <fill>
      <patternFill patternType="solid">
        <fgColor rgb="FFF4F8F9"/>
        <bgColor indexed="64"/>
      </patternFill>
    </fill>
    <fill>
      <patternFill patternType="solid">
        <fgColor theme="0" tint="-0.499984740745262"/>
        <bgColor indexed="64"/>
      </patternFill>
    </fill>
  </fills>
  <borders count="110">
    <border>
      <left/>
      <right/>
      <top/>
      <bottom/>
      <diagonal/>
    </border>
    <border>
      <left style="thin">
        <color rgb="FFB2B2B2"/>
      </left>
      <right style="thin">
        <color rgb="FFB2B2B2"/>
      </right>
      <top style="thin">
        <color rgb="FFB2B2B2"/>
      </top>
      <bottom style="thin">
        <color rgb="FFB2B2B2"/>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right style="medium">
        <color indexed="64"/>
      </right>
      <top style="medium">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style="thin">
        <color indexed="64"/>
      </right>
      <top/>
      <bottom style="thin">
        <color indexed="64"/>
      </bottom>
      <diagonal/>
    </border>
    <border>
      <left style="medium">
        <color indexed="64"/>
      </left>
      <right style="medium">
        <color indexed="64"/>
      </right>
      <top/>
      <bottom/>
      <diagonal/>
    </border>
    <border>
      <left style="medium">
        <color indexed="64"/>
      </left>
      <right/>
      <top style="thin">
        <color indexed="64"/>
      </top>
      <bottom style="medium">
        <color indexed="64"/>
      </bottom>
      <diagonal/>
    </border>
    <border>
      <left style="medium">
        <color indexed="64"/>
      </left>
      <right/>
      <top style="thin">
        <color indexed="64"/>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bottom style="medium">
        <color indexed="64"/>
      </bottom>
      <diagonal/>
    </border>
    <border>
      <left style="medium">
        <color indexed="64"/>
      </left>
      <right style="thin">
        <color indexed="64"/>
      </right>
      <top/>
      <bottom style="medium">
        <color indexed="64"/>
      </bottom>
      <diagonal/>
    </border>
    <border>
      <left style="thin">
        <color indexed="64"/>
      </left>
      <right/>
      <top style="medium">
        <color indexed="64"/>
      </top>
      <bottom/>
      <diagonal/>
    </border>
    <border>
      <left style="thin">
        <color indexed="64"/>
      </left>
      <right/>
      <top/>
      <bottom style="medium">
        <color indexed="64"/>
      </bottom>
      <diagonal/>
    </border>
    <border>
      <left/>
      <right style="thin">
        <color indexed="64"/>
      </right>
      <top style="medium">
        <color indexed="64"/>
      </top>
      <bottom/>
      <diagonal/>
    </border>
    <border>
      <left/>
      <right style="thin">
        <color indexed="64"/>
      </right>
      <top style="medium">
        <color indexed="64"/>
      </top>
      <bottom style="medium">
        <color indexed="64"/>
      </bottom>
      <diagonal/>
    </border>
    <border>
      <left/>
      <right style="thin">
        <color indexed="64"/>
      </right>
      <top/>
      <bottom style="medium">
        <color indexed="64"/>
      </bottom>
      <diagonal/>
    </border>
    <border>
      <left style="medium">
        <color indexed="64"/>
      </left>
      <right style="thin">
        <color indexed="64"/>
      </right>
      <top/>
      <bottom/>
      <diagonal/>
    </border>
    <border>
      <left style="thin">
        <color indexed="64"/>
      </left>
      <right style="thin">
        <color indexed="64"/>
      </right>
      <top/>
      <bottom/>
      <diagonal/>
    </border>
    <border>
      <left style="thin">
        <color indexed="64"/>
      </left>
      <right style="medium">
        <color indexed="64"/>
      </right>
      <top/>
      <bottom/>
      <diagonal/>
    </border>
    <border>
      <left/>
      <right/>
      <top style="thin">
        <color indexed="64"/>
      </top>
      <bottom style="medium">
        <color indexed="64"/>
      </bottom>
      <diagonal/>
    </border>
    <border>
      <left/>
      <right/>
      <top/>
      <bottom style="thin">
        <color indexed="64"/>
      </bottom>
      <diagonal/>
    </border>
    <border>
      <left/>
      <right/>
      <top style="thin">
        <color indexed="64"/>
      </top>
      <bottom style="thin">
        <color indexed="64"/>
      </bottom>
      <diagonal/>
    </border>
    <border>
      <left style="medium">
        <color indexed="64"/>
      </left>
      <right style="thin">
        <color indexed="64"/>
      </right>
      <top style="thin">
        <color indexed="64"/>
      </top>
      <bottom/>
      <diagonal/>
    </border>
    <border>
      <left/>
      <right/>
      <top style="medium">
        <color indexed="64"/>
      </top>
      <bottom/>
      <diagonal/>
    </border>
    <border>
      <left style="medium">
        <color indexed="64"/>
      </left>
      <right/>
      <top style="medium">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diagonal/>
    </border>
    <border>
      <left style="thin">
        <color rgb="FFB2B2B2"/>
      </left>
      <right style="medium">
        <color indexed="64"/>
      </right>
      <top style="medium">
        <color indexed="64"/>
      </top>
      <bottom/>
      <diagonal/>
    </border>
    <border>
      <left/>
      <right style="thin">
        <color rgb="FFB2B2B2"/>
      </right>
      <top style="medium">
        <color indexed="64"/>
      </top>
      <bottom/>
      <diagonal/>
    </border>
    <border>
      <left style="thin">
        <color indexed="64"/>
      </left>
      <right/>
      <top style="medium">
        <color indexed="64"/>
      </top>
      <bottom style="medium">
        <color indexed="64"/>
      </bottom>
      <diagonal/>
    </border>
    <border>
      <left style="medium">
        <color indexed="64"/>
      </left>
      <right style="thin">
        <color rgb="FFB2B2B2"/>
      </right>
      <top style="medium">
        <color indexed="64"/>
      </top>
      <bottom style="medium">
        <color indexed="64"/>
      </bottom>
      <diagonal/>
    </border>
    <border>
      <left style="thin">
        <color rgb="FFB2B2B2"/>
      </left>
      <right style="thin">
        <color rgb="FFB2B2B2"/>
      </right>
      <top style="medium">
        <color indexed="64"/>
      </top>
      <bottom style="medium">
        <color indexed="64"/>
      </bottom>
      <diagonal/>
    </border>
    <border>
      <left style="thin">
        <color rgb="FFB2B2B2"/>
      </left>
      <right style="medium">
        <color indexed="64"/>
      </right>
      <top style="medium">
        <color indexed="64"/>
      </top>
      <bottom style="medium">
        <color indexed="64"/>
      </bottom>
      <diagonal/>
    </border>
    <border>
      <left/>
      <right style="thin">
        <color indexed="64"/>
      </right>
      <top style="thin">
        <color indexed="64"/>
      </top>
      <bottom/>
      <diagonal/>
    </border>
    <border>
      <left style="medium">
        <color indexed="64"/>
      </left>
      <right style="thin">
        <color theme="0" tint="-0.14999847407452621"/>
      </right>
      <top style="medium">
        <color indexed="64"/>
      </top>
      <bottom/>
      <diagonal/>
    </border>
    <border>
      <left style="thin">
        <color theme="0" tint="-0.14999847407452621"/>
      </left>
      <right style="thin">
        <color theme="0" tint="-0.14999847407452621"/>
      </right>
      <top style="medium">
        <color indexed="64"/>
      </top>
      <bottom style="thin">
        <color theme="0" tint="-0.14999847407452621"/>
      </bottom>
      <diagonal/>
    </border>
    <border>
      <left style="medium">
        <color indexed="64"/>
      </left>
      <right style="thin">
        <color theme="0" tint="-0.14999847407452621"/>
      </right>
      <top/>
      <bottom style="medium">
        <color indexed="64"/>
      </bottom>
      <diagonal/>
    </border>
    <border>
      <left style="thin">
        <color theme="0" tint="-0.14999847407452621"/>
      </left>
      <right style="thin">
        <color theme="0" tint="-0.14999847407452621"/>
      </right>
      <top style="thin">
        <color theme="0" tint="-0.14999847407452621"/>
      </top>
      <bottom style="medium">
        <color indexed="64"/>
      </bottom>
      <diagonal/>
    </border>
    <border>
      <left style="thin">
        <color rgb="FFB2B2B2"/>
      </left>
      <right/>
      <top style="thin">
        <color rgb="FFB2B2B2"/>
      </top>
      <bottom style="thin">
        <color rgb="FFB2B2B2"/>
      </bottom>
      <diagonal/>
    </border>
    <border>
      <left/>
      <right/>
      <top style="thin">
        <color rgb="FFB2B2B2"/>
      </top>
      <bottom style="thin">
        <color rgb="FFB2B2B2"/>
      </bottom>
      <diagonal/>
    </border>
    <border>
      <left/>
      <right style="thin">
        <color rgb="FFB2B2B2"/>
      </right>
      <top style="thin">
        <color rgb="FFB2B2B2"/>
      </top>
      <bottom style="thin">
        <color rgb="FFB2B2B2"/>
      </bottom>
      <diagonal/>
    </border>
    <border>
      <left/>
      <right/>
      <top style="thin">
        <color indexed="64"/>
      </top>
      <bottom/>
      <diagonal/>
    </border>
    <border>
      <left style="medium">
        <color indexed="64"/>
      </left>
      <right/>
      <top/>
      <bottom style="thin">
        <color indexed="64"/>
      </bottom>
      <diagonal/>
    </border>
    <border>
      <left style="thin">
        <color indexed="64"/>
      </left>
      <right/>
      <top style="thin">
        <color indexed="64"/>
      </top>
      <bottom/>
      <diagonal/>
    </border>
    <border>
      <left style="medium">
        <color rgb="FF9E9E9E"/>
      </left>
      <right/>
      <top style="medium">
        <color rgb="FF9E9E9E"/>
      </top>
      <bottom/>
      <diagonal/>
    </border>
    <border>
      <left/>
      <right/>
      <top style="medium">
        <color rgb="FF9E9E9E"/>
      </top>
      <bottom/>
      <diagonal/>
    </border>
    <border>
      <left/>
      <right style="medium">
        <color rgb="FF9E9E9E"/>
      </right>
      <top style="medium">
        <color rgb="FF9E9E9E"/>
      </top>
      <bottom/>
      <diagonal/>
    </border>
    <border>
      <left style="medium">
        <color rgb="FF9E9E9E"/>
      </left>
      <right/>
      <top/>
      <bottom/>
      <diagonal/>
    </border>
    <border>
      <left/>
      <right style="medium">
        <color rgb="FF9E9E9E"/>
      </right>
      <top/>
      <bottom/>
      <diagonal/>
    </border>
    <border>
      <left style="medium">
        <color rgb="FF9E9E9E"/>
      </left>
      <right/>
      <top/>
      <bottom style="medium">
        <color rgb="FF9E9E9E"/>
      </bottom>
      <diagonal/>
    </border>
    <border>
      <left/>
      <right/>
      <top/>
      <bottom style="medium">
        <color rgb="FF9E9E9E"/>
      </bottom>
      <diagonal/>
    </border>
    <border>
      <left/>
      <right style="medium">
        <color rgb="FF9E9E9E"/>
      </right>
      <top/>
      <bottom style="medium">
        <color rgb="FF9E9E9E"/>
      </bottom>
      <diagonal/>
    </border>
    <border>
      <left style="medium">
        <color indexed="64"/>
      </left>
      <right style="medium">
        <color indexed="64"/>
      </right>
      <top style="thin">
        <color indexed="64"/>
      </top>
      <bottom/>
      <diagonal/>
    </border>
    <border>
      <left/>
      <right style="medium">
        <color indexed="64"/>
      </right>
      <top/>
      <bottom/>
      <diagonal/>
    </border>
    <border>
      <left/>
      <right/>
      <top/>
      <bottom style="medium">
        <color indexed="64"/>
      </bottom>
      <diagonal/>
    </border>
    <border>
      <left/>
      <right style="medium">
        <color indexed="64"/>
      </right>
      <top/>
      <bottom style="medium">
        <color indexed="64"/>
      </bottom>
      <diagonal/>
    </border>
    <border>
      <left style="thin">
        <color indexed="64"/>
      </left>
      <right/>
      <top/>
      <bottom/>
      <diagonal/>
    </border>
    <border>
      <left style="thin">
        <color rgb="FF7F7F7F"/>
      </left>
      <right style="thin">
        <color rgb="FF7F7F7F"/>
      </right>
      <top style="thin">
        <color rgb="FF7F7F7F"/>
      </top>
      <bottom style="thin">
        <color rgb="FF7F7F7F"/>
      </bottom>
      <diagonal/>
    </border>
    <border>
      <left/>
      <right style="thin">
        <color indexed="64"/>
      </right>
      <top/>
      <bottom/>
      <diagonal/>
    </border>
    <border>
      <left/>
      <right/>
      <top style="medium">
        <color indexed="64"/>
      </top>
      <bottom style="thin">
        <color indexed="64"/>
      </bottom>
      <diagonal/>
    </border>
    <border>
      <left/>
      <right style="thin">
        <color rgb="FF7F7F7F"/>
      </right>
      <top style="thin">
        <color rgb="FF7F7F7F"/>
      </top>
      <bottom style="thin">
        <color rgb="FF7F7F7F"/>
      </bottom>
      <diagonal/>
    </border>
    <border>
      <left style="thin">
        <color rgb="FF7F7F7F"/>
      </left>
      <right/>
      <top style="thin">
        <color rgb="FF7F7F7F"/>
      </top>
      <bottom style="thin">
        <color rgb="FF7F7F7F"/>
      </bottom>
      <diagonal/>
    </border>
    <border>
      <left style="thin">
        <color rgb="FF7F7F7F"/>
      </left>
      <right style="thin">
        <color rgb="FF7F7F7F"/>
      </right>
      <top style="medium">
        <color indexed="64"/>
      </top>
      <bottom style="medium">
        <color indexed="64"/>
      </bottom>
      <diagonal/>
    </border>
    <border>
      <left style="thin">
        <color rgb="FF7F7F7F"/>
      </left>
      <right style="thin">
        <color rgb="FF7F7F7F"/>
      </right>
      <top/>
      <bottom style="thin">
        <color rgb="FF7F7F7F"/>
      </bottom>
      <diagonal/>
    </border>
    <border>
      <left style="thin">
        <color rgb="FF7F7F7F"/>
      </left>
      <right style="thin">
        <color rgb="FF7F7F7F"/>
      </right>
      <top style="thin">
        <color rgb="FF7F7F7F"/>
      </top>
      <bottom style="medium">
        <color indexed="64"/>
      </bottom>
      <diagonal/>
    </border>
    <border>
      <left/>
      <right style="medium">
        <color indexed="64"/>
      </right>
      <top style="thin">
        <color indexed="64"/>
      </top>
      <bottom style="thin">
        <color indexed="64"/>
      </bottom>
      <diagonal/>
    </border>
    <border>
      <left/>
      <right style="medium">
        <color rgb="FF000000"/>
      </right>
      <top/>
      <bottom style="medium">
        <color rgb="FF000000"/>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right style="medium">
        <color rgb="FFD6DADC"/>
      </right>
      <top/>
      <bottom style="medium">
        <color rgb="FFD6DADC"/>
      </bottom>
      <diagonal/>
    </border>
    <border>
      <left/>
      <right/>
      <top style="medium">
        <color rgb="FFD6DADC"/>
      </top>
      <bottom/>
      <diagonal/>
    </border>
    <border>
      <left style="thin">
        <color rgb="FF000000"/>
      </left>
      <right style="thin">
        <color rgb="FF000000"/>
      </right>
      <top style="thin">
        <color rgb="FF000000"/>
      </top>
      <bottom style="thin">
        <color rgb="FF000000"/>
      </bottom>
      <diagonal/>
    </border>
  </borders>
  <cellStyleXfs count="33">
    <xf numFmtId="0" fontId="0" fillId="0" borderId="0"/>
    <xf numFmtId="165" fontId="3" fillId="0" borderId="0" applyFont="0" applyFill="0" applyBorder="0" applyAlignment="0" applyProtection="0"/>
    <xf numFmtId="0" fontId="4" fillId="0" borderId="0" applyNumberFormat="0" applyFill="0" applyBorder="0" applyAlignment="0" applyProtection="0"/>
    <xf numFmtId="0" fontId="3" fillId="2" borderId="1" applyNumberFormat="0" applyFont="0" applyAlignment="0" applyProtection="0"/>
    <xf numFmtId="0" fontId="3" fillId="3"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164" fontId="3" fillId="0" borderId="0" applyFont="0" applyFill="0" applyBorder="0" applyAlignment="0" applyProtection="0"/>
    <xf numFmtId="9" fontId="3" fillId="0" borderId="0" applyFont="0" applyFill="0" applyBorder="0" applyAlignment="0" applyProtection="0"/>
    <xf numFmtId="0" fontId="13" fillId="11" borderId="0" applyNumberFormat="0" applyBorder="0" applyAlignment="0" applyProtection="0"/>
    <xf numFmtId="0" fontId="3" fillId="12" borderId="0" applyNumberFormat="0" applyBorder="0" applyAlignment="0" applyProtection="0"/>
    <xf numFmtId="0" fontId="3" fillId="14" borderId="0" applyNumberFormat="0" applyBorder="0" applyAlignment="0" applyProtection="0"/>
    <xf numFmtId="0" fontId="13" fillId="16" borderId="0" applyNumberFormat="0" applyBorder="0" applyAlignment="0" applyProtection="0"/>
    <xf numFmtId="0" fontId="38" fillId="27"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53" fillId="0" borderId="0" applyNumberFormat="0" applyFill="0" applyBorder="0" applyAlignment="0" applyProtection="0"/>
    <xf numFmtId="0" fontId="59" fillId="38" borderId="0" applyNumberFormat="0" applyBorder="0" applyAlignment="0" applyProtection="0"/>
    <xf numFmtId="0" fontId="60" fillId="39" borderId="0" applyNumberFormat="0" applyBorder="0" applyAlignment="0" applyProtection="0"/>
    <xf numFmtId="0" fontId="13" fillId="41" borderId="0" applyNumberFormat="0" applyBorder="0" applyAlignment="0" applyProtection="0"/>
    <xf numFmtId="0" fontId="3" fillId="42" borderId="0" applyNumberFormat="0" applyBorder="0" applyAlignment="0" applyProtection="0"/>
    <xf numFmtId="0" fontId="3" fillId="0" borderId="0"/>
    <xf numFmtId="9" fontId="77" fillId="0" borderId="0" applyFont="0" applyFill="0" applyBorder="0" applyAlignment="0" applyProtection="0"/>
    <xf numFmtId="0" fontId="77" fillId="0" borderId="0"/>
    <xf numFmtId="43" fontId="77" fillId="0" borderId="0" applyFont="0" applyFill="0" applyBorder="0" applyAlignment="0" applyProtection="0"/>
    <xf numFmtId="0" fontId="103" fillId="48" borderId="95" applyNumberFormat="0" applyAlignment="0" applyProtection="0"/>
    <xf numFmtId="43" fontId="3" fillId="0" borderId="0" applyFont="0" applyFill="0" applyBorder="0" applyAlignment="0" applyProtection="0"/>
    <xf numFmtId="0" fontId="119" fillId="51" borderId="95" applyNumberFormat="0" applyAlignment="0" applyProtection="0"/>
  </cellStyleXfs>
  <cellXfs count="2677">
    <xf numFmtId="0" fontId="0" fillId="0" borderId="0" xfId="0"/>
    <xf numFmtId="0" fontId="0" fillId="0" borderId="0" xfId="0" applyAlignment="1">
      <alignment horizontal="center" wrapText="1"/>
    </xf>
    <xf numFmtId="0" fontId="0" fillId="0" borderId="0" xfId="0" applyAlignment="1">
      <alignment vertical="center"/>
    </xf>
    <xf numFmtId="0" fontId="3" fillId="3" borderId="9" xfId="4" applyBorder="1" applyAlignment="1">
      <alignment horizontal="center" wrapText="1"/>
    </xf>
    <xf numFmtId="0" fontId="3" fillId="3" borderId="10" xfId="4" applyBorder="1" applyAlignment="1">
      <alignment horizontal="center" wrapText="1"/>
    </xf>
    <xf numFmtId="0" fontId="3" fillId="5" borderId="9" xfId="6" applyBorder="1" applyAlignment="1">
      <alignment horizontal="center" wrapText="1"/>
    </xf>
    <xf numFmtId="0" fontId="3" fillId="6" borderId="9" xfId="7" applyBorder="1" applyAlignment="1">
      <alignment horizontal="center" wrapText="1"/>
    </xf>
    <xf numFmtId="0" fontId="3" fillId="9" borderId="9" xfId="10" applyBorder="1" applyAlignment="1">
      <alignment horizontal="center" wrapText="1"/>
    </xf>
    <xf numFmtId="0" fontId="3" fillId="9" borderId="18" xfId="10" applyBorder="1" applyAlignment="1">
      <alignment horizontal="center" wrapText="1"/>
    </xf>
    <xf numFmtId="0" fontId="3" fillId="9" borderId="10" xfId="10" applyBorder="1" applyAlignment="1">
      <alignment horizontal="center" wrapText="1"/>
    </xf>
    <xf numFmtId="0" fontId="3" fillId="9" borderId="16" xfId="10" applyBorder="1"/>
    <xf numFmtId="0" fontId="3" fillId="9" borderId="7" xfId="10" applyBorder="1"/>
    <xf numFmtId="0" fontId="3" fillId="9" borderId="10" xfId="10" applyBorder="1"/>
    <xf numFmtId="0" fontId="3" fillId="10" borderId="23" xfId="11" applyBorder="1"/>
    <xf numFmtId="0" fontId="3" fillId="10" borderId="24" xfId="11" applyBorder="1"/>
    <xf numFmtId="0" fontId="3" fillId="10" borderId="22" xfId="11" applyBorder="1"/>
    <xf numFmtId="0" fontId="3" fillId="8" borderId="23" xfId="9" applyBorder="1"/>
    <xf numFmtId="0" fontId="3" fillId="8" borderId="24" xfId="9" applyBorder="1"/>
    <xf numFmtId="0" fontId="3" fillId="8" borderId="22" xfId="9" applyBorder="1"/>
    <xf numFmtId="166" fontId="3" fillId="9" borderId="15" xfId="10" applyNumberFormat="1" applyBorder="1"/>
    <xf numFmtId="166" fontId="3" fillId="9" borderId="19" xfId="10" applyNumberFormat="1" applyBorder="1"/>
    <xf numFmtId="166" fontId="3" fillId="9" borderId="2" xfId="10" applyNumberFormat="1" applyBorder="1"/>
    <xf numFmtId="166" fontId="3" fillId="9" borderId="20" xfId="10" applyNumberFormat="1" applyBorder="1"/>
    <xf numFmtId="166" fontId="3" fillId="9" borderId="9" xfId="10" applyNumberFormat="1" applyBorder="1"/>
    <xf numFmtId="166" fontId="3" fillId="9" borderId="18" xfId="10" applyNumberFormat="1" applyBorder="1"/>
    <xf numFmtId="166" fontId="0" fillId="9" borderId="2" xfId="10" applyNumberFormat="1" applyFont="1" applyBorder="1"/>
    <xf numFmtId="0" fontId="3" fillId="3" borderId="16" xfId="4" applyBorder="1" applyProtection="1">
      <protection locked="0"/>
    </xf>
    <xf numFmtId="0" fontId="3" fillId="3" borderId="7" xfId="4" applyBorder="1" applyProtection="1">
      <protection locked="0"/>
    </xf>
    <xf numFmtId="0" fontId="3" fillId="3" borderId="10" xfId="4" applyBorder="1" applyProtection="1">
      <protection locked="0"/>
    </xf>
    <xf numFmtId="0" fontId="0" fillId="3" borderId="7" xfId="4" applyFont="1" applyBorder="1" applyProtection="1">
      <protection locked="0"/>
    </xf>
    <xf numFmtId="166" fontId="3" fillId="9" borderId="14" xfId="10" applyNumberFormat="1" applyBorder="1" applyProtection="1">
      <protection locked="0"/>
    </xf>
    <xf numFmtId="166" fontId="3" fillId="9" borderId="15" xfId="10" applyNumberFormat="1" applyBorder="1" applyProtection="1">
      <protection locked="0"/>
    </xf>
    <xf numFmtId="166" fontId="3" fillId="9" borderId="19" xfId="10" applyNumberFormat="1" applyBorder="1" applyProtection="1">
      <protection locked="0"/>
    </xf>
    <xf numFmtId="0" fontId="3" fillId="9" borderId="16" xfId="10" applyBorder="1" applyProtection="1">
      <protection locked="0"/>
    </xf>
    <xf numFmtId="0" fontId="3" fillId="10" borderId="23" xfId="11" applyBorder="1" applyProtection="1">
      <protection locked="0"/>
    </xf>
    <xf numFmtId="0" fontId="3" fillId="8" borderId="23" xfId="9" applyBorder="1" applyProtection="1">
      <protection locked="0"/>
    </xf>
    <xf numFmtId="0" fontId="3" fillId="6" borderId="7" xfId="7" applyBorder="1" applyProtection="1">
      <protection locked="0"/>
    </xf>
    <xf numFmtId="166" fontId="3" fillId="9" borderId="6" xfId="10" applyNumberFormat="1" applyBorder="1" applyProtection="1">
      <protection locked="0"/>
    </xf>
    <xf numFmtId="166" fontId="0" fillId="9" borderId="2" xfId="10" applyNumberFormat="1" applyFont="1" applyBorder="1" applyProtection="1">
      <protection locked="0"/>
    </xf>
    <xf numFmtId="166" fontId="3" fillId="9" borderId="2" xfId="10" applyNumberFormat="1" applyBorder="1" applyProtection="1">
      <protection locked="0"/>
    </xf>
    <xf numFmtId="166" fontId="3" fillId="9" borderId="20" xfId="10" applyNumberFormat="1" applyBorder="1" applyProtection="1">
      <protection locked="0"/>
    </xf>
    <xf numFmtId="0" fontId="3" fillId="9" borderId="7" xfId="10" applyBorder="1" applyProtection="1">
      <protection locked="0"/>
    </xf>
    <xf numFmtId="0" fontId="3" fillId="10" borderId="24" xfId="11" applyBorder="1" applyProtection="1">
      <protection locked="0"/>
    </xf>
    <xf numFmtId="0" fontId="3" fillId="8" borderId="24" xfId="9" applyBorder="1" applyProtection="1">
      <protection locked="0"/>
    </xf>
    <xf numFmtId="0" fontId="3" fillId="6" borderId="10" xfId="7" applyBorder="1" applyProtection="1">
      <protection locked="0"/>
    </xf>
    <xf numFmtId="166" fontId="3" fillId="9" borderId="8" xfId="10" applyNumberFormat="1" applyBorder="1" applyProtection="1">
      <protection locked="0"/>
    </xf>
    <xf numFmtId="166" fontId="3" fillId="9" borderId="9" xfId="10" applyNumberFormat="1" applyBorder="1" applyProtection="1">
      <protection locked="0"/>
    </xf>
    <xf numFmtId="166" fontId="3" fillId="9" borderId="18" xfId="10" applyNumberFormat="1" applyBorder="1" applyProtection="1">
      <protection locked="0"/>
    </xf>
    <xf numFmtId="0" fontId="3" fillId="9" borderId="10" xfId="10" applyBorder="1" applyProtection="1">
      <protection locked="0"/>
    </xf>
    <xf numFmtId="0" fontId="3" fillId="10" borderId="22" xfId="11" applyBorder="1" applyProtection="1">
      <protection locked="0"/>
    </xf>
    <xf numFmtId="0" fontId="3" fillId="8" borderId="22" xfId="9" applyBorder="1" applyProtection="1">
      <protection locked="0"/>
    </xf>
    <xf numFmtId="3" fontId="3" fillId="5" borderId="15" xfId="6" applyNumberFormat="1" applyBorder="1" applyProtection="1">
      <protection locked="0"/>
    </xf>
    <xf numFmtId="3" fontId="3" fillId="5" borderId="6" xfId="6" applyNumberFormat="1" applyBorder="1" applyProtection="1">
      <protection locked="0"/>
    </xf>
    <xf numFmtId="3" fontId="3" fillId="5" borderId="2" xfId="6" applyNumberFormat="1" applyBorder="1" applyProtection="1">
      <protection locked="0"/>
    </xf>
    <xf numFmtId="3" fontId="3" fillId="5" borderId="8" xfId="6" applyNumberFormat="1" applyBorder="1" applyProtection="1">
      <protection locked="0"/>
    </xf>
    <xf numFmtId="3" fontId="3" fillId="5" borderId="9" xfId="6" applyNumberFormat="1" applyBorder="1" applyProtection="1">
      <protection locked="0"/>
    </xf>
    <xf numFmtId="0" fontId="3" fillId="7" borderId="6" xfId="8" applyBorder="1" applyProtection="1">
      <protection locked="0"/>
    </xf>
    <xf numFmtId="0" fontId="3" fillId="7" borderId="2" xfId="8" applyBorder="1" applyProtection="1">
      <protection locked="0"/>
    </xf>
    <xf numFmtId="0" fontId="3" fillId="7" borderId="8" xfId="8" applyBorder="1" applyProtection="1">
      <protection locked="0"/>
    </xf>
    <xf numFmtId="0" fontId="3" fillId="7" borderId="9" xfId="8" applyBorder="1" applyProtection="1">
      <protection locked="0"/>
    </xf>
    <xf numFmtId="0" fontId="3" fillId="7" borderId="19" xfId="8" applyBorder="1" applyAlignment="1" applyProtection="1">
      <alignment horizontal="center"/>
      <protection locked="0"/>
    </xf>
    <xf numFmtId="0" fontId="3" fillId="7" borderId="20" xfId="8" applyBorder="1" applyAlignment="1" applyProtection="1">
      <alignment horizontal="center"/>
      <protection locked="0"/>
    </xf>
    <xf numFmtId="0" fontId="3" fillId="7" borderId="18" xfId="8" applyBorder="1" applyAlignment="1" applyProtection="1">
      <alignment horizontal="center"/>
      <protection locked="0"/>
    </xf>
    <xf numFmtId="3" fontId="3" fillId="3" borderId="14" xfId="1" applyNumberFormat="1" applyFill="1" applyBorder="1" applyProtection="1">
      <protection locked="0"/>
    </xf>
    <xf numFmtId="3" fontId="3" fillId="3" borderId="6" xfId="1" applyNumberFormat="1" applyFill="1" applyBorder="1" applyProtection="1">
      <protection locked="0"/>
    </xf>
    <xf numFmtId="3" fontId="3" fillId="3" borderId="2" xfId="1" applyNumberFormat="1" applyFill="1" applyBorder="1" applyProtection="1">
      <protection locked="0"/>
    </xf>
    <xf numFmtId="3" fontId="3" fillId="3" borderId="8" xfId="1" applyNumberFormat="1" applyFill="1" applyBorder="1" applyProtection="1">
      <protection locked="0"/>
    </xf>
    <xf numFmtId="3" fontId="3" fillId="3" borderId="9" xfId="1" applyNumberFormat="1" applyFill="1" applyBorder="1" applyProtection="1">
      <protection locked="0"/>
    </xf>
    <xf numFmtId="3" fontId="3" fillId="3" borderId="18" xfId="1" applyNumberFormat="1" applyFill="1" applyBorder="1" applyProtection="1">
      <protection locked="0"/>
    </xf>
    <xf numFmtId="3" fontId="3" fillId="3" borderId="15" xfId="1" applyNumberFormat="1" applyFill="1" applyBorder="1" applyProtection="1">
      <protection locked="0"/>
    </xf>
    <xf numFmtId="0" fontId="0" fillId="3" borderId="9" xfId="4" applyFont="1" applyBorder="1" applyAlignment="1">
      <alignment horizontal="center" wrapText="1"/>
    </xf>
    <xf numFmtId="168" fontId="3" fillId="6" borderId="14" xfId="7" applyNumberFormat="1" applyBorder="1" applyProtection="1">
      <protection locked="0"/>
    </xf>
    <xf numFmtId="168" fontId="3" fillId="6" borderId="2" xfId="7" applyNumberFormat="1" applyBorder="1" applyProtection="1">
      <protection locked="0"/>
    </xf>
    <xf numFmtId="168" fontId="3" fillId="6" borderId="9" xfId="7" applyNumberFormat="1" applyBorder="1" applyProtection="1">
      <protection locked="0"/>
    </xf>
    <xf numFmtId="0" fontId="3" fillId="5" borderId="19" xfId="6" applyBorder="1" applyProtection="1">
      <protection locked="0"/>
    </xf>
    <xf numFmtId="0" fontId="3" fillId="5" borderId="18" xfId="6" applyBorder="1" applyAlignment="1">
      <alignment horizontal="center" wrapText="1"/>
    </xf>
    <xf numFmtId="0" fontId="3" fillId="9" borderId="13" xfId="10" applyBorder="1" applyAlignment="1">
      <alignment horizontal="center" wrapText="1"/>
    </xf>
    <xf numFmtId="0" fontId="3" fillId="6" borderId="36" xfId="7" applyBorder="1" applyAlignment="1">
      <alignment horizontal="center" wrapText="1"/>
    </xf>
    <xf numFmtId="0" fontId="3" fillId="6" borderId="37" xfId="7" applyBorder="1" applyAlignment="1">
      <alignment horizontal="center" wrapText="1"/>
    </xf>
    <xf numFmtId="0" fontId="3" fillId="5" borderId="20" xfId="6" applyBorder="1" applyProtection="1">
      <protection locked="0"/>
    </xf>
    <xf numFmtId="0" fontId="3" fillId="5" borderId="18" xfId="6" applyBorder="1" applyProtection="1">
      <protection locked="0"/>
    </xf>
    <xf numFmtId="0" fontId="0" fillId="7" borderId="6" xfId="8" applyFont="1" applyBorder="1" applyAlignment="1" applyProtection="1">
      <alignment vertical="center"/>
      <protection locked="0"/>
    </xf>
    <xf numFmtId="0" fontId="0" fillId="7" borderId="2" xfId="8" applyFont="1" applyBorder="1" applyAlignment="1" applyProtection="1">
      <alignment vertical="center"/>
      <protection locked="0"/>
    </xf>
    <xf numFmtId="3" fontId="3" fillId="3" borderId="15" xfId="4" applyNumberFormat="1" applyBorder="1" applyAlignment="1" applyProtection="1">
      <alignment vertical="center"/>
      <protection locked="0"/>
    </xf>
    <xf numFmtId="0" fontId="3" fillId="7" borderId="6" xfId="8" applyBorder="1" applyAlignment="1" applyProtection="1">
      <alignment vertical="center"/>
      <protection locked="0"/>
    </xf>
    <xf numFmtId="0" fontId="3" fillId="7" borderId="2" xfId="8" applyBorder="1" applyAlignment="1" applyProtection="1">
      <alignment vertical="center"/>
      <protection locked="0"/>
    </xf>
    <xf numFmtId="3" fontId="3" fillId="3" borderId="2" xfId="4" applyNumberFormat="1" applyBorder="1" applyAlignment="1" applyProtection="1">
      <alignment vertical="center"/>
      <protection locked="0"/>
    </xf>
    <xf numFmtId="0" fontId="3" fillId="7" borderId="8" xfId="8" applyBorder="1" applyAlignment="1" applyProtection="1">
      <alignment vertical="center"/>
      <protection locked="0"/>
    </xf>
    <xf numFmtId="0" fontId="3" fillId="7" borderId="9" xfId="8" applyBorder="1" applyAlignment="1" applyProtection="1">
      <alignment vertical="center"/>
      <protection locked="0"/>
    </xf>
    <xf numFmtId="3" fontId="3" fillId="3" borderId="9" xfId="4" applyNumberFormat="1" applyBorder="1" applyAlignment="1" applyProtection="1">
      <alignment vertical="center"/>
      <protection locked="0"/>
    </xf>
    <xf numFmtId="0" fontId="0" fillId="9" borderId="9" xfId="10" applyFont="1" applyBorder="1" applyAlignment="1">
      <alignment horizontal="center" wrapText="1"/>
    </xf>
    <xf numFmtId="0" fontId="0" fillId="10" borderId="24" xfId="11" applyFont="1" applyBorder="1" applyProtection="1">
      <protection locked="0"/>
    </xf>
    <xf numFmtId="0" fontId="3" fillId="4" borderId="9" xfId="5" applyBorder="1" applyAlignment="1" applyProtection="1">
      <alignment horizontal="center" wrapText="1"/>
      <protection locked="0"/>
    </xf>
    <xf numFmtId="0" fontId="0" fillId="3" borderId="8" xfId="4" applyFont="1" applyBorder="1" applyAlignment="1">
      <alignment horizontal="center" wrapText="1"/>
    </xf>
    <xf numFmtId="3" fontId="5" fillId="5" borderId="2" xfId="6" applyNumberFormat="1" applyFont="1" applyBorder="1" applyProtection="1">
      <protection locked="0"/>
    </xf>
    <xf numFmtId="0" fontId="0" fillId="5" borderId="20" xfId="6" applyFont="1" applyBorder="1" applyProtection="1">
      <protection locked="0"/>
    </xf>
    <xf numFmtId="3" fontId="5" fillId="3" borderId="15" xfId="4" applyNumberFormat="1" applyFont="1" applyBorder="1" applyAlignment="1" applyProtection="1">
      <alignment vertical="center"/>
      <protection locked="0"/>
    </xf>
    <xf numFmtId="168" fontId="5" fillId="6" borderId="2" xfId="7" applyNumberFormat="1" applyFont="1" applyBorder="1" applyProtection="1">
      <protection locked="0"/>
    </xf>
    <xf numFmtId="0" fontId="3" fillId="3" borderId="13" xfId="4" applyBorder="1" applyAlignment="1">
      <alignment horizontal="center" wrapText="1"/>
    </xf>
    <xf numFmtId="3" fontId="3" fillId="3" borderId="28" xfId="4" applyNumberFormat="1" applyBorder="1" applyAlignment="1" applyProtection="1">
      <alignment horizontal="right" vertical="center"/>
      <protection locked="0"/>
    </xf>
    <xf numFmtId="3" fontId="3" fillId="3" borderId="12" xfId="4" applyNumberFormat="1" applyBorder="1" applyAlignment="1" applyProtection="1">
      <alignment vertical="center"/>
      <protection locked="0"/>
    </xf>
    <xf numFmtId="3" fontId="3" fillId="3" borderId="13" xfId="4" applyNumberFormat="1" applyBorder="1" applyAlignment="1" applyProtection="1">
      <alignment vertical="center"/>
      <protection locked="0"/>
    </xf>
    <xf numFmtId="0" fontId="0" fillId="3" borderId="13" xfId="4" applyFont="1" applyBorder="1" applyAlignment="1">
      <alignment horizontal="center" wrapText="1"/>
    </xf>
    <xf numFmtId="0" fontId="3" fillId="7" borderId="19" xfId="8" applyBorder="1" applyAlignment="1" applyProtection="1">
      <alignment horizontal="center" vertical="center"/>
      <protection locked="0"/>
    </xf>
    <xf numFmtId="0" fontId="3" fillId="7" borderId="20" xfId="8" applyBorder="1" applyAlignment="1" applyProtection="1">
      <alignment horizontal="center" vertical="center"/>
      <protection locked="0"/>
    </xf>
    <xf numFmtId="0" fontId="3" fillId="7" borderId="18" xfId="8" applyBorder="1" applyAlignment="1" applyProtection="1">
      <alignment horizontal="center" vertical="center"/>
      <protection locked="0"/>
    </xf>
    <xf numFmtId="0" fontId="3" fillId="12" borderId="6" xfId="15" applyBorder="1" applyAlignment="1" applyProtection="1">
      <alignment horizontal="center" vertical="center"/>
      <protection locked="0"/>
    </xf>
    <xf numFmtId="0" fontId="3" fillId="12" borderId="2" xfId="15" applyBorder="1" applyAlignment="1" applyProtection="1">
      <alignment horizontal="center" vertical="center"/>
      <protection locked="0"/>
    </xf>
    <xf numFmtId="0" fontId="3" fillId="12" borderId="8" xfId="15" applyBorder="1" applyAlignment="1" applyProtection="1">
      <alignment horizontal="center" vertical="center"/>
      <protection locked="0"/>
    </xf>
    <xf numFmtId="0" fontId="3" fillId="12" borderId="9" xfId="15" applyBorder="1" applyAlignment="1" applyProtection="1">
      <alignment horizontal="center" vertical="center"/>
      <protection locked="0"/>
    </xf>
    <xf numFmtId="0" fontId="0" fillId="12" borderId="8" xfId="15" applyFont="1" applyBorder="1" applyAlignment="1">
      <alignment horizontal="center" wrapText="1"/>
    </xf>
    <xf numFmtId="0" fontId="0" fillId="12" borderId="9" xfId="15" applyFont="1" applyBorder="1" applyAlignment="1">
      <alignment horizontal="center" wrapText="1"/>
    </xf>
    <xf numFmtId="0" fontId="0" fillId="12" borderId="10" xfId="15" applyFont="1" applyBorder="1" applyAlignment="1">
      <alignment horizontal="center" wrapText="1"/>
    </xf>
    <xf numFmtId="164" fontId="3" fillId="12" borderId="6" xfId="15" applyNumberFormat="1" applyBorder="1" applyAlignment="1" applyProtection="1">
      <alignment horizontal="center" vertical="center"/>
      <protection locked="0"/>
    </xf>
    <xf numFmtId="168" fontId="5" fillId="6" borderId="14" xfId="7" applyNumberFormat="1" applyFont="1" applyBorder="1" applyProtection="1">
      <protection locked="0"/>
    </xf>
    <xf numFmtId="168" fontId="5" fillId="6" borderId="15" xfId="7" applyNumberFormat="1" applyFont="1" applyBorder="1" applyProtection="1">
      <protection locked="0"/>
    </xf>
    <xf numFmtId="0" fontId="0" fillId="6" borderId="16" xfId="7" applyFont="1" applyBorder="1" applyProtection="1">
      <protection locked="0"/>
    </xf>
    <xf numFmtId="168" fontId="9" fillId="6" borderId="14" xfId="7" applyNumberFormat="1" applyFont="1" applyBorder="1" applyProtection="1">
      <protection locked="0"/>
    </xf>
    <xf numFmtId="168" fontId="9" fillId="6" borderId="2" xfId="7" applyNumberFormat="1" applyFont="1" applyBorder="1" applyProtection="1">
      <protection locked="0"/>
    </xf>
    <xf numFmtId="0" fontId="9" fillId="6" borderId="7" xfId="7" applyFont="1" applyBorder="1" applyProtection="1">
      <protection locked="0"/>
    </xf>
    <xf numFmtId="0" fontId="3" fillId="12" borderId="20" xfId="15" applyBorder="1" applyAlignment="1" applyProtection="1">
      <alignment horizontal="center" vertical="center"/>
      <protection locked="0"/>
    </xf>
    <xf numFmtId="0" fontId="3" fillId="12" borderId="18" xfId="15" applyBorder="1" applyAlignment="1" applyProtection="1">
      <alignment horizontal="center" vertical="center"/>
      <protection locked="0"/>
    </xf>
    <xf numFmtId="164" fontId="3" fillId="12" borderId="14" xfId="12" applyFill="1" applyBorder="1" applyAlignment="1" applyProtection="1">
      <alignment horizontal="center" vertical="center"/>
      <protection locked="0"/>
    </xf>
    <xf numFmtId="0" fontId="3" fillId="12" borderId="15" xfId="15" applyBorder="1" applyAlignment="1" applyProtection="1">
      <alignment horizontal="center" vertical="center"/>
      <protection locked="0"/>
    </xf>
    <xf numFmtId="0" fontId="3" fillId="12" borderId="19" xfId="15" applyBorder="1" applyAlignment="1" applyProtection="1">
      <alignment horizontal="center" vertical="center"/>
      <protection locked="0"/>
    </xf>
    <xf numFmtId="0" fontId="3" fillId="5" borderId="13" xfId="6" applyBorder="1" applyAlignment="1">
      <alignment horizontal="center" wrapText="1"/>
    </xf>
    <xf numFmtId="3" fontId="3" fillId="5" borderId="28" xfId="6" applyNumberFormat="1" applyBorder="1" applyProtection="1">
      <protection locked="0"/>
    </xf>
    <xf numFmtId="3" fontId="3" fillId="5" borderId="12" xfId="6" applyNumberFormat="1" applyBorder="1" applyProtection="1">
      <protection locked="0"/>
    </xf>
    <xf numFmtId="3" fontId="3" fillId="5" borderId="13" xfId="6" applyNumberFormat="1" applyBorder="1" applyProtection="1">
      <protection locked="0"/>
    </xf>
    <xf numFmtId="0" fontId="0" fillId="5" borderId="8" xfId="6" applyFont="1" applyBorder="1" applyAlignment="1">
      <alignment horizontal="center" wrapText="1"/>
    </xf>
    <xf numFmtId="3" fontId="0" fillId="5" borderId="14" xfId="6" applyNumberFormat="1" applyFont="1" applyBorder="1" applyProtection="1">
      <protection locked="0"/>
    </xf>
    <xf numFmtId="0" fontId="3" fillId="6" borderId="43" xfId="7" applyBorder="1" applyAlignment="1">
      <alignment horizontal="center" wrapText="1"/>
    </xf>
    <xf numFmtId="168" fontId="5" fillId="6" borderId="28" xfId="7" applyNumberFormat="1" applyFont="1" applyBorder="1" applyProtection="1">
      <protection locked="0"/>
    </xf>
    <xf numFmtId="168" fontId="9" fillId="6" borderId="28" xfId="7" applyNumberFormat="1" applyFont="1" applyBorder="1" applyProtection="1">
      <protection locked="0"/>
    </xf>
    <xf numFmtId="168" fontId="3" fillId="6" borderId="28" xfId="7" applyNumberFormat="1" applyBorder="1" applyProtection="1">
      <protection locked="0"/>
    </xf>
    <xf numFmtId="0" fontId="0" fillId="6" borderId="35" xfId="7" applyFont="1" applyBorder="1" applyAlignment="1">
      <alignment horizontal="center" wrapText="1"/>
    </xf>
    <xf numFmtId="0" fontId="0" fillId="3" borderId="7" xfId="4" applyFont="1" applyBorder="1" applyAlignment="1" applyProtection="1">
      <protection locked="0"/>
    </xf>
    <xf numFmtId="168" fontId="3" fillId="6" borderId="39" xfId="7" applyNumberFormat="1" applyBorder="1" applyProtection="1">
      <protection locked="0"/>
    </xf>
    <xf numFmtId="168" fontId="3" fillId="6" borderId="44" xfId="7" applyNumberFormat="1" applyBorder="1" applyProtection="1">
      <protection locked="0"/>
    </xf>
    <xf numFmtId="0" fontId="3" fillId="11" borderId="35" xfId="14" applyFont="1" applyBorder="1" applyAlignment="1">
      <alignment horizontal="center" wrapText="1"/>
    </xf>
    <xf numFmtId="0" fontId="3" fillId="11" borderId="43" xfId="14" applyFont="1" applyBorder="1" applyAlignment="1">
      <alignment horizontal="center" wrapText="1"/>
    </xf>
    <xf numFmtId="0" fontId="3" fillId="11" borderId="36" xfId="14" applyFont="1" applyBorder="1" applyAlignment="1">
      <alignment horizontal="center" wrapText="1"/>
    </xf>
    <xf numFmtId="0" fontId="3" fillId="11" borderId="37" xfId="14" applyFont="1" applyBorder="1" applyAlignment="1">
      <alignment horizontal="center" wrapText="1"/>
    </xf>
    <xf numFmtId="0" fontId="3" fillId="11" borderId="16" xfId="14" applyFont="1" applyBorder="1" applyProtection="1">
      <protection locked="0"/>
    </xf>
    <xf numFmtId="168" fontId="3" fillId="11" borderId="2" xfId="14" applyNumberFormat="1" applyFont="1" applyBorder="1" applyProtection="1">
      <protection locked="0"/>
    </xf>
    <xf numFmtId="0" fontId="3" fillId="11" borderId="7" xfId="14" applyFont="1" applyBorder="1" applyProtection="1">
      <protection locked="0"/>
    </xf>
    <xf numFmtId="168" fontId="3" fillId="11" borderId="6" xfId="14" applyNumberFormat="1" applyFont="1" applyBorder="1" applyProtection="1">
      <protection locked="0"/>
    </xf>
    <xf numFmtId="168" fontId="3" fillId="11" borderId="12" xfId="14" applyNumberFormat="1" applyFont="1" applyBorder="1" applyProtection="1">
      <protection locked="0"/>
    </xf>
    <xf numFmtId="168" fontId="3" fillId="11" borderId="8" xfId="14" applyNumberFormat="1" applyFont="1" applyBorder="1" applyProtection="1">
      <protection locked="0"/>
    </xf>
    <xf numFmtId="168" fontId="3" fillId="11" borderId="13" xfId="14" applyNumberFormat="1" applyFont="1" applyBorder="1" applyProtection="1">
      <protection locked="0"/>
    </xf>
    <xf numFmtId="168" fontId="3" fillId="11" borderId="9" xfId="14" applyNumberFormat="1" applyFont="1" applyBorder="1" applyProtection="1">
      <protection locked="0"/>
    </xf>
    <xf numFmtId="0" fontId="3" fillId="11" borderId="10" xfId="14" applyFont="1" applyBorder="1" applyProtection="1">
      <protection locked="0"/>
    </xf>
    <xf numFmtId="164" fontId="3" fillId="11" borderId="28" xfId="12" applyFont="1" applyFill="1" applyBorder="1" applyProtection="1">
      <protection locked="0"/>
    </xf>
    <xf numFmtId="164" fontId="0" fillId="11" borderId="14" xfId="12" applyFont="1" applyFill="1" applyBorder="1" applyProtection="1">
      <protection locked="0"/>
    </xf>
    <xf numFmtId="0" fontId="0" fillId="9" borderId="7" xfId="10" applyFont="1" applyBorder="1" applyProtection="1">
      <protection locked="0"/>
    </xf>
    <xf numFmtId="0" fontId="0" fillId="11" borderId="16" xfId="14" applyFont="1" applyBorder="1" applyProtection="1">
      <protection locked="0"/>
    </xf>
    <xf numFmtId="0" fontId="0" fillId="11" borderId="7" xfId="14" applyFont="1" applyBorder="1" applyProtection="1">
      <protection locked="0"/>
    </xf>
    <xf numFmtId="3" fontId="3" fillId="4" borderId="15" xfId="5" applyNumberFormat="1" applyBorder="1" applyAlignment="1" applyProtection="1">
      <alignment vertical="center"/>
      <protection locked="0"/>
    </xf>
    <xf numFmtId="3" fontId="3" fillId="4" borderId="2" xfId="5" applyNumberFormat="1" applyBorder="1" applyAlignment="1" applyProtection="1">
      <alignment vertical="center"/>
      <protection locked="0"/>
    </xf>
    <xf numFmtId="3" fontId="3" fillId="4" borderId="9" xfId="5" applyNumberFormat="1" applyBorder="1" applyAlignment="1" applyProtection="1">
      <alignment vertical="center"/>
      <protection locked="0"/>
    </xf>
    <xf numFmtId="0" fontId="0" fillId="4" borderId="18" xfId="5" applyFont="1" applyBorder="1" applyAlignment="1" applyProtection="1">
      <alignment horizontal="center" wrapText="1"/>
      <protection locked="0"/>
    </xf>
    <xf numFmtId="9" fontId="3" fillId="4" borderId="19" xfId="13" applyFill="1" applyBorder="1" applyAlignment="1" applyProtection="1">
      <alignment vertical="center"/>
      <protection locked="0"/>
    </xf>
    <xf numFmtId="9" fontId="3" fillId="4" borderId="20" xfId="5" applyNumberFormat="1" applyBorder="1" applyAlignment="1" applyProtection="1">
      <alignment vertical="center"/>
      <protection locked="0"/>
    </xf>
    <xf numFmtId="9" fontId="3" fillId="4" borderId="18" xfId="5" applyNumberFormat="1" applyBorder="1" applyAlignment="1" applyProtection="1">
      <alignment vertical="center"/>
      <protection locked="0"/>
    </xf>
    <xf numFmtId="0" fontId="0" fillId="12" borderId="16" xfId="15" applyFont="1" applyBorder="1" applyAlignment="1" applyProtection="1">
      <alignment horizontal="left" vertical="center"/>
      <protection locked="0"/>
    </xf>
    <xf numFmtId="0" fontId="3" fillId="12" borderId="7" xfId="15" applyBorder="1" applyAlignment="1" applyProtection="1">
      <alignment horizontal="left" vertical="center"/>
      <protection locked="0"/>
    </xf>
    <xf numFmtId="0" fontId="3" fillId="12" borderId="10" xfId="15" applyBorder="1" applyAlignment="1" applyProtection="1">
      <alignment horizontal="left" vertical="center"/>
      <protection locked="0"/>
    </xf>
    <xf numFmtId="0" fontId="0" fillId="12" borderId="7" xfId="15" applyFont="1" applyBorder="1" applyAlignment="1" applyProtection="1">
      <alignment horizontal="left" vertical="center"/>
      <protection locked="0"/>
    </xf>
    <xf numFmtId="164" fontId="5" fillId="12" borderId="6" xfId="15" applyNumberFormat="1" applyFont="1" applyBorder="1" applyAlignment="1" applyProtection="1">
      <alignment horizontal="center" vertical="center"/>
      <protection locked="0"/>
    </xf>
    <xf numFmtId="0" fontId="5" fillId="12" borderId="7" xfId="15" applyFont="1" applyBorder="1" applyAlignment="1" applyProtection="1">
      <alignment horizontal="left" vertical="center"/>
      <protection locked="0"/>
    </xf>
    <xf numFmtId="0" fontId="3" fillId="4" borderId="9" xfId="5" applyBorder="1" applyAlignment="1">
      <alignment horizontal="center" wrapText="1"/>
    </xf>
    <xf numFmtId="3" fontId="3" fillId="4" borderId="15" xfId="5" applyNumberFormat="1" applyBorder="1"/>
    <xf numFmtId="3" fontId="3" fillId="4" borderId="2" xfId="5" applyNumberFormat="1" applyBorder="1"/>
    <xf numFmtId="3" fontId="3" fillId="4" borderId="18" xfId="5" applyNumberFormat="1" applyBorder="1"/>
    <xf numFmtId="0" fontId="0" fillId="5" borderId="9" xfId="6" applyFont="1" applyBorder="1" applyAlignment="1">
      <alignment horizontal="center" wrapText="1"/>
    </xf>
    <xf numFmtId="0" fontId="0" fillId="6" borderId="8" xfId="7" applyFont="1" applyBorder="1" applyAlignment="1">
      <alignment horizontal="center" wrapText="1"/>
    </xf>
    <xf numFmtId="0" fontId="0" fillId="6" borderId="13" xfId="7" applyFont="1" applyBorder="1" applyAlignment="1">
      <alignment horizontal="center" wrapText="1"/>
    </xf>
    <xf numFmtId="0" fontId="3" fillId="5" borderId="28" xfId="6" applyNumberFormat="1" applyBorder="1" applyProtection="1">
      <protection locked="0"/>
    </xf>
    <xf numFmtId="0" fontId="3" fillId="5" borderId="12" xfId="6" applyNumberFormat="1" applyBorder="1" applyProtection="1">
      <protection locked="0"/>
    </xf>
    <xf numFmtId="0" fontId="3" fillId="5" borderId="6" xfId="6" applyNumberFormat="1" applyBorder="1" applyProtection="1">
      <protection locked="0"/>
    </xf>
    <xf numFmtId="0" fontId="3" fillId="5" borderId="2" xfId="6" applyNumberFormat="1" applyBorder="1" applyProtection="1">
      <protection locked="0"/>
    </xf>
    <xf numFmtId="0" fontId="3" fillId="5" borderId="8" xfId="6" applyNumberFormat="1" applyBorder="1" applyProtection="1">
      <protection locked="0"/>
    </xf>
    <xf numFmtId="0" fontId="3" fillId="5" borderId="13" xfId="6" applyNumberFormat="1" applyBorder="1" applyProtection="1">
      <protection locked="0"/>
    </xf>
    <xf numFmtId="0" fontId="3" fillId="5" borderId="9" xfId="6" applyNumberFormat="1" applyBorder="1" applyProtection="1">
      <protection locked="0"/>
    </xf>
    <xf numFmtId="169" fontId="3" fillId="6" borderId="28" xfId="1" applyNumberFormat="1" applyFill="1" applyBorder="1" applyProtection="1">
      <protection locked="0"/>
    </xf>
    <xf numFmtId="169" fontId="3" fillId="6" borderId="12" xfId="1" applyNumberFormat="1" applyFill="1" applyBorder="1" applyProtection="1">
      <protection locked="0"/>
    </xf>
    <xf numFmtId="169" fontId="3" fillId="6" borderId="13" xfId="1" applyNumberFormat="1" applyFill="1" applyBorder="1" applyProtection="1">
      <protection locked="0"/>
    </xf>
    <xf numFmtId="167" fontId="3" fillId="6" borderId="15" xfId="7" applyNumberFormat="1" applyBorder="1"/>
    <xf numFmtId="167" fontId="3" fillId="6" borderId="9" xfId="7" applyNumberFormat="1" applyBorder="1"/>
    <xf numFmtId="169" fontId="3" fillId="6" borderId="2" xfId="1" applyNumberFormat="1" applyFill="1" applyBorder="1" applyProtection="1">
      <protection locked="0"/>
    </xf>
    <xf numFmtId="169" fontId="3" fillId="6" borderId="15" xfId="1" applyNumberFormat="1" applyFill="1" applyBorder="1" applyProtection="1">
      <protection locked="0"/>
    </xf>
    <xf numFmtId="169" fontId="3" fillId="6" borderId="14" xfId="1" applyNumberFormat="1" applyFill="1" applyBorder="1" applyProtection="1">
      <protection locked="0"/>
    </xf>
    <xf numFmtId="169" fontId="3" fillId="6" borderId="6" xfId="1" applyNumberFormat="1" applyFill="1" applyBorder="1" applyProtection="1">
      <protection locked="0"/>
    </xf>
    <xf numFmtId="169" fontId="3" fillId="6" borderId="8" xfId="1" applyNumberFormat="1" applyFill="1" applyBorder="1" applyProtection="1">
      <protection locked="0"/>
    </xf>
    <xf numFmtId="169" fontId="3" fillId="6" borderId="9" xfId="1" applyNumberFormat="1" applyFill="1" applyBorder="1" applyProtection="1">
      <protection locked="0"/>
    </xf>
    <xf numFmtId="0" fontId="14" fillId="11" borderId="9" xfId="14" applyFont="1" applyBorder="1" applyAlignment="1">
      <alignment horizontal="center" wrapText="1"/>
    </xf>
    <xf numFmtId="169" fontId="14" fillId="11" borderId="15" xfId="14" applyNumberFormat="1" applyFont="1" applyBorder="1"/>
    <xf numFmtId="169" fontId="14" fillId="11" borderId="2" xfId="14" applyNumberFormat="1" applyFont="1" applyBorder="1"/>
    <xf numFmtId="169" fontId="14" fillId="11" borderId="9" xfId="14" applyNumberFormat="1" applyFont="1" applyBorder="1"/>
    <xf numFmtId="0" fontId="3" fillId="5" borderId="28" xfId="6" applyBorder="1" applyProtection="1">
      <protection locked="0"/>
    </xf>
    <xf numFmtId="0" fontId="5" fillId="5" borderId="28" xfId="6" applyFont="1" applyBorder="1" applyProtection="1">
      <protection locked="0"/>
    </xf>
    <xf numFmtId="3" fontId="0" fillId="3" borderId="2" xfId="1" applyNumberFormat="1" applyFont="1" applyFill="1" applyBorder="1" applyProtection="1">
      <protection locked="0"/>
    </xf>
    <xf numFmtId="0" fontId="0" fillId="5" borderId="18" xfId="6" applyFont="1" applyBorder="1" applyAlignment="1">
      <alignment horizontal="center" wrapText="1"/>
    </xf>
    <xf numFmtId="0" fontId="5" fillId="5" borderId="20" xfId="6" applyFont="1" applyBorder="1" applyProtection="1">
      <protection locked="0"/>
    </xf>
    <xf numFmtId="0" fontId="3" fillId="5" borderId="9" xfId="6" applyBorder="1" applyAlignment="1">
      <alignment horizontal="center" vertical="center" textRotation="180" wrapText="1"/>
    </xf>
    <xf numFmtId="0" fontId="0" fillId="3" borderId="9" xfId="4" applyFont="1" applyBorder="1" applyAlignment="1">
      <alignment horizontal="center" vertical="center" textRotation="180" wrapText="1"/>
    </xf>
    <xf numFmtId="0" fontId="3" fillId="6" borderId="9" xfId="7" applyBorder="1" applyAlignment="1">
      <alignment horizontal="center" vertical="center" textRotation="180" wrapText="1"/>
    </xf>
    <xf numFmtId="0" fontId="3" fillId="14" borderId="9" xfId="16" applyBorder="1" applyAlignment="1">
      <alignment horizontal="center" vertical="center" textRotation="180" wrapText="1"/>
    </xf>
    <xf numFmtId="0" fontId="3" fillId="14" borderId="9" xfId="16" applyBorder="1" applyAlignment="1">
      <alignment horizontal="center" wrapText="1"/>
    </xf>
    <xf numFmtId="0" fontId="3" fillId="14" borderId="10" xfId="16" applyBorder="1" applyAlignment="1">
      <alignment horizontal="center" wrapText="1"/>
    </xf>
    <xf numFmtId="0" fontId="3" fillId="14" borderId="14" xfId="16" applyBorder="1" applyProtection="1">
      <protection locked="0"/>
    </xf>
    <xf numFmtId="169" fontId="3" fillId="14" borderId="15" xfId="16" applyNumberFormat="1" applyBorder="1" applyProtection="1">
      <protection locked="0"/>
    </xf>
    <xf numFmtId="170" fontId="3" fillId="14" borderId="15" xfId="16" applyNumberFormat="1" applyBorder="1"/>
    <xf numFmtId="169" fontId="3" fillId="14" borderId="2" xfId="16" applyNumberFormat="1" applyBorder="1" applyProtection="1">
      <protection locked="0"/>
    </xf>
    <xf numFmtId="169" fontId="3" fillId="14" borderId="9" xfId="16" applyNumberFormat="1" applyBorder="1" applyProtection="1">
      <protection locked="0"/>
    </xf>
    <xf numFmtId="0" fontId="3" fillId="6" borderId="18" xfId="7" applyBorder="1" applyAlignment="1">
      <alignment horizontal="center" wrapText="1"/>
    </xf>
    <xf numFmtId="0" fontId="3" fillId="6" borderId="49" xfId="7" applyBorder="1" applyProtection="1">
      <protection locked="0"/>
    </xf>
    <xf numFmtId="0" fontId="3" fillId="6" borderId="50" xfId="7" applyBorder="1" applyProtection="1">
      <protection locked="0"/>
    </xf>
    <xf numFmtId="0" fontId="3" fillId="6" borderId="48" xfId="7" applyBorder="1" applyProtection="1">
      <protection locked="0"/>
    </xf>
    <xf numFmtId="166" fontId="3" fillId="9" borderId="28" xfId="10" applyNumberFormat="1" applyBorder="1"/>
    <xf numFmtId="166" fontId="3" fillId="9" borderId="12" xfId="10" applyNumberFormat="1" applyBorder="1"/>
    <xf numFmtId="166" fontId="3" fillId="9" borderId="13" xfId="10" applyNumberFormat="1" applyBorder="1"/>
    <xf numFmtId="0" fontId="3" fillId="14" borderId="2" xfId="16" applyBorder="1" applyProtection="1">
      <protection locked="0"/>
    </xf>
    <xf numFmtId="170" fontId="3" fillId="14" borderId="2" xfId="16" applyNumberFormat="1" applyBorder="1"/>
    <xf numFmtId="0" fontId="3" fillId="14" borderId="6" xfId="16" applyBorder="1" applyProtection="1">
      <protection locked="0"/>
    </xf>
    <xf numFmtId="0" fontId="3" fillId="14" borderId="7" xfId="16" applyBorder="1" applyProtection="1">
      <protection locked="0"/>
    </xf>
    <xf numFmtId="0" fontId="0" fillId="14" borderId="7" xfId="16" applyFont="1" applyBorder="1" applyProtection="1">
      <protection locked="0"/>
    </xf>
    <xf numFmtId="169" fontId="3" fillId="14" borderId="6" xfId="16" applyNumberFormat="1" applyBorder="1" applyProtection="1">
      <protection locked="0"/>
    </xf>
    <xf numFmtId="169" fontId="3" fillId="14" borderId="8" xfId="16" applyNumberFormat="1" applyBorder="1" applyProtection="1">
      <protection locked="0"/>
    </xf>
    <xf numFmtId="170" fontId="3" fillId="14" borderId="9" xfId="16" applyNumberFormat="1" applyBorder="1"/>
    <xf numFmtId="0" fontId="3" fillId="14" borderId="10" xfId="16" applyBorder="1" applyProtection="1">
      <protection locked="0"/>
    </xf>
    <xf numFmtId="0" fontId="3" fillId="14" borderId="15" xfId="16" applyBorder="1" applyProtection="1">
      <protection locked="0"/>
    </xf>
    <xf numFmtId="0" fontId="3" fillId="14" borderId="16" xfId="16" applyBorder="1" applyProtection="1">
      <protection locked="0"/>
    </xf>
    <xf numFmtId="0" fontId="3" fillId="14" borderId="8" xfId="16" applyBorder="1" applyAlignment="1">
      <alignment horizontal="center" wrapText="1"/>
    </xf>
    <xf numFmtId="0" fontId="3" fillId="5" borderId="2" xfId="6" applyBorder="1" applyProtection="1">
      <protection locked="0"/>
    </xf>
    <xf numFmtId="169" fontId="3" fillId="5" borderId="2" xfId="6" applyNumberFormat="1" applyBorder="1" applyProtection="1">
      <protection locked="0"/>
    </xf>
    <xf numFmtId="169" fontId="5" fillId="5" borderId="2" xfId="6" applyNumberFormat="1" applyFont="1" applyBorder="1" applyProtection="1">
      <protection locked="0"/>
    </xf>
    <xf numFmtId="0" fontId="3" fillId="5" borderId="15" xfId="6" applyBorder="1" applyProtection="1">
      <protection locked="0"/>
    </xf>
    <xf numFmtId="169" fontId="3" fillId="5" borderId="15" xfId="6" applyNumberFormat="1" applyBorder="1" applyProtection="1">
      <protection locked="0"/>
    </xf>
    <xf numFmtId="0" fontId="3" fillId="5" borderId="6" xfId="6" applyBorder="1" applyProtection="1">
      <protection locked="0"/>
    </xf>
    <xf numFmtId="0" fontId="3" fillId="6" borderId="28" xfId="7" applyBorder="1" applyAlignment="1" applyProtection="1">
      <alignment horizontal="center"/>
    </xf>
    <xf numFmtId="0" fontId="3" fillId="6" borderId="12" xfId="7" applyBorder="1" applyAlignment="1" applyProtection="1">
      <alignment horizontal="center"/>
    </xf>
    <xf numFmtId="167" fontId="3" fillId="6" borderId="2" xfId="7" applyNumberFormat="1" applyBorder="1" applyAlignment="1" applyProtection="1">
      <alignment horizontal="center"/>
    </xf>
    <xf numFmtId="0" fontId="13" fillId="16" borderId="62" xfId="17" applyBorder="1" applyAlignment="1">
      <alignment horizontal="center"/>
    </xf>
    <xf numFmtId="0" fontId="0" fillId="7" borderId="14" xfId="8" applyFont="1" applyBorder="1" applyAlignment="1" applyProtection="1">
      <alignment vertical="center"/>
      <protection locked="0"/>
    </xf>
    <xf numFmtId="0" fontId="16" fillId="13" borderId="60" xfId="2" applyFont="1" applyFill="1" applyBorder="1" applyAlignment="1">
      <alignment horizontal="center" vertical="center" wrapText="1"/>
    </xf>
    <xf numFmtId="0" fontId="0" fillId="0" borderId="0" xfId="0" applyAlignment="1">
      <alignment horizontal="left"/>
    </xf>
    <xf numFmtId="0" fontId="16" fillId="13" borderId="12" xfId="2" applyFont="1" applyFill="1" applyBorder="1" applyAlignment="1">
      <alignment horizontal="center" vertical="center" wrapText="1"/>
    </xf>
    <xf numFmtId="0" fontId="16" fillId="21" borderId="12" xfId="2" applyFont="1" applyFill="1" applyBorder="1" applyAlignment="1">
      <alignment horizontal="center" vertical="center" wrapText="1"/>
    </xf>
    <xf numFmtId="0" fontId="16" fillId="15" borderId="12" xfId="2" applyFont="1" applyFill="1" applyBorder="1" applyAlignment="1">
      <alignment horizontal="center" vertical="center" wrapText="1"/>
    </xf>
    <xf numFmtId="0" fontId="16" fillId="20" borderId="12" xfId="2" applyFont="1" applyFill="1" applyBorder="1" applyAlignment="1">
      <alignment horizontal="center" vertical="center" wrapText="1"/>
    </xf>
    <xf numFmtId="0" fontId="13" fillId="16" borderId="60" xfId="17" applyBorder="1" applyAlignment="1">
      <alignment horizontal="center"/>
    </xf>
    <xf numFmtId="0" fontId="13" fillId="16" borderId="37" xfId="17" applyBorder="1" applyAlignment="1"/>
    <xf numFmtId="0" fontId="0" fillId="18" borderId="5" xfId="0" applyFill="1" applyBorder="1" applyAlignment="1">
      <alignment horizontal="left" vertical="center" wrapText="1"/>
    </xf>
    <xf numFmtId="0" fontId="0" fillId="13" borderId="37" xfId="0" applyFill="1" applyBorder="1" applyAlignment="1">
      <alignment horizontal="left" vertical="center" wrapText="1"/>
    </xf>
    <xf numFmtId="0" fontId="0" fillId="19" borderId="5" xfId="0" applyFill="1" applyBorder="1" applyAlignment="1">
      <alignment horizontal="left" vertical="center" wrapText="1"/>
    </xf>
    <xf numFmtId="0" fontId="0" fillId="19" borderId="7" xfId="0" applyFill="1" applyBorder="1" applyAlignment="1">
      <alignment horizontal="left" vertical="center" wrapText="1"/>
    </xf>
    <xf numFmtId="0" fontId="0" fillId="19" borderId="10" xfId="0" applyFill="1" applyBorder="1" applyAlignment="1">
      <alignment horizontal="left" vertical="center" wrapText="1"/>
    </xf>
    <xf numFmtId="0" fontId="0" fillId="21" borderId="5" xfId="0" applyFill="1" applyBorder="1" applyAlignment="1">
      <alignment horizontal="left" vertical="center" wrapText="1"/>
    </xf>
    <xf numFmtId="0" fontId="0" fillId="21" borderId="7" xfId="0" applyFill="1" applyBorder="1" applyAlignment="1">
      <alignment horizontal="left" vertical="center" wrapText="1"/>
    </xf>
    <xf numFmtId="0" fontId="0" fillId="21" borderId="10" xfId="0" applyFill="1" applyBorder="1" applyAlignment="1">
      <alignment horizontal="left" vertical="center" wrapText="1"/>
    </xf>
    <xf numFmtId="0" fontId="0" fillId="15" borderId="5" xfId="0" applyFill="1" applyBorder="1" applyAlignment="1">
      <alignment horizontal="left" vertical="center" wrapText="1"/>
    </xf>
    <xf numFmtId="0" fontId="0" fillId="15" borderId="10" xfId="0" applyFill="1" applyBorder="1" applyAlignment="1">
      <alignment horizontal="left" vertical="center" wrapText="1"/>
    </xf>
    <xf numFmtId="0" fontId="0" fillId="22" borderId="5" xfId="0" applyFill="1" applyBorder="1" applyAlignment="1">
      <alignment horizontal="left" vertical="center" wrapText="1"/>
    </xf>
    <xf numFmtId="0" fontId="0" fillId="22" borderId="55" xfId="0" applyFill="1" applyBorder="1" applyAlignment="1">
      <alignment horizontal="left" vertical="center" wrapText="1"/>
    </xf>
    <xf numFmtId="0" fontId="0" fillId="20" borderId="5" xfId="0" applyFill="1" applyBorder="1" applyAlignment="1">
      <alignment horizontal="left" vertical="center" wrapText="1"/>
    </xf>
    <xf numFmtId="0" fontId="6" fillId="20" borderId="7" xfId="0" applyFont="1" applyFill="1" applyBorder="1" applyAlignment="1">
      <alignment horizontal="left" vertical="center" wrapText="1"/>
    </xf>
    <xf numFmtId="0" fontId="6" fillId="20" borderId="10" xfId="0" applyFont="1" applyFill="1" applyBorder="1" applyAlignment="1">
      <alignment horizontal="left" vertical="center" wrapText="1"/>
    </xf>
    <xf numFmtId="0" fontId="0" fillId="15" borderId="7" xfId="0" applyFill="1" applyBorder="1" applyAlignment="1">
      <alignment horizontal="left" vertical="center" wrapText="1"/>
    </xf>
    <xf numFmtId="0" fontId="0" fillId="22" borderId="10" xfId="0" applyFill="1" applyBorder="1" applyAlignment="1">
      <alignment horizontal="left" vertical="center" wrapText="1"/>
    </xf>
    <xf numFmtId="0" fontId="0" fillId="13" borderId="7" xfId="0" applyFill="1" applyBorder="1" applyAlignment="1">
      <alignment horizontal="left" vertical="center" wrapText="1"/>
    </xf>
    <xf numFmtId="0" fontId="14" fillId="20" borderId="7" xfId="0" applyFont="1" applyFill="1" applyBorder="1" applyAlignment="1">
      <alignment horizontal="left" vertical="center" wrapText="1"/>
    </xf>
    <xf numFmtId="0" fontId="0" fillId="25" borderId="7" xfId="0" applyFill="1" applyBorder="1" applyAlignment="1">
      <alignment horizontal="left" vertical="center" wrapText="1"/>
    </xf>
    <xf numFmtId="0" fontId="0" fillId="25" borderId="7" xfId="0" applyFill="1" applyBorder="1" applyAlignment="1">
      <alignment horizontal="left" vertical="top" wrapText="1"/>
    </xf>
    <xf numFmtId="0" fontId="6" fillId="25" borderId="7" xfId="0" applyFont="1" applyFill="1" applyBorder="1" applyAlignment="1">
      <alignment horizontal="left" vertical="center" wrapText="1"/>
    </xf>
    <xf numFmtId="0" fontId="6" fillId="25" borderId="55" xfId="0" applyFont="1" applyFill="1" applyBorder="1" applyAlignment="1">
      <alignment horizontal="left" vertical="center" wrapText="1"/>
    </xf>
    <xf numFmtId="0" fontId="14" fillId="5" borderId="7" xfId="6" applyFont="1" applyBorder="1" applyProtection="1">
      <protection locked="0"/>
    </xf>
    <xf numFmtId="0" fontId="0" fillId="5" borderId="14" xfId="6" applyFont="1" applyBorder="1" applyProtection="1">
      <protection locked="0"/>
    </xf>
    <xf numFmtId="167" fontId="3" fillId="6" borderId="19" xfId="7" applyNumberFormat="1" applyBorder="1" applyAlignment="1" applyProtection="1">
      <alignment horizontal="center"/>
    </xf>
    <xf numFmtId="167" fontId="3" fillId="6" borderId="20" xfId="7" applyNumberFormat="1" applyBorder="1" applyAlignment="1" applyProtection="1">
      <alignment horizontal="center"/>
    </xf>
    <xf numFmtId="0" fontId="3" fillId="5" borderId="7" xfId="6" applyBorder="1" applyProtection="1">
      <protection locked="0"/>
    </xf>
    <xf numFmtId="0" fontId="5" fillId="5" borderId="7" xfId="6" applyFont="1" applyBorder="1" applyProtection="1">
      <protection locked="0"/>
    </xf>
    <xf numFmtId="0" fontId="3" fillId="5" borderId="8" xfId="6" applyBorder="1" applyProtection="1">
      <protection locked="0"/>
    </xf>
    <xf numFmtId="0" fontId="3" fillId="5" borderId="9" xfId="6" applyBorder="1" applyProtection="1">
      <protection locked="0"/>
    </xf>
    <xf numFmtId="169" fontId="3" fillId="5" borderId="9" xfId="6" applyNumberFormat="1" applyBorder="1" applyProtection="1">
      <protection locked="0"/>
    </xf>
    <xf numFmtId="0" fontId="3" fillId="6" borderId="13" xfId="7" applyBorder="1" applyAlignment="1" applyProtection="1">
      <alignment horizontal="center"/>
    </xf>
    <xf numFmtId="167" fontId="3" fillId="6" borderId="9" xfId="7" applyNumberFormat="1" applyBorder="1" applyAlignment="1" applyProtection="1">
      <alignment horizontal="center"/>
    </xf>
    <xf numFmtId="167" fontId="3" fillId="6" borderId="18" xfId="7" applyNumberFormat="1" applyBorder="1" applyAlignment="1" applyProtection="1">
      <alignment horizontal="center"/>
    </xf>
    <xf numFmtId="0" fontId="3" fillId="5" borderId="10" xfId="6" applyBorder="1" applyProtection="1">
      <protection locked="0"/>
    </xf>
    <xf numFmtId="0" fontId="0" fillId="5" borderId="16" xfId="6" applyFont="1" applyBorder="1" applyProtection="1">
      <protection locked="0"/>
    </xf>
    <xf numFmtId="0" fontId="0" fillId="0" borderId="6" xfId="0" applyBorder="1"/>
    <xf numFmtId="0" fontId="0" fillId="0" borderId="7" xfId="0" applyBorder="1"/>
    <xf numFmtId="0" fontId="0" fillId="0" borderId="8" xfId="0" applyBorder="1"/>
    <xf numFmtId="0" fontId="0" fillId="0" borderId="10" xfId="0" applyBorder="1"/>
    <xf numFmtId="0" fontId="0" fillId="24" borderId="55" xfId="0" applyFill="1" applyBorder="1" applyAlignment="1">
      <alignment horizontal="left" vertical="center" wrapText="1"/>
    </xf>
    <xf numFmtId="0" fontId="37" fillId="26" borderId="73" xfId="0" applyFont="1" applyFill="1" applyBorder="1" applyAlignment="1">
      <alignment horizontal="center"/>
    </xf>
    <xf numFmtId="0" fontId="37" fillId="26" borderId="75" xfId="0" applyFont="1" applyFill="1" applyBorder="1" applyAlignment="1">
      <alignment horizontal="center"/>
    </xf>
    <xf numFmtId="0" fontId="0" fillId="0" borderId="2" xfId="0" applyBorder="1" applyAlignment="1" applyProtection="1">
      <alignment horizontal="left" vertical="top"/>
      <protection locked="0"/>
    </xf>
    <xf numFmtId="0" fontId="0" fillId="0" borderId="2" xfId="0" applyBorder="1" applyAlignment="1" applyProtection="1">
      <alignment horizontal="left" vertical="top" wrapText="1"/>
      <protection locked="0"/>
    </xf>
    <xf numFmtId="0" fontId="0" fillId="0" borderId="2" xfId="0" applyBorder="1" applyAlignment="1" applyProtection="1">
      <alignment vertical="top" wrapText="1"/>
      <protection locked="0"/>
    </xf>
    <xf numFmtId="0" fontId="0" fillId="0" borderId="2" xfId="0" applyBorder="1" applyProtection="1">
      <protection locked="0"/>
    </xf>
    <xf numFmtId="0" fontId="0" fillId="0" borderId="0" xfId="0" applyProtection="1">
      <protection locked="0"/>
    </xf>
    <xf numFmtId="0" fontId="31" fillId="2" borderId="0" xfId="3" applyFont="1" applyBorder="1" applyAlignment="1">
      <alignment vertical="center"/>
    </xf>
    <xf numFmtId="167" fontId="3" fillId="5" borderId="15" xfId="6" applyNumberFormat="1" applyBorder="1" applyAlignment="1" applyProtection="1">
      <alignment horizontal="center"/>
      <protection locked="0"/>
    </xf>
    <xf numFmtId="167" fontId="3" fillId="5" borderId="2" xfId="6" applyNumberFormat="1" applyBorder="1" applyAlignment="1" applyProtection="1">
      <alignment horizontal="center"/>
      <protection locked="0"/>
    </xf>
    <xf numFmtId="167" fontId="0" fillId="5" borderId="2" xfId="6" applyNumberFormat="1" applyFont="1" applyBorder="1" applyAlignment="1" applyProtection="1">
      <alignment horizontal="center"/>
      <protection locked="0"/>
    </xf>
    <xf numFmtId="167" fontId="3" fillId="5" borderId="9" xfId="6" applyNumberFormat="1" applyBorder="1" applyAlignment="1" applyProtection="1">
      <alignment horizontal="center"/>
      <protection locked="0"/>
    </xf>
    <xf numFmtId="0" fontId="16" fillId="18" borderId="63" xfId="2" applyFont="1" applyFill="1" applyBorder="1" applyAlignment="1">
      <alignment horizontal="center" vertical="center" wrapText="1"/>
    </xf>
    <xf numFmtId="3" fontId="15" fillId="3" borderId="14" xfId="4" applyNumberFormat="1" applyFont="1" applyBorder="1" applyAlignment="1" applyProtection="1">
      <alignment horizontal="right" vertical="center"/>
      <protection locked="0"/>
    </xf>
    <xf numFmtId="3" fontId="15" fillId="3" borderId="28" xfId="4" applyNumberFormat="1" applyFont="1" applyBorder="1" applyAlignment="1" applyProtection="1">
      <alignment horizontal="right" vertical="center"/>
      <protection locked="0"/>
    </xf>
    <xf numFmtId="3" fontId="15" fillId="3" borderId="15" xfId="4" applyNumberFormat="1" applyFont="1" applyBorder="1" applyAlignment="1" applyProtection="1">
      <alignment vertical="center"/>
      <protection locked="0"/>
    </xf>
    <xf numFmtId="3" fontId="15" fillId="4" borderId="2" xfId="5" applyNumberFormat="1" applyFont="1" applyBorder="1" applyAlignment="1" applyProtection="1">
      <alignment vertical="center"/>
    </xf>
    <xf numFmtId="3" fontId="7" fillId="4" borderId="2" xfId="5" applyNumberFormat="1" applyFont="1" applyBorder="1" applyAlignment="1" applyProtection="1">
      <alignment vertical="center"/>
    </xf>
    <xf numFmtId="3" fontId="15" fillId="3" borderId="39" xfId="4" applyNumberFormat="1" applyFont="1" applyBorder="1" applyAlignment="1" applyProtection="1">
      <alignment horizontal="right" vertical="center"/>
      <protection locked="0"/>
    </xf>
    <xf numFmtId="3" fontId="15" fillId="3" borderId="44" xfId="4" applyNumberFormat="1" applyFont="1" applyBorder="1" applyAlignment="1" applyProtection="1">
      <alignment horizontal="right" vertical="center"/>
      <protection locked="0"/>
    </xf>
    <xf numFmtId="3" fontId="15" fillId="3" borderId="38" xfId="4" applyNumberFormat="1" applyFont="1" applyBorder="1" applyAlignment="1" applyProtection="1">
      <alignment vertical="center"/>
      <protection locked="0"/>
    </xf>
    <xf numFmtId="0" fontId="6" fillId="0" borderId="0" xfId="0" applyFont="1"/>
    <xf numFmtId="0" fontId="0" fillId="0" borderId="0" xfId="0" applyAlignment="1" applyProtection="1">
      <alignment wrapText="1"/>
      <protection locked="0"/>
    </xf>
    <xf numFmtId="0" fontId="0" fillId="0" borderId="0" xfId="0" applyAlignment="1">
      <alignment wrapText="1"/>
    </xf>
    <xf numFmtId="0" fontId="41" fillId="27" borderId="2" xfId="18" applyFont="1" applyBorder="1" applyAlignment="1" applyProtection="1">
      <alignment horizontal="left" vertical="top"/>
      <protection locked="0"/>
    </xf>
    <xf numFmtId="0" fontId="41" fillId="27" borderId="2" xfId="18" applyFont="1" applyBorder="1" applyAlignment="1" applyProtection="1">
      <alignment horizontal="left" vertical="top" wrapText="1"/>
      <protection locked="0"/>
    </xf>
    <xf numFmtId="166" fontId="3" fillId="14" borderId="6" xfId="16" applyNumberFormat="1" applyBorder="1" applyProtection="1">
      <protection locked="0"/>
    </xf>
    <xf numFmtId="166" fontId="3" fillId="14" borderId="2" xfId="16" applyNumberFormat="1" applyBorder="1" applyProtection="1">
      <protection locked="0"/>
    </xf>
    <xf numFmtId="166" fontId="3" fillId="14" borderId="19" xfId="16" applyNumberFormat="1" applyBorder="1" applyProtection="1">
      <protection locked="0"/>
    </xf>
    <xf numFmtId="0" fontId="3" fillId="7" borderId="7" xfId="8" applyBorder="1" applyProtection="1">
      <protection locked="0"/>
    </xf>
    <xf numFmtId="0" fontId="3" fillId="7" borderId="16" xfId="8" applyBorder="1" applyProtection="1">
      <protection locked="0"/>
    </xf>
    <xf numFmtId="166" fontId="3" fillId="14" borderId="15" xfId="16" applyNumberFormat="1" applyBorder="1" applyProtection="1">
      <protection locked="0"/>
    </xf>
    <xf numFmtId="0" fontId="3" fillId="7" borderId="24" xfId="8" applyBorder="1" applyProtection="1">
      <protection locked="0"/>
    </xf>
    <xf numFmtId="0" fontId="6" fillId="6" borderId="8" xfId="7" applyFont="1" applyBorder="1" applyAlignment="1">
      <alignment horizontal="center" wrapText="1"/>
    </xf>
    <xf numFmtId="0" fontId="6" fillId="6" borderId="9" xfId="7" applyFont="1" applyBorder="1" applyAlignment="1">
      <alignment horizontal="center" wrapText="1"/>
    </xf>
    <xf numFmtId="0" fontId="6" fillId="6" borderId="13" xfId="7" applyFont="1" applyBorder="1" applyAlignment="1" applyProtection="1">
      <alignment horizontal="center" wrapText="1"/>
    </xf>
    <xf numFmtId="0" fontId="6" fillId="6" borderId="9" xfId="7" applyFont="1" applyBorder="1" applyAlignment="1" applyProtection="1">
      <alignment horizontal="center" wrapText="1"/>
    </xf>
    <xf numFmtId="0" fontId="6" fillId="6" borderId="18" xfId="7" applyFont="1" applyBorder="1" applyAlignment="1" applyProtection="1">
      <alignment horizontal="center" wrapText="1"/>
    </xf>
    <xf numFmtId="3" fontId="6" fillId="6" borderId="2" xfId="7" applyNumberFormat="1" applyFont="1" applyBorder="1" applyAlignment="1" applyProtection="1">
      <alignment vertical="center"/>
    </xf>
    <xf numFmtId="0" fontId="3" fillId="8" borderId="15" xfId="9" applyBorder="1" applyAlignment="1" applyProtection="1">
      <alignment horizontal="left" vertical="center" wrapText="1"/>
    </xf>
    <xf numFmtId="0" fontId="3" fillId="8" borderId="19" xfId="9" applyBorder="1" applyAlignment="1" applyProtection="1">
      <alignment horizontal="left" vertical="center" wrapText="1"/>
    </xf>
    <xf numFmtId="0" fontId="3" fillId="8" borderId="2" xfId="9" applyBorder="1" applyAlignment="1" applyProtection="1">
      <alignment horizontal="left" vertical="center" wrapText="1"/>
    </xf>
    <xf numFmtId="0" fontId="3" fillId="8" borderId="20" xfId="9" applyBorder="1" applyAlignment="1" applyProtection="1">
      <alignment horizontal="left" vertical="center" wrapText="1"/>
    </xf>
    <xf numFmtId="0" fontId="6" fillId="8" borderId="36" xfId="9" applyFont="1" applyBorder="1" applyAlignment="1" applyProtection="1">
      <alignment horizontal="center" vertical="center" wrapText="1"/>
    </xf>
    <xf numFmtId="0" fontId="6" fillId="8" borderId="67" xfId="9" applyFont="1" applyBorder="1" applyAlignment="1" applyProtection="1">
      <alignment horizontal="center" vertical="center" wrapText="1"/>
    </xf>
    <xf numFmtId="10" fontId="6" fillId="10" borderId="16" xfId="11" applyNumberFormat="1" applyFont="1" applyBorder="1" applyAlignment="1" applyProtection="1">
      <alignment vertical="center"/>
    </xf>
    <xf numFmtId="10" fontId="6" fillId="10" borderId="7" xfId="11" applyNumberFormat="1" applyFont="1" applyBorder="1" applyAlignment="1" applyProtection="1">
      <alignment vertical="center"/>
    </xf>
    <xf numFmtId="3" fontId="6" fillId="6" borderId="9" xfId="7" applyNumberFormat="1" applyFont="1" applyBorder="1" applyAlignment="1" applyProtection="1">
      <alignment vertical="center"/>
    </xf>
    <xf numFmtId="10" fontId="6" fillId="10" borderId="10" xfId="11" applyNumberFormat="1" applyFont="1" applyBorder="1" applyAlignment="1" applyProtection="1">
      <alignment vertical="center"/>
    </xf>
    <xf numFmtId="0" fontId="3" fillId="8" borderId="9" xfId="9" applyBorder="1" applyAlignment="1" applyProtection="1">
      <alignment horizontal="left" vertical="center" wrapText="1"/>
    </xf>
    <xf numFmtId="0" fontId="3" fillId="8" borderId="18" xfId="9" applyBorder="1" applyAlignment="1" applyProtection="1">
      <alignment horizontal="left" vertical="center" wrapText="1"/>
    </xf>
    <xf numFmtId="0" fontId="0" fillId="7" borderId="8" xfId="8" applyFont="1" applyBorder="1" applyAlignment="1" applyProtection="1">
      <alignment vertical="center"/>
      <protection locked="0"/>
    </xf>
    <xf numFmtId="166" fontId="3" fillId="14" borderId="9" xfId="16" applyNumberFormat="1" applyBorder="1" applyProtection="1">
      <protection locked="0"/>
    </xf>
    <xf numFmtId="166" fontId="3" fillId="14" borderId="41" xfId="16" applyNumberFormat="1" applyBorder="1" applyProtection="1">
      <protection locked="0"/>
    </xf>
    <xf numFmtId="0" fontId="3" fillId="7" borderId="22" xfId="8" applyBorder="1" applyProtection="1">
      <protection locked="0"/>
    </xf>
    <xf numFmtId="0" fontId="3" fillId="7" borderId="10" xfId="8" applyBorder="1" applyProtection="1">
      <protection locked="0"/>
    </xf>
    <xf numFmtId="0" fontId="3" fillId="2" borderId="23" xfId="3" applyBorder="1" applyAlignment="1" applyProtection="1">
      <alignment horizontal="center" vertical="center"/>
      <protection locked="0"/>
    </xf>
    <xf numFmtId="0" fontId="3" fillId="2" borderId="24" xfId="3" applyBorder="1" applyAlignment="1" applyProtection="1">
      <alignment horizontal="center" vertical="center"/>
      <protection locked="0"/>
    </xf>
    <xf numFmtId="0" fontId="3" fillId="2" borderId="22" xfId="3" applyBorder="1" applyAlignment="1" applyProtection="1">
      <alignment horizontal="center" vertical="center"/>
      <protection locked="0"/>
    </xf>
    <xf numFmtId="0" fontId="40" fillId="26" borderId="73" xfId="0" applyFont="1" applyFill="1" applyBorder="1" applyAlignment="1">
      <alignment horizontal="left" vertical="center"/>
    </xf>
    <xf numFmtId="0" fontId="40" fillId="26" borderId="75" xfId="0" applyFont="1" applyFill="1" applyBorder="1" applyAlignment="1">
      <alignment horizontal="left" vertical="center"/>
    </xf>
    <xf numFmtId="0" fontId="6" fillId="6" borderId="41" xfId="7" applyFont="1" applyBorder="1" applyAlignment="1" applyProtection="1">
      <alignment horizontal="center" wrapText="1"/>
    </xf>
    <xf numFmtId="0" fontId="43" fillId="6" borderId="41" xfId="7" applyFont="1" applyBorder="1" applyAlignment="1" applyProtection="1">
      <alignment horizontal="center" wrapText="1"/>
    </xf>
    <xf numFmtId="164" fontId="3" fillId="6" borderId="2" xfId="7" applyNumberFormat="1" applyBorder="1" applyProtection="1"/>
    <xf numFmtId="164" fontId="3" fillId="6" borderId="20" xfId="7" applyNumberFormat="1" applyBorder="1" applyAlignment="1" applyProtection="1">
      <alignment horizontal="center"/>
    </xf>
    <xf numFmtId="3" fontId="6" fillId="6" borderId="2" xfId="7" applyNumberFormat="1" applyFont="1" applyBorder="1" applyAlignment="1" applyProtection="1">
      <alignment horizontal="center" vertical="center" wrapText="1"/>
    </xf>
    <xf numFmtId="3" fontId="6" fillId="6" borderId="15" xfId="7" applyNumberFormat="1" applyFont="1" applyBorder="1" applyAlignment="1" applyProtection="1">
      <alignment horizontal="center" vertical="center" wrapText="1"/>
    </xf>
    <xf numFmtId="0" fontId="14" fillId="3" borderId="7" xfId="4" applyFont="1" applyBorder="1" applyProtection="1">
      <protection locked="0"/>
    </xf>
    <xf numFmtId="0" fontId="3" fillId="8" borderId="15" xfId="9" applyBorder="1" applyAlignment="1" applyProtection="1">
      <alignment vertical="center" wrapText="1"/>
    </xf>
    <xf numFmtId="0" fontId="3" fillId="8" borderId="2" xfId="9" applyBorder="1" applyAlignment="1" applyProtection="1">
      <alignment vertical="center" wrapText="1"/>
    </xf>
    <xf numFmtId="0" fontId="0" fillId="12" borderId="24" xfId="15" applyFont="1" applyBorder="1" applyProtection="1">
      <protection locked="0"/>
    </xf>
    <xf numFmtId="0" fontId="0" fillId="7" borderId="2" xfId="8" applyFont="1" applyBorder="1" applyProtection="1">
      <protection locked="0"/>
    </xf>
    <xf numFmtId="0" fontId="3" fillId="7" borderId="24" xfId="8" applyBorder="1" applyAlignment="1" applyProtection="1">
      <alignment horizontal="left" vertical="center" wrapText="1"/>
      <protection locked="0"/>
    </xf>
    <xf numFmtId="0" fontId="3" fillId="7" borderId="22" xfId="8" applyBorder="1" applyAlignment="1" applyProtection="1">
      <alignment horizontal="left" vertical="center" wrapText="1"/>
      <protection locked="0"/>
    </xf>
    <xf numFmtId="10" fontId="6" fillId="10" borderId="16" xfId="11" applyNumberFormat="1" applyFont="1" applyBorder="1" applyAlignment="1" applyProtection="1">
      <alignment horizontal="center" vertical="center" wrapText="1"/>
    </xf>
    <xf numFmtId="10" fontId="6" fillId="10" borderId="7" xfId="11" applyNumberFormat="1" applyFont="1" applyBorder="1" applyAlignment="1" applyProtection="1">
      <alignment horizontal="center" vertical="center" wrapText="1"/>
    </xf>
    <xf numFmtId="3" fontId="6" fillId="4" borderId="28" xfId="5" applyNumberFormat="1" applyFont="1" applyBorder="1" applyAlignment="1" applyProtection="1">
      <alignment horizontal="center" vertical="center" wrapText="1"/>
    </xf>
    <xf numFmtId="3" fontId="6" fillId="4" borderId="12" xfId="5" applyNumberFormat="1" applyFont="1" applyBorder="1" applyAlignment="1" applyProtection="1">
      <alignment horizontal="center" vertical="center" wrapText="1"/>
    </xf>
    <xf numFmtId="3" fontId="6" fillId="4" borderId="12" xfId="5" applyNumberFormat="1" applyFont="1" applyBorder="1" applyAlignment="1" applyProtection="1">
      <alignment vertical="center"/>
    </xf>
    <xf numFmtId="3" fontId="6" fillId="4" borderId="13" xfId="5" applyNumberFormat="1" applyFont="1" applyBorder="1" applyAlignment="1" applyProtection="1">
      <alignment vertical="center"/>
    </xf>
    <xf numFmtId="0" fontId="6" fillId="2" borderId="16" xfId="3" applyFont="1" applyBorder="1" applyAlignment="1" applyProtection="1">
      <alignment horizontal="center" vertical="center"/>
    </xf>
    <xf numFmtId="0" fontId="6" fillId="2" borderId="7" xfId="3" applyFont="1" applyBorder="1" applyAlignment="1" applyProtection="1">
      <alignment horizontal="center" vertical="center"/>
    </xf>
    <xf numFmtId="0" fontId="6" fillId="2" borderId="10" xfId="3" applyFont="1" applyBorder="1" applyAlignment="1" applyProtection="1">
      <alignment horizontal="center" vertical="center"/>
    </xf>
    <xf numFmtId="3" fontId="15" fillId="6" borderId="2" xfId="7" applyNumberFormat="1" applyFont="1" applyBorder="1" applyAlignment="1" applyProtection="1">
      <alignment vertical="center"/>
    </xf>
    <xf numFmtId="0" fontId="6" fillId="4" borderId="8" xfId="5" applyFont="1" applyBorder="1" applyAlignment="1">
      <alignment horizontal="center" wrapText="1"/>
    </xf>
    <xf numFmtId="0" fontId="6" fillId="4" borderId="9" xfId="5" applyFont="1" applyBorder="1" applyAlignment="1">
      <alignment horizontal="center" wrapText="1"/>
    </xf>
    <xf numFmtId="0" fontId="6" fillId="8" borderId="60" xfId="9" applyFont="1" applyBorder="1" applyAlignment="1" applyProtection="1">
      <alignment horizontal="center" vertical="center" wrapText="1"/>
    </xf>
    <xf numFmtId="0" fontId="3" fillId="8" borderId="80" xfId="9" applyBorder="1" applyAlignment="1" applyProtection="1">
      <alignment vertical="center" wrapText="1"/>
    </xf>
    <xf numFmtId="0" fontId="3" fillId="8" borderId="31" xfId="9" applyBorder="1" applyAlignment="1" applyProtection="1">
      <alignment vertical="center" wrapText="1"/>
    </xf>
    <xf numFmtId="0" fontId="3" fillId="8" borderId="80" xfId="9" applyBorder="1" applyAlignment="1" applyProtection="1">
      <alignment horizontal="left" vertical="center" wrapText="1"/>
    </xf>
    <xf numFmtId="0" fontId="3" fillId="8" borderId="31" xfId="9" applyBorder="1" applyAlignment="1" applyProtection="1">
      <alignment horizontal="left" vertical="center" wrapText="1"/>
    </xf>
    <xf numFmtId="0" fontId="3" fillId="8" borderId="30" xfId="9" applyBorder="1" applyAlignment="1" applyProtection="1">
      <alignment horizontal="left" vertical="center" wrapText="1"/>
    </xf>
    <xf numFmtId="0" fontId="6" fillId="8" borderId="43" xfId="9" applyFont="1" applyBorder="1" applyAlignment="1" applyProtection="1">
      <alignment horizontal="center" vertical="center" wrapText="1"/>
    </xf>
    <xf numFmtId="0" fontId="3" fillId="8" borderId="28" xfId="9" applyBorder="1" applyAlignment="1" applyProtection="1">
      <alignment vertical="center" wrapText="1"/>
    </xf>
    <xf numFmtId="0" fontId="3" fillId="8" borderId="12" xfId="9" applyBorder="1" applyAlignment="1" applyProtection="1">
      <alignment vertical="center" wrapText="1"/>
    </xf>
    <xf numFmtId="0" fontId="3" fillId="8" borderId="28" xfId="9" applyBorder="1" applyAlignment="1" applyProtection="1">
      <alignment horizontal="left" vertical="center" wrapText="1"/>
    </xf>
    <xf numFmtId="0" fontId="3" fillId="8" borderId="12" xfId="9" applyBorder="1" applyAlignment="1" applyProtection="1">
      <alignment horizontal="left" vertical="center" wrapText="1"/>
    </xf>
    <xf numFmtId="0" fontId="3" fillId="8" borderId="13" xfId="9" applyBorder="1" applyAlignment="1" applyProtection="1">
      <alignment horizontal="left" vertical="center" wrapText="1"/>
    </xf>
    <xf numFmtId="0" fontId="6" fillId="8" borderId="62" xfId="9" applyFont="1" applyBorder="1" applyAlignment="1" applyProtection="1">
      <alignment horizontal="center" vertical="center" wrapText="1"/>
    </xf>
    <xf numFmtId="0" fontId="3" fillId="8" borderId="24" xfId="9" applyBorder="1" applyAlignment="1" applyProtection="1">
      <alignment horizontal="left" vertical="center" wrapText="1"/>
    </xf>
    <xf numFmtId="0" fontId="3" fillId="8" borderId="22" xfId="9" applyBorder="1" applyAlignment="1" applyProtection="1">
      <alignment horizontal="left" vertical="center" wrapText="1"/>
    </xf>
    <xf numFmtId="0" fontId="0" fillId="12" borderId="23" xfId="15" applyFont="1" applyBorder="1" applyProtection="1">
      <protection locked="0"/>
    </xf>
    <xf numFmtId="0" fontId="0" fillId="14" borderId="16" xfId="16" applyFont="1" applyBorder="1" applyProtection="1">
      <protection locked="0"/>
    </xf>
    <xf numFmtId="0" fontId="0" fillId="12" borderId="27" xfId="15" applyFont="1" applyBorder="1" applyProtection="1">
      <protection locked="0"/>
    </xf>
    <xf numFmtId="0" fontId="46" fillId="30" borderId="8" xfId="8" applyFont="1" applyFill="1" applyBorder="1" applyAlignment="1" applyProtection="1">
      <alignment vertical="center"/>
      <protection locked="0"/>
    </xf>
    <xf numFmtId="0" fontId="47" fillId="31" borderId="7" xfId="4" applyFont="1" applyFill="1" applyBorder="1" applyProtection="1">
      <protection locked="0"/>
    </xf>
    <xf numFmtId="167" fontId="46" fillId="32" borderId="15" xfId="6" applyNumberFormat="1" applyFont="1" applyFill="1" applyBorder="1" applyAlignment="1" applyProtection="1">
      <alignment horizontal="center"/>
      <protection locked="0"/>
    </xf>
    <xf numFmtId="172" fontId="47" fillId="32" borderId="2" xfId="6" applyNumberFormat="1" applyFont="1" applyFill="1" applyBorder="1" applyProtection="1">
      <protection locked="0"/>
    </xf>
    <xf numFmtId="168" fontId="47" fillId="32" borderId="2" xfId="6" applyNumberFormat="1" applyFont="1" applyFill="1" applyBorder="1" applyProtection="1">
      <protection locked="0"/>
    </xf>
    <xf numFmtId="168" fontId="47" fillId="34" borderId="2" xfId="7" applyNumberFormat="1" applyFont="1" applyFill="1" applyBorder="1" applyProtection="1">
      <protection locked="0"/>
    </xf>
    <xf numFmtId="168" fontId="45" fillId="32" borderId="2" xfId="6" applyNumberFormat="1" applyFont="1" applyFill="1" applyBorder="1" applyProtection="1">
      <protection locked="0"/>
    </xf>
    <xf numFmtId="168" fontId="45" fillId="34" borderId="2" xfId="7" applyNumberFormat="1" applyFont="1" applyFill="1" applyBorder="1" applyProtection="1">
      <protection locked="0"/>
    </xf>
    <xf numFmtId="167" fontId="46" fillId="32" borderId="2" xfId="6" applyNumberFormat="1" applyFont="1" applyFill="1" applyBorder="1" applyAlignment="1" applyProtection="1">
      <alignment horizontal="center"/>
      <protection locked="0"/>
    </xf>
    <xf numFmtId="167" fontId="45" fillId="32" borderId="2" xfId="6" applyNumberFormat="1" applyFont="1" applyFill="1" applyBorder="1" applyAlignment="1" applyProtection="1">
      <alignment horizontal="center"/>
      <protection locked="0"/>
    </xf>
    <xf numFmtId="3" fontId="45" fillId="33" borderId="20" xfId="7" applyNumberFormat="1" applyFont="1" applyFill="1" applyBorder="1" applyAlignment="1" applyProtection="1">
      <alignment horizontal="center"/>
    </xf>
    <xf numFmtId="0" fontId="47" fillId="32" borderId="7" xfId="6" applyFont="1" applyFill="1" applyBorder="1" applyProtection="1">
      <protection locked="0"/>
    </xf>
    <xf numFmtId="173" fontId="45" fillId="35" borderId="6" xfId="16" applyNumberFormat="1" applyFont="1" applyFill="1" applyBorder="1" applyProtection="1">
      <protection locked="0"/>
    </xf>
    <xf numFmtId="166" fontId="45" fillId="35" borderId="2" xfId="16" applyNumberFormat="1" applyFont="1" applyFill="1" applyBorder="1" applyProtection="1">
      <protection locked="0"/>
    </xf>
    <xf numFmtId="166" fontId="45" fillId="35" borderId="19" xfId="16" applyNumberFormat="1" applyFont="1" applyFill="1" applyBorder="1" applyProtection="1">
      <protection locked="0"/>
    </xf>
    <xf numFmtId="0" fontId="46" fillId="35" borderId="7" xfId="16" applyFont="1" applyFill="1" applyBorder="1" applyProtection="1">
      <protection locked="0"/>
    </xf>
    <xf numFmtId="173" fontId="47" fillId="35" borderId="6" xfId="16" applyNumberFormat="1" applyFont="1" applyFill="1" applyBorder="1" applyProtection="1">
      <protection locked="0"/>
    </xf>
    <xf numFmtId="166" fontId="47" fillId="35" borderId="2" xfId="16" applyNumberFormat="1" applyFont="1" applyFill="1" applyBorder="1" applyProtection="1">
      <protection locked="0"/>
    </xf>
    <xf numFmtId="166" fontId="47" fillId="35" borderId="19" xfId="16" applyNumberFormat="1" applyFont="1" applyFill="1" applyBorder="1" applyProtection="1">
      <protection locked="0"/>
    </xf>
    <xf numFmtId="0" fontId="47" fillId="35" borderId="7" xfId="16" applyFont="1" applyFill="1" applyBorder="1" applyProtection="1">
      <protection locked="0"/>
    </xf>
    <xf numFmtId="166" fontId="47" fillId="35" borderId="6" xfId="16" applyNumberFormat="1" applyFont="1" applyFill="1" applyBorder="1" applyProtection="1">
      <protection locked="0"/>
    </xf>
    <xf numFmtId="166" fontId="45" fillId="35" borderId="6" xfId="16" applyNumberFormat="1" applyFont="1" applyFill="1" applyBorder="1" applyProtection="1">
      <protection locked="0"/>
    </xf>
    <xf numFmtId="0" fontId="47" fillId="36" borderId="7" xfId="15" applyFont="1" applyFill="1" applyBorder="1" applyAlignment="1" applyProtection="1">
      <alignment horizontal="left" vertical="center"/>
      <protection locked="0"/>
    </xf>
    <xf numFmtId="171" fontId="47" fillId="36" borderId="2" xfId="15" applyNumberFormat="1" applyFont="1" applyFill="1" applyBorder="1" applyAlignment="1" applyProtection="1">
      <alignment horizontal="center" vertical="center"/>
      <protection locked="0"/>
    </xf>
    <xf numFmtId="1" fontId="47" fillId="36" borderId="2" xfId="15" applyNumberFormat="1" applyFont="1" applyFill="1" applyBorder="1" applyAlignment="1" applyProtection="1">
      <alignment horizontal="center" vertical="center"/>
      <protection locked="0"/>
    </xf>
    <xf numFmtId="167" fontId="47" fillId="36" borderId="20" xfId="15" applyNumberFormat="1" applyFont="1" applyFill="1" applyBorder="1" applyAlignment="1" applyProtection="1">
      <alignment horizontal="center" vertical="center"/>
      <protection locked="0"/>
    </xf>
    <xf numFmtId="0" fontId="46" fillId="30" borderId="6" xfId="8" applyFont="1" applyFill="1" applyBorder="1" applyAlignment="1" applyProtection="1">
      <alignment vertical="center"/>
      <protection locked="0"/>
    </xf>
    <xf numFmtId="0" fontId="45" fillId="35" borderId="19" xfId="16" applyFont="1" applyFill="1" applyBorder="1" applyAlignment="1" applyProtection="1">
      <alignment horizontal="center"/>
      <protection locked="0"/>
    </xf>
    <xf numFmtId="0" fontId="45" fillId="35" borderId="20" xfId="16" applyFont="1" applyFill="1" applyBorder="1" applyAlignment="1" applyProtection="1">
      <alignment horizontal="center"/>
      <protection locked="0"/>
    </xf>
    <xf numFmtId="0" fontId="45" fillId="35" borderId="18" xfId="16" applyFont="1" applyFill="1" applyBorder="1" applyAlignment="1" applyProtection="1">
      <alignment horizontal="center"/>
      <protection locked="0"/>
    </xf>
    <xf numFmtId="167" fontId="3" fillId="5" borderId="2" xfId="6" applyNumberFormat="1" applyBorder="1" applyProtection="1">
      <protection locked="0"/>
    </xf>
    <xf numFmtId="0" fontId="6" fillId="17" borderId="39" xfId="8" applyFont="1" applyFill="1" applyBorder="1" applyAlignment="1" applyProtection="1">
      <alignment vertical="center"/>
    </xf>
    <xf numFmtId="166" fontId="0" fillId="14" borderId="28" xfId="16" applyNumberFormat="1" applyFont="1" applyBorder="1" applyProtection="1">
      <protection locked="0"/>
    </xf>
    <xf numFmtId="0" fontId="7" fillId="5" borderId="6" xfId="6" applyFont="1" applyBorder="1" applyProtection="1">
      <protection locked="0"/>
    </xf>
    <xf numFmtId="167" fontId="7" fillId="5" borderId="2" xfId="6" applyNumberFormat="1" applyFont="1" applyBorder="1" applyProtection="1">
      <protection locked="0"/>
    </xf>
    <xf numFmtId="169" fontId="7" fillId="5" borderId="2" xfId="6" applyNumberFormat="1" applyFont="1" applyBorder="1" applyProtection="1">
      <protection locked="0"/>
    </xf>
    <xf numFmtId="0" fontId="7" fillId="5" borderId="2" xfId="6" applyFont="1" applyBorder="1" applyProtection="1">
      <protection locked="0"/>
    </xf>
    <xf numFmtId="0" fontId="7" fillId="6" borderId="12" xfId="7" applyFont="1" applyBorder="1" applyAlignment="1" applyProtection="1">
      <alignment horizontal="center"/>
    </xf>
    <xf numFmtId="167" fontId="7" fillId="6" borderId="20" xfId="7" applyNumberFormat="1" applyFont="1" applyBorder="1" applyAlignment="1" applyProtection="1">
      <alignment horizontal="center"/>
    </xf>
    <xf numFmtId="167" fontId="7" fillId="5" borderId="2" xfId="6" applyNumberFormat="1" applyFont="1" applyBorder="1" applyAlignment="1" applyProtection="1">
      <alignment horizontal="center"/>
      <protection locked="0"/>
    </xf>
    <xf numFmtId="0" fontId="0" fillId="5" borderId="7" xfId="6" applyFont="1" applyBorder="1" applyProtection="1">
      <protection locked="0"/>
    </xf>
    <xf numFmtId="0" fontId="50" fillId="0" borderId="0" xfId="0" applyFont="1" applyAlignment="1">
      <alignment vertical="center"/>
    </xf>
    <xf numFmtId="0" fontId="50" fillId="37" borderId="0" xfId="0" applyFont="1" applyFill="1" applyAlignment="1">
      <alignment vertical="center"/>
    </xf>
    <xf numFmtId="14" fontId="0" fillId="0" borderId="0" xfId="0" applyNumberFormat="1"/>
    <xf numFmtId="10" fontId="7" fillId="10" borderId="7" xfId="11" applyNumberFormat="1" applyFont="1" applyBorder="1" applyAlignment="1" applyProtection="1">
      <alignment vertical="center"/>
    </xf>
    <xf numFmtId="3" fontId="0" fillId="0" borderId="0" xfId="0" applyNumberFormat="1"/>
    <xf numFmtId="0" fontId="5" fillId="7" borderId="24" xfId="8" applyFont="1" applyBorder="1" applyAlignment="1" applyProtection="1">
      <alignment horizontal="left" vertical="center" wrapText="1"/>
      <protection locked="0"/>
    </xf>
    <xf numFmtId="167" fontId="6" fillId="28" borderId="9" xfId="19" applyNumberFormat="1" applyFont="1" applyBorder="1" applyAlignment="1" applyProtection="1">
      <alignment horizontal="center" wrapText="1"/>
      <protection locked="0"/>
    </xf>
    <xf numFmtId="3" fontId="6" fillId="4" borderId="12" xfId="5" applyNumberFormat="1" applyFont="1" applyBorder="1" applyAlignment="1" applyProtection="1">
      <alignment horizontal="right" vertical="center" wrapText="1"/>
    </xf>
    <xf numFmtId="3" fontId="15" fillId="6" borderId="2" xfId="7" applyNumberFormat="1" applyFont="1" applyBorder="1" applyAlignment="1" applyProtection="1">
      <alignment horizontal="right" vertical="center"/>
    </xf>
    <xf numFmtId="10" fontId="6" fillId="10" borderId="7" xfId="11" applyNumberFormat="1" applyFont="1" applyBorder="1" applyAlignment="1" applyProtection="1">
      <alignment horizontal="right" vertical="center" wrapText="1"/>
    </xf>
    <xf numFmtId="0" fontId="0" fillId="17" borderId="6" xfId="8" applyFont="1" applyFill="1" applyBorder="1" applyAlignment="1" applyProtection="1">
      <alignment horizontal="center" vertical="center" wrapText="1"/>
    </xf>
    <xf numFmtId="3" fontId="6" fillId="4" borderId="28" xfId="5" applyNumberFormat="1" applyFont="1" applyBorder="1"/>
    <xf numFmtId="3" fontId="6" fillId="4" borderId="44" xfId="5" applyNumberFormat="1" applyFont="1" applyBorder="1"/>
    <xf numFmtId="0" fontId="53" fillId="7" borderId="7" xfId="21" applyFill="1" applyBorder="1" applyProtection="1">
      <protection locked="0"/>
    </xf>
    <xf numFmtId="0" fontId="52" fillId="0" borderId="2" xfId="0" applyFont="1" applyBorder="1" applyAlignment="1" applyProtection="1">
      <alignment wrapText="1"/>
      <protection locked="0"/>
    </xf>
    <xf numFmtId="0" fontId="57" fillId="3" borderId="7" xfId="4" applyFont="1" applyBorder="1" applyProtection="1">
      <protection locked="0"/>
    </xf>
    <xf numFmtId="166" fontId="47" fillId="35" borderId="31" xfId="16" applyNumberFormat="1" applyFont="1" applyFill="1" applyBorder="1" applyProtection="1">
      <protection locked="0"/>
    </xf>
    <xf numFmtId="166" fontId="46" fillId="35" borderId="31" xfId="16" applyNumberFormat="1" applyFont="1" applyFill="1" applyBorder="1" applyProtection="1">
      <protection locked="0"/>
    </xf>
    <xf numFmtId="166" fontId="45" fillId="35" borderId="31" xfId="16" applyNumberFormat="1" applyFont="1" applyFill="1" applyBorder="1" applyProtection="1">
      <protection locked="0"/>
    </xf>
    <xf numFmtId="0" fontId="0" fillId="0" borderId="2" xfId="0" applyBorder="1" applyAlignment="1">
      <alignment horizontal="center" vertical="center"/>
    </xf>
    <xf numFmtId="174" fontId="57" fillId="3" borderId="7" xfId="4" applyNumberFormat="1" applyFont="1" applyBorder="1" applyAlignment="1" applyProtection="1">
      <protection locked="0"/>
    </xf>
    <xf numFmtId="0" fontId="31" fillId="2" borderId="2" xfId="3" applyFont="1" applyBorder="1" applyAlignment="1">
      <alignment vertical="center" wrapText="1"/>
    </xf>
    <xf numFmtId="0" fontId="31" fillId="2" borderId="2" xfId="3" quotePrefix="1" applyFont="1" applyBorder="1" applyAlignment="1">
      <alignment vertical="top" wrapText="1"/>
    </xf>
    <xf numFmtId="0" fontId="31" fillId="2" borderId="2" xfId="3" applyFont="1" applyBorder="1" applyAlignment="1">
      <alignment vertical="center"/>
    </xf>
    <xf numFmtId="0" fontId="31" fillId="2" borderId="2" xfId="3" applyFont="1" applyBorder="1" applyAlignment="1">
      <alignment horizontal="left" vertical="center"/>
    </xf>
    <xf numFmtId="0" fontId="31" fillId="2" borderId="2" xfId="3" applyFont="1" applyBorder="1" applyAlignment="1">
      <alignment vertical="top"/>
    </xf>
    <xf numFmtId="0" fontId="31" fillId="2" borderId="2" xfId="3" quotePrefix="1" applyFont="1" applyBorder="1" applyAlignment="1">
      <alignment vertical="center" wrapText="1"/>
    </xf>
    <xf numFmtId="0" fontId="31" fillId="2" borderId="2" xfId="3" quotePrefix="1" applyFont="1" applyBorder="1" applyAlignment="1">
      <alignment vertical="center"/>
    </xf>
    <xf numFmtId="0" fontId="7" fillId="0" borderId="2" xfId="0" applyFont="1" applyBorder="1" applyAlignment="1" applyProtection="1">
      <alignment wrapText="1"/>
      <protection locked="0"/>
    </xf>
    <xf numFmtId="0" fontId="7" fillId="0" borderId="2" xfId="0" applyFont="1" applyBorder="1" applyAlignment="1" applyProtection="1">
      <alignment horizontal="left" wrapText="1"/>
      <protection locked="0"/>
    </xf>
    <xf numFmtId="175" fontId="6" fillId="10" borderId="7" xfId="11" applyNumberFormat="1" applyFont="1" applyBorder="1" applyAlignment="1" applyProtection="1">
      <alignment vertical="center"/>
    </xf>
    <xf numFmtId="3" fontId="7" fillId="4" borderId="28" xfId="5" applyNumberFormat="1" applyFont="1" applyBorder="1"/>
    <xf numFmtId="176" fontId="3" fillId="5" borderId="15" xfId="6" applyNumberFormat="1" applyBorder="1" applyProtection="1">
      <protection locked="0"/>
    </xf>
    <xf numFmtId="176" fontId="3" fillId="5" borderId="2" xfId="6" applyNumberFormat="1" applyBorder="1" applyProtection="1">
      <protection locked="0"/>
    </xf>
    <xf numFmtId="176" fontId="7" fillId="5" borderId="2" xfId="6" applyNumberFormat="1" applyFont="1" applyBorder="1" applyProtection="1">
      <protection locked="0"/>
    </xf>
    <xf numFmtId="176" fontId="14" fillId="5" borderId="2" xfId="6" applyNumberFormat="1" applyFont="1" applyBorder="1" applyProtection="1">
      <protection locked="0"/>
    </xf>
    <xf numFmtId="177" fontId="3" fillId="6" borderId="15" xfId="13" applyNumberFormat="1" applyFill="1" applyBorder="1" applyAlignment="1" applyProtection="1">
      <alignment horizontal="center"/>
    </xf>
    <xf numFmtId="177" fontId="3" fillId="6" borderId="2" xfId="7" applyNumberFormat="1" applyBorder="1" applyAlignment="1" applyProtection="1">
      <alignment horizontal="center"/>
    </xf>
    <xf numFmtId="177" fontId="7" fillId="6" borderId="2" xfId="7" applyNumberFormat="1" applyFont="1" applyBorder="1" applyAlignment="1" applyProtection="1">
      <alignment horizontal="center"/>
    </xf>
    <xf numFmtId="10" fontId="0" fillId="0" borderId="0" xfId="13" applyNumberFormat="1" applyFont="1"/>
    <xf numFmtId="0" fontId="0" fillId="0" borderId="28" xfId="0" applyBorder="1" applyAlignment="1">
      <alignment horizontal="center"/>
    </xf>
    <xf numFmtId="3" fontId="0" fillId="0" borderId="7" xfId="0" applyNumberFormat="1" applyBorder="1"/>
    <xf numFmtId="0" fontId="0" fillId="13" borderId="8" xfId="0" applyFill="1" applyBorder="1" applyAlignment="1">
      <alignment horizontal="left"/>
    </xf>
    <xf numFmtId="0" fontId="0" fillId="13" borderId="10" xfId="0" applyFill="1" applyBorder="1"/>
    <xf numFmtId="0" fontId="61" fillId="39" borderId="6" xfId="23" applyFont="1" applyBorder="1"/>
    <xf numFmtId="177" fontId="0" fillId="0" borderId="7" xfId="13" applyNumberFormat="1" applyFont="1" applyBorder="1"/>
    <xf numFmtId="0" fontId="62" fillId="38" borderId="6" xfId="22" applyFont="1" applyBorder="1"/>
    <xf numFmtId="0" fontId="0" fillId="13" borderId="13" xfId="0" applyFill="1" applyBorder="1"/>
    <xf numFmtId="0" fontId="0" fillId="0" borderId="14" xfId="0" applyBorder="1" applyAlignment="1">
      <alignment horizontal="center"/>
    </xf>
    <xf numFmtId="0" fontId="0" fillId="0" borderId="15" xfId="0" applyBorder="1" applyAlignment="1">
      <alignment horizontal="center"/>
    </xf>
    <xf numFmtId="0" fontId="0" fillId="0" borderId="16" xfId="0" applyBorder="1" applyAlignment="1">
      <alignment horizontal="center"/>
    </xf>
    <xf numFmtId="0" fontId="0" fillId="13" borderId="8" xfId="0" applyFill="1" applyBorder="1"/>
    <xf numFmtId="9" fontId="6" fillId="13" borderId="9" xfId="13" applyFont="1" applyFill="1" applyBorder="1"/>
    <xf numFmtId="0" fontId="0" fillId="0" borderId="19" xfId="0" applyBorder="1" applyAlignment="1">
      <alignment horizontal="center"/>
    </xf>
    <xf numFmtId="3" fontId="0" fillId="0" borderId="12" xfId="0" applyNumberFormat="1" applyBorder="1" applyAlignment="1">
      <alignment horizontal="center"/>
    </xf>
    <xf numFmtId="3" fontId="0" fillId="0" borderId="6" xfId="0" applyNumberFormat="1" applyBorder="1" applyAlignment="1">
      <alignment horizontal="center"/>
    </xf>
    <xf numFmtId="0" fontId="63" fillId="13" borderId="0" xfId="0" applyFont="1" applyFill="1" applyAlignment="1">
      <alignment horizontal="center"/>
    </xf>
    <xf numFmtId="0" fontId="64" fillId="40" borderId="82" xfId="0" applyFont="1" applyFill="1" applyBorder="1" applyAlignment="1">
      <alignment horizontal="left" vertical="top" wrapText="1" indent="1"/>
    </xf>
    <xf numFmtId="0" fontId="64" fillId="40" borderId="83" xfId="0" applyFont="1" applyFill="1" applyBorder="1" applyAlignment="1">
      <alignment horizontal="right" vertical="top" wrapText="1"/>
    </xf>
    <xf numFmtId="1" fontId="64" fillId="40" borderId="83" xfId="0" applyNumberFormat="1" applyFont="1" applyFill="1" applyBorder="1" applyAlignment="1">
      <alignment horizontal="right" vertical="top" wrapText="1"/>
    </xf>
    <xf numFmtId="0" fontId="64" fillId="40" borderId="84" xfId="0" applyFont="1" applyFill="1" applyBorder="1" applyAlignment="1">
      <alignment horizontal="right" vertical="top" wrapText="1"/>
    </xf>
    <xf numFmtId="0" fontId="64" fillId="40" borderId="85" xfId="0" applyFont="1" applyFill="1" applyBorder="1" applyAlignment="1">
      <alignment horizontal="left" vertical="top" wrapText="1" indent="1"/>
    </xf>
    <xf numFmtId="0" fontId="64" fillId="40" borderId="0" xfId="0" applyFont="1" applyFill="1" applyAlignment="1">
      <alignment horizontal="right" vertical="top" wrapText="1"/>
    </xf>
    <xf numFmtId="1" fontId="64" fillId="40" borderId="0" xfId="0" applyNumberFormat="1" applyFont="1" applyFill="1" applyAlignment="1">
      <alignment horizontal="right" vertical="top" wrapText="1"/>
    </xf>
    <xf numFmtId="0" fontId="64" fillId="40" borderId="86" xfId="0" applyFont="1" applyFill="1" applyBorder="1" applyAlignment="1">
      <alignment horizontal="right" vertical="top" wrapText="1"/>
    </xf>
    <xf numFmtId="167" fontId="64" fillId="40" borderId="86" xfId="0" applyNumberFormat="1" applyFont="1" applyFill="1" applyBorder="1" applyAlignment="1">
      <alignment horizontal="right" vertical="top" wrapText="1"/>
    </xf>
    <xf numFmtId="0" fontId="64" fillId="40" borderId="87" xfId="0" applyFont="1" applyFill="1" applyBorder="1" applyAlignment="1">
      <alignment horizontal="left" vertical="top" wrapText="1" indent="1"/>
    </xf>
    <xf numFmtId="0" fontId="64" fillId="40" borderId="88" xfId="0" applyFont="1" applyFill="1" applyBorder="1" applyAlignment="1">
      <alignment horizontal="right" vertical="top" wrapText="1"/>
    </xf>
    <xf numFmtId="1" fontId="64" fillId="40" borderId="88" xfId="0" applyNumberFormat="1" applyFont="1" applyFill="1" applyBorder="1" applyAlignment="1">
      <alignment horizontal="right" vertical="top" wrapText="1"/>
    </xf>
    <xf numFmtId="0" fontId="64" fillId="40" borderId="89" xfId="0" applyFont="1" applyFill="1" applyBorder="1" applyAlignment="1">
      <alignment horizontal="right" vertical="top" wrapText="1"/>
    </xf>
    <xf numFmtId="0" fontId="5" fillId="14" borderId="7" xfId="16" applyFont="1" applyBorder="1" applyProtection="1">
      <protection locked="0"/>
    </xf>
    <xf numFmtId="9" fontId="6" fillId="4" borderId="28" xfId="13" applyFont="1" applyFill="1" applyBorder="1"/>
    <xf numFmtId="10" fontId="0" fillId="0" borderId="0" xfId="0" applyNumberFormat="1"/>
    <xf numFmtId="175" fontId="0" fillId="0" borderId="0" xfId="0" applyNumberFormat="1"/>
    <xf numFmtId="0" fontId="0" fillId="13" borderId="0" xfId="0" applyFill="1"/>
    <xf numFmtId="3" fontId="0" fillId="13" borderId="0" xfId="0" applyNumberFormat="1" applyFill="1"/>
    <xf numFmtId="10" fontId="0" fillId="13" borderId="0" xfId="0" applyNumberFormat="1" applyFill="1"/>
    <xf numFmtId="3" fontId="6" fillId="13" borderId="2" xfId="7" applyNumberFormat="1" applyFont="1" applyFill="1" applyBorder="1" applyAlignment="1" applyProtection="1">
      <alignment vertical="center"/>
    </xf>
    <xf numFmtId="10" fontId="6" fillId="13" borderId="7" xfId="11" applyNumberFormat="1" applyFont="1" applyFill="1" applyBorder="1" applyAlignment="1" applyProtection="1">
      <alignment vertical="center"/>
    </xf>
    <xf numFmtId="0" fontId="31" fillId="2" borderId="0" xfId="3" applyFont="1" applyBorder="1" applyAlignment="1">
      <alignment vertical="center" wrapText="1"/>
    </xf>
    <xf numFmtId="0" fontId="44" fillId="2" borderId="2" xfId="3" applyFont="1" applyBorder="1" applyAlignment="1">
      <alignment vertical="center"/>
    </xf>
    <xf numFmtId="0" fontId="44" fillId="2" borderId="2" xfId="3" applyFont="1" applyBorder="1" applyAlignment="1">
      <alignment vertical="center" wrapText="1"/>
    </xf>
    <xf numFmtId="3" fontId="60" fillId="39" borderId="2" xfId="23" applyNumberFormat="1" applyBorder="1"/>
    <xf numFmtId="3" fontId="60" fillId="39" borderId="12" xfId="23" applyNumberFormat="1" applyBorder="1"/>
    <xf numFmtId="3" fontId="60" fillId="39" borderId="20" xfId="23" applyNumberFormat="1" applyBorder="1"/>
    <xf numFmtId="3" fontId="59" fillId="38" borderId="2" xfId="22" applyNumberFormat="1" applyBorder="1"/>
    <xf numFmtId="3" fontId="59" fillId="38" borderId="12" xfId="22" applyNumberFormat="1" applyBorder="1"/>
    <xf numFmtId="3" fontId="59" fillId="38" borderId="20" xfId="22" applyNumberFormat="1" applyBorder="1"/>
    <xf numFmtId="177" fontId="60" fillId="39" borderId="12" xfId="13" applyNumberFormat="1" applyFont="1" applyFill="1" applyBorder="1"/>
    <xf numFmtId="177" fontId="59" fillId="38" borderId="20" xfId="13" applyNumberFormat="1" applyFont="1" applyFill="1" applyBorder="1"/>
    <xf numFmtId="171" fontId="67" fillId="36" borderId="2" xfId="15" applyNumberFormat="1" applyFont="1" applyFill="1" applyBorder="1" applyAlignment="1" applyProtection="1">
      <alignment horizontal="center" vertical="center"/>
      <protection locked="0"/>
    </xf>
    <xf numFmtId="164" fontId="67" fillId="36" borderId="2" xfId="15" applyNumberFormat="1" applyFont="1" applyFill="1" applyBorder="1" applyAlignment="1" applyProtection="1">
      <alignment horizontal="center" vertical="center"/>
      <protection locked="0"/>
    </xf>
    <xf numFmtId="1" fontId="49" fillId="36" borderId="2" xfId="15" applyNumberFormat="1" applyFont="1" applyFill="1" applyBorder="1" applyAlignment="1" applyProtection="1">
      <alignment horizontal="center" vertical="center"/>
      <protection locked="0"/>
    </xf>
    <xf numFmtId="167" fontId="49" fillId="36" borderId="20" xfId="15" applyNumberFormat="1" applyFont="1" applyFill="1" applyBorder="1" applyAlignment="1" applyProtection="1">
      <alignment horizontal="center" vertical="center"/>
      <protection locked="0"/>
    </xf>
    <xf numFmtId="0" fontId="3" fillId="0" borderId="0" xfId="26"/>
    <xf numFmtId="0" fontId="14" fillId="0" borderId="0" xfId="26" applyFont="1"/>
    <xf numFmtId="0" fontId="74" fillId="0" borderId="60" xfId="28" applyFont="1" applyBorder="1" applyAlignment="1">
      <alignment horizontal="center" vertical="center" wrapText="1"/>
    </xf>
    <xf numFmtId="0" fontId="74" fillId="0" borderId="59" xfId="28" applyFont="1" applyBorder="1" applyAlignment="1">
      <alignment horizontal="center" vertical="center" wrapText="1"/>
    </xf>
    <xf numFmtId="0" fontId="69" fillId="44" borderId="59" xfId="28" applyFont="1" applyFill="1" applyBorder="1" applyAlignment="1">
      <alignment horizontal="center" vertical="center" wrapText="1"/>
    </xf>
    <xf numFmtId="0" fontId="74" fillId="45" borderId="59" xfId="28" applyFont="1" applyFill="1" applyBorder="1" applyAlignment="1">
      <alignment horizontal="center" vertical="center" wrapText="1"/>
    </xf>
    <xf numFmtId="0" fontId="74" fillId="46" borderId="61" xfId="28" applyFont="1" applyFill="1" applyBorder="1" applyAlignment="1">
      <alignment horizontal="center" vertical="center" wrapText="1"/>
    </xf>
    <xf numFmtId="3" fontId="70" fillId="0" borderId="59" xfId="28" applyNumberFormat="1" applyFont="1" applyBorder="1" applyAlignment="1">
      <alignment horizontal="center" vertical="center" wrapText="1"/>
    </xf>
    <xf numFmtId="3" fontId="79" fillId="0" borderId="59" xfId="28" applyNumberFormat="1" applyFont="1" applyBorder="1" applyAlignment="1">
      <alignment horizontal="center" vertical="center" wrapText="1"/>
    </xf>
    <xf numFmtId="0" fontId="80" fillId="38" borderId="37" xfId="22" applyFont="1" applyBorder="1" applyAlignment="1">
      <alignment horizontal="center" vertical="center" wrapText="1"/>
    </xf>
    <xf numFmtId="3" fontId="69" fillId="0" borderId="59" xfId="28" applyNumberFormat="1" applyFont="1" applyBorder="1" applyAlignment="1">
      <alignment horizontal="center" vertical="center" wrapText="1"/>
    </xf>
    <xf numFmtId="3" fontId="74" fillId="0" borderId="59" xfId="28" applyNumberFormat="1" applyFont="1" applyBorder="1" applyAlignment="1">
      <alignment horizontal="center" vertical="center" wrapText="1"/>
    </xf>
    <xf numFmtId="3" fontId="74" fillId="0" borderId="61" xfId="28" applyNumberFormat="1" applyFont="1" applyBorder="1" applyAlignment="1">
      <alignment horizontal="center" vertical="center" wrapText="1"/>
    </xf>
    <xf numFmtId="0" fontId="69" fillId="0" borderId="35" xfId="28" applyFont="1" applyBorder="1" applyAlignment="1">
      <alignment horizontal="center" vertical="center" wrapText="1"/>
    </xf>
    <xf numFmtId="0" fontId="74" fillId="0" borderId="36" xfId="28" applyFont="1" applyBorder="1" applyAlignment="1">
      <alignment horizontal="center" vertical="center" wrapText="1"/>
    </xf>
    <xf numFmtId="176" fontId="74" fillId="47" borderId="36" xfId="28" applyNumberFormat="1" applyFont="1" applyFill="1" applyBorder="1" applyAlignment="1">
      <alignment horizontal="center" vertical="center" wrapText="1"/>
    </xf>
    <xf numFmtId="3" fontId="40" fillId="41" borderId="67" xfId="24" applyNumberFormat="1" applyFont="1" applyBorder="1" applyAlignment="1">
      <alignment horizontal="center" vertical="center" wrapText="1"/>
    </xf>
    <xf numFmtId="3" fontId="6" fillId="42" borderId="62" xfId="25" applyNumberFormat="1" applyFont="1" applyBorder="1" applyAlignment="1">
      <alignment horizontal="center" vertical="center" wrapText="1"/>
    </xf>
    <xf numFmtId="3" fontId="81" fillId="16" borderId="43" xfId="17" applyNumberFormat="1" applyFont="1" applyBorder="1" applyAlignment="1">
      <alignment horizontal="center" vertical="center" wrapText="1"/>
    </xf>
    <xf numFmtId="3" fontId="81" fillId="16" borderId="36" xfId="17" applyNumberFormat="1" applyFont="1" applyBorder="1" applyAlignment="1">
      <alignment horizontal="center" vertical="center" wrapText="1"/>
    </xf>
    <xf numFmtId="3" fontId="82" fillId="16" borderId="36" xfId="17" applyNumberFormat="1" applyFont="1" applyBorder="1" applyAlignment="1">
      <alignment horizontal="center" vertical="center" wrapText="1"/>
    </xf>
    <xf numFmtId="3" fontId="81" fillId="16" borderId="37" xfId="17" applyNumberFormat="1" applyFont="1" applyBorder="1" applyAlignment="1">
      <alignment horizontal="center" vertical="center" wrapText="1"/>
    </xf>
    <xf numFmtId="0" fontId="77" fillId="0" borderId="0" xfId="28" applyAlignment="1">
      <alignment horizontal="left" vertical="center" wrapText="1"/>
    </xf>
    <xf numFmtId="0" fontId="77" fillId="0" borderId="0" xfId="28" applyAlignment="1">
      <alignment horizontal="center"/>
    </xf>
    <xf numFmtId="3" fontId="83" fillId="0" borderId="0" xfId="28" applyNumberFormat="1" applyFont="1" applyAlignment="1">
      <alignment horizontal="left" vertical="center"/>
    </xf>
    <xf numFmtId="0" fontId="77" fillId="0" borderId="0" xfId="28"/>
    <xf numFmtId="0" fontId="77" fillId="0" borderId="57" xfId="28" applyBorder="1"/>
    <xf numFmtId="0" fontId="70" fillId="0" borderId="0" xfId="28" applyFont="1" applyAlignment="1">
      <alignment horizontal="center"/>
    </xf>
    <xf numFmtId="0" fontId="84" fillId="0" borderId="0" xfId="28" applyFont="1" applyAlignment="1">
      <alignment horizontal="center"/>
    </xf>
    <xf numFmtId="0" fontId="71" fillId="0" borderId="91" xfId="28" applyFont="1" applyBorder="1" applyAlignment="1">
      <alignment horizontal="center"/>
    </xf>
    <xf numFmtId="3" fontId="77" fillId="0" borderId="53" xfId="28" applyNumberFormat="1" applyBorder="1" applyAlignment="1">
      <alignment horizontal="right" vertical="center" wrapText="1"/>
    </xf>
    <xf numFmtId="3" fontId="77" fillId="0" borderId="52" xfId="28" applyNumberFormat="1" applyBorder="1" applyAlignment="1">
      <alignment horizontal="right" vertical="center" wrapText="1"/>
    </xf>
    <xf numFmtId="3" fontId="14" fillId="38" borderId="25" xfId="22" applyNumberFormat="1" applyFont="1" applyBorder="1" applyAlignment="1">
      <alignment horizontal="right" wrapText="1"/>
    </xf>
    <xf numFmtId="3" fontId="70" fillId="0" borderId="0" xfId="28" applyNumberFormat="1" applyFont="1" applyAlignment="1">
      <alignment horizontal="center" vertical="center" wrapText="1"/>
    </xf>
    <xf numFmtId="3" fontId="69" fillId="0" borderId="0" xfId="28" applyNumberFormat="1" applyFont="1" applyAlignment="1">
      <alignment horizontal="center" vertical="center" wrapText="1"/>
    </xf>
    <xf numFmtId="9" fontId="0" fillId="0" borderId="0" xfId="27" applyFont="1" applyFill="1" applyBorder="1" applyAlignment="1">
      <alignment horizontal="right" vertical="center" wrapText="1"/>
    </xf>
    <xf numFmtId="3" fontId="77" fillId="0" borderId="0" xfId="28" applyNumberFormat="1" applyAlignment="1">
      <alignment horizontal="right" vertical="center" wrapText="1"/>
    </xf>
    <xf numFmtId="9" fontId="0" fillId="0" borderId="0" xfId="27" applyFont="1" applyBorder="1"/>
    <xf numFmtId="3" fontId="77" fillId="0" borderId="0" xfId="28" applyNumberFormat="1"/>
    <xf numFmtId="9" fontId="0" fillId="0" borderId="91" xfId="27" applyFont="1" applyBorder="1"/>
    <xf numFmtId="0" fontId="70" fillId="0" borderId="57" xfId="28" applyFont="1" applyBorder="1" applyAlignment="1">
      <alignment horizontal="center"/>
    </xf>
    <xf numFmtId="3" fontId="77" fillId="0" borderId="0" xfId="28" applyNumberFormat="1" applyAlignment="1">
      <alignment horizontal="center" vertical="center" wrapText="1"/>
    </xf>
    <xf numFmtId="177" fontId="85" fillId="0" borderId="0" xfId="28" applyNumberFormat="1" applyFont="1"/>
    <xf numFmtId="3" fontId="40" fillId="41" borderId="29" xfId="24" applyNumberFormat="1" applyFont="1" applyBorder="1" applyAlignment="1">
      <alignment horizontal="right" vertical="center" wrapText="1"/>
    </xf>
    <xf numFmtId="0" fontId="77" fillId="25" borderId="0" xfId="28" applyFill="1"/>
    <xf numFmtId="0" fontId="77" fillId="25" borderId="91" xfId="28" applyFill="1" applyBorder="1"/>
    <xf numFmtId="3" fontId="77" fillId="0" borderId="57" xfId="28" applyNumberFormat="1" applyBorder="1" applyAlignment="1">
      <alignment horizontal="right" vertical="center" wrapText="1"/>
    </xf>
    <xf numFmtId="3" fontId="14" fillId="38" borderId="91" xfId="22" applyNumberFormat="1" applyFont="1" applyBorder="1" applyAlignment="1">
      <alignment horizontal="right" wrapText="1"/>
    </xf>
    <xf numFmtId="177" fontId="85" fillId="0" borderId="0" xfId="27" applyNumberFormat="1" applyFont="1" applyBorder="1"/>
    <xf numFmtId="3" fontId="81" fillId="25" borderId="0" xfId="17" applyNumberFormat="1" applyFont="1" applyFill="1" applyBorder="1" applyAlignment="1">
      <alignment horizontal="center" vertical="center" wrapText="1"/>
    </xf>
    <xf numFmtId="3" fontId="82" fillId="25" borderId="0" xfId="17" applyNumberFormat="1" applyFont="1" applyFill="1" applyBorder="1" applyAlignment="1">
      <alignment horizontal="center" vertical="center" wrapText="1"/>
    </xf>
    <xf numFmtId="3" fontId="81" fillId="25" borderId="91" xfId="17" applyNumberFormat="1" applyFont="1" applyFill="1" applyBorder="1" applyAlignment="1">
      <alignment horizontal="center" vertical="center" wrapText="1"/>
    </xf>
    <xf numFmtId="3" fontId="86" fillId="0" borderId="57" xfId="28" applyNumberFormat="1" applyFont="1" applyBorder="1" applyAlignment="1">
      <alignment horizontal="right" wrapText="1"/>
    </xf>
    <xf numFmtId="3" fontId="86" fillId="0" borderId="0" xfId="28" applyNumberFormat="1" applyFont="1" applyAlignment="1">
      <alignment horizontal="right" wrapText="1"/>
    </xf>
    <xf numFmtId="3" fontId="87" fillId="0" borderId="0" xfId="28" applyNumberFormat="1" applyFont="1" applyAlignment="1">
      <alignment horizontal="right" wrapText="1"/>
    </xf>
    <xf numFmtId="9" fontId="70" fillId="0" borderId="0" xfId="27" applyFont="1" applyFill="1" applyBorder="1" applyAlignment="1">
      <alignment horizontal="center"/>
    </xf>
    <xf numFmtId="3" fontId="59" fillId="38" borderId="91" xfId="22" applyNumberFormat="1" applyBorder="1"/>
    <xf numFmtId="3" fontId="70" fillId="0" borderId="0" xfId="27" applyNumberFormat="1" applyFont="1" applyFill="1" applyBorder="1" applyAlignment="1">
      <alignment horizontal="center"/>
    </xf>
    <xf numFmtId="3" fontId="70" fillId="0" borderId="0" xfId="28" applyNumberFormat="1" applyFont="1"/>
    <xf numFmtId="9" fontId="0" fillId="0" borderId="0" xfId="27" applyFont="1" applyFill="1" applyBorder="1"/>
    <xf numFmtId="177" fontId="88" fillId="0" borderId="0" xfId="28" applyNumberFormat="1" applyFont="1"/>
    <xf numFmtId="172" fontId="77" fillId="0" borderId="0" xfId="29" applyNumberFormat="1" applyFont="1" applyBorder="1"/>
    <xf numFmtId="172" fontId="77" fillId="13" borderId="29" xfId="29" applyNumberFormat="1" applyFont="1" applyFill="1" applyBorder="1"/>
    <xf numFmtId="3" fontId="77" fillId="0" borderId="0" xfId="27" applyNumberFormat="1" applyFont="1" applyBorder="1"/>
    <xf numFmtId="3" fontId="69" fillId="0" borderId="0" xfId="27" applyNumberFormat="1" applyFont="1" applyBorder="1"/>
    <xf numFmtId="3" fontId="89" fillId="0" borderId="0" xfId="28" applyNumberFormat="1" applyFont="1"/>
    <xf numFmtId="9" fontId="77" fillId="0" borderId="91" xfId="27" applyFont="1" applyBorder="1"/>
    <xf numFmtId="3" fontId="90" fillId="0" borderId="0" xfId="28" applyNumberFormat="1" applyFont="1" applyAlignment="1">
      <alignment horizontal="left" vertical="center"/>
    </xf>
    <xf numFmtId="0" fontId="70" fillId="13" borderId="57" xfId="28" applyFont="1" applyFill="1" applyBorder="1" applyAlignment="1">
      <alignment horizontal="center"/>
    </xf>
    <xf numFmtId="0" fontId="70" fillId="0" borderId="0" xfId="28" applyFont="1"/>
    <xf numFmtId="177" fontId="79" fillId="0" borderId="0" xfId="28" applyNumberFormat="1" applyFont="1"/>
    <xf numFmtId="177" fontId="79" fillId="0" borderId="0" xfId="27" applyNumberFormat="1" applyFont="1" applyBorder="1"/>
    <xf numFmtId="9" fontId="79" fillId="0" borderId="0" xfId="27" applyFont="1" applyFill="1" applyBorder="1" applyAlignment="1">
      <alignment horizontal="center"/>
    </xf>
    <xf numFmtId="3" fontId="79" fillId="0" borderId="0" xfId="27" applyNumberFormat="1" applyFont="1" applyFill="1" applyBorder="1" applyAlignment="1">
      <alignment horizontal="center"/>
    </xf>
    <xf numFmtId="177" fontId="91" fillId="0" borderId="0" xfId="27" applyNumberFormat="1" applyFont="1" applyBorder="1"/>
    <xf numFmtId="3" fontId="69" fillId="0" borderId="26" xfId="27" applyNumberFormat="1" applyFont="1" applyBorder="1"/>
    <xf numFmtId="3" fontId="69" fillId="0" borderId="29" xfId="27" applyNumberFormat="1" applyFont="1" applyBorder="1"/>
    <xf numFmtId="3" fontId="69" fillId="0" borderId="27" xfId="27" applyNumberFormat="1" applyFont="1" applyBorder="1"/>
    <xf numFmtId="177" fontId="70" fillId="0" borderId="0" xfId="27" applyNumberFormat="1" applyFont="1" applyBorder="1"/>
    <xf numFmtId="0" fontId="79" fillId="0" borderId="0" xfId="28" applyFont="1"/>
    <xf numFmtId="0" fontId="77" fillId="13" borderId="0" xfId="28" applyFill="1"/>
    <xf numFmtId="177" fontId="79" fillId="13" borderId="0" xfId="27" applyNumberFormat="1" applyFont="1" applyFill="1" applyBorder="1"/>
    <xf numFmtId="0" fontId="79" fillId="13" borderId="0" xfId="28" applyFont="1" applyFill="1"/>
    <xf numFmtId="177" fontId="92" fillId="0" borderId="0" xfId="28" applyNumberFormat="1" applyFont="1"/>
    <xf numFmtId="172" fontId="92" fillId="0" borderId="0" xfId="29" applyNumberFormat="1" applyFont="1" applyBorder="1"/>
    <xf numFmtId="177" fontId="92" fillId="0" borderId="0" xfId="27" applyNumberFormat="1" applyFont="1" applyBorder="1"/>
    <xf numFmtId="0" fontId="72" fillId="0" borderId="0" xfId="28" applyFont="1"/>
    <xf numFmtId="0" fontId="72" fillId="0" borderId="0" xfId="28" quotePrefix="1" applyFont="1"/>
    <xf numFmtId="0" fontId="93" fillId="0" borderId="0" xfId="28" applyFont="1"/>
    <xf numFmtId="9" fontId="79" fillId="24" borderId="0" xfId="27" applyFont="1" applyFill="1" applyBorder="1"/>
    <xf numFmtId="9" fontId="79" fillId="0" borderId="91" xfId="27" applyFont="1" applyBorder="1"/>
    <xf numFmtId="0" fontId="77" fillId="0" borderId="0" xfId="28" applyAlignment="1">
      <alignment horizontal="left" vertical="center"/>
    </xf>
    <xf numFmtId="0" fontId="94" fillId="0" borderId="0" xfId="28" applyFont="1"/>
    <xf numFmtId="174" fontId="0" fillId="0" borderId="0" xfId="29" applyNumberFormat="1" applyFont="1" applyAlignment="1">
      <alignment horizontal="left"/>
    </xf>
    <xf numFmtId="174" fontId="95" fillId="0" borderId="0" xfId="29" applyNumberFormat="1" applyFont="1" applyAlignment="1">
      <alignment horizontal="left"/>
    </xf>
    <xf numFmtId="9" fontId="89" fillId="0" borderId="0" xfId="27" applyFont="1" applyBorder="1"/>
    <xf numFmtId="0" fontId="77" fillId="0" borderId="58" xfId="28" applyBorder="1"/>
    <xf numFmtId="0" fontId="77" fillId="0" borderId="92" xfId="28" applyBorder="1" applyAlignment="1">
      <alignment horizontal="center"/>
    </xf>
    <xf numFmtId="0" fontId="84" fillId="0" borderId="92" xfId="28" applyFont="1" applyBorder="1" applyAlignment="1">
      <alignment horizontal="center"/>
    </xf>
    <xf numFmtId="0" fontId="71" fillId="0" borderId="93" xfId="28" applyFont="1" applyBorder="1" applyAlignment="1">
      <alignment horizontal="center"/>
    </xf>
    <xf numFmtId="3" fontId="86" fillId="0" borderId="92" xfId="28" applyNumberFormat="1" applyFont="1" applyBorder="1" applyAlignment="1">
      <alignment horizontal="right" wrapText="1"/>
    </xf>
    <xf numFmtId="9" fontId="70" fillId="0" borderId="92" xfId="27" applyFont="1" applyFill="1" applyBorder="1" applyAlignment="1">
      <alignment horizontal="center"/>
    </xf>
    <xf numFmtId="3" fontId="70" fillId="0" borderId="92" xfId="27" applyNumberFormat="1" applyFont="1" applyFill="1" applyBorder="1" applyAlignment="1">
      <alignment horizontal="center"/>
    </xf>
    <xf numFmtId="9" fontId="0" fillId="0" borderId="92" xfId="27" applyFont="1" applyFill="1" applyBorder="1" applyAlignment="1">
      <alignment horizontal="right" vertical="center" wrapText="1"/>
    </xf>
    <xf numFmtId="3" fontId="70" fillId="0" borderId="92" xfId="28" applyNumberFormat="1" applyFont="1" applyBorder="1"/>
    <xf numFmtId="9" fontId="89" fillId="0" borderId="92" xfId="27" applyFont="1" applyBorder="1"/>
    <xf numFmtId="3" fontId="89" fillId="0" borderId="92" xfId="28" applyNumberFormat="1" applyFont="1" applyBorder="1"/>
    <xf numFmtId="9" fontId="79" fillId="0" borderId="93" xfId="27" applyFont="1" applyBorder="1"/>
    <xf numFmtId="0" fontId="70" fillId="0" borderId="58" xfId="28" applyFont="1" applyBorder="1" applyAlignment="1">
      <alignment horizontal="center"/>
    </xf>
    <xf numFmtId="3" fontId="77" fillId="0" borderId="92" xfId="28" applyNumberFormat="1" applyBorder="1" applyAlignment="1">
      <alignment horizontal="center" vertical="center" wrapText="1"/>
    </xf>
    <xf numFmtId="172" fontId="77" fillId="0" borderId="92" xfId="29" applyNumberFormat="1" applyFont="1" applyBorder="1"/>
    <xf numFmtId="3" fontId="77" fillId="0" borderId="92" xfId="27" applyNumberFormat="1" applyFont="1" applyBorder="1"/>
    <xf numFmtId="3" fontId="77" fillId="0" borderId="92" xfId="28" applyNumberFormat="1" applyBorder="1"/>
    <xf numFmtId="3" fontId="89" fillId="0" borderId="93" xfId="28" applyNumberFormat="1" applyFont="1" applyBorder="1"/>
    <xf numFmtId="176" fontId="77" fillId="0" borderId="0" xfId="28" applyNumberFormat="1"/>
    <xf numFmtId="0" fontId="74" fillId="0" borderId="0" xfId="28" applyFont="1"/>
    <xf numFmtId="3" fontId="79" fillId="0" borderId="0" xfId="28" applyNumberFormat="1" applyFont="1"/>
    <xf numFmtId="3" fontId="74" fillId="0" borderId="0" xfId="28" applyNumberFormat="1" applyFont="1"/>
    <xf numFmtId="4" fontId="89" fillId="0" borderId="0" xfId="28" applyNumberFormat="1" applyFont="1"/>
    <xf numFmtId="0" fontId="77" fillId="13" borderId="14" xfId="28" applyFill="1" applyBorder="1" applyAlignment="1">
      <alignment horizontal="center"/>
    </xf>
    <xf numFmtId="0" fontId="77" fillId="13" borderId="16" xfId="28" applyFill="1" applyBorder="1" applyAlignment="1">
      <alignment horizontal="center"/>
    </xf>
    <xf numFmtId="3" fontId="14" fillId="38" borderId="6" xfId="22" applyNumberFormat="1" applyFont="1" applyBorder="1" applyAlignment="1">
      <alignment horizontal="right" wrapText="1"/>
    </xf>
    <xf numFmtId="177" fontId="0" fillId="0" borderId="7" xfId="27" applyNumberFormat="1" applyFont="1" applyBorder="1"/>
    <xf numFmtId="3" fontId="14" fillId="38" borderId="8" xfId="22" applyNumberFormat="1" applyFont="1" applyBorder="1" applyAlignment="1">
      <alignment horizontal="right" wrapText="1"/>
    </xf>
    <xf numFmtId="177" fontId="0" fillId="0" borderId="10" xfId="27" applyNumberFormat="1" applyFont="1" applyBorder="1"/>
    <xf numFmtId="3" fontId="5" fillId="38" borderId="8" xfId="22" applyNumberFormat="1" applyFont="1" applyBorder="1" applyAlignment="1">
      <alignment horizontal="right" wrapText="1"/>
    </xf>
    <xf numFmtId="0" fontId="0" fillId="0" borderId="0" xfId="0" pivotButton="1"/>
    <xf numFmtId="0" fontId="0" fillId="0" borderId="0" xfId="0" pivotButton="1" applyAlignment="1">
      <alignment horizontal="center"/>
    </xf>
    <xf numFmtId="0" fontId="57" fillId="0" borderId="0" xfId="0" pivotButton="1" applyFont="1" applyAlignment="1">
      <alignment horizontal="center" wrapText="1"/>
    </xf>
    <xf numFmtId="0" fontId="5" fillId="0" borderId="0" xfId="0" applyFont="1" applyAlignment="1">
      <alignment horizontal="center"/>
    </xf>
    <xf numFmtId="0" fontId="0" fillId="0" borderId="0" xfId="0" applyAlignment="1">
      <alignment horizontal="center"/>
    </xf>
    <xf numFmtId="0" fontId="0" fillId="0" borderId="0" xfId="0" pivotButton="1" applyAlignment="1">
      <alignment horizontal="center" wrapText="1"/>
    </xf>
    <xf numFmtId="3" fontId="0" fillId="0" borderId="2" xfId="0" applyNumberFormat="1" applyBorder="1" applyAlignment="1">
      <alignment horizontal="right" vertical="center"/>
    </xf>
    <xf numFmtId="172" fontId="0" fillId="0" borderId="2" xfId="0" applyNumberFormat="1" applyBorder="1"/>
    <xf numFmtId="0" fontId="57" fillId="0" borderId="2" xfId="0" pivotButton="1" applyFont="1" applyBorder="1" applyAlignment="1">
      <alignment horizontal="center"/>
    </xf>
    <xf numFmtId="0" fontId="0" fillId="0" borderId="2" xfId="0" applyBorder="1" applyAlignment="1">
      <alignment horizontal="center"/>
    </xf>
    <xf numFmtId="172" fontId="59" fillId="38" borderId="2" xfId="0" applyNumberFormat="1" applyFont="1" applyFill="1" applyBorder="1"/>
    <xf numFmtId="0" fontId="98" fillId="2" borderId="2" xfId="3" applyFont="1" applyBorder="1" applyAlignment="1">
      <alignment vertical="center" wrapText="1"/>
    </xf>
    <xf numFmtId="0" fontId="3" fillId="8" borderId="31" xfId="9" applyBorder="1" applyAlignment="1" applyProtection="1">
      <alignment horizontal="left" vertical="top" wrapText="1"/>
    </xf>
    <xf numFmtId="0" fontId="3" fillId="8" borderId="24" xfId="9" applyBorder="1" applyAlignment="1" applyProtection="1">
      <alignment horizontal="left" vertical="top" wrapText="1"/>
    </xf>
    <xf numFmtId="0" fontId="3" fillId="8" borderId="12" xfId="9" applyBorder="1" applyAlignment="1" applyProtection="1">
      <alignment horizontal="left" vertical="top" wrapText="1"/>
    </xf>
    <xf numFmtId="0" fontId="3" fillId="8" borderId="2" xfId="9" applyBorder="1" applyAlignment="1" applyProtection="1">
      <alignment horizontal="left" vertical="top" wrapText="1"/>
    </xf>
    <xf numFmtId="0" fontId="57" fillId="7" borderId="24" xfId="8" applyFont="1" applyBorder="1" applyAlignment="1" applyProtection="1">
      <alignment horizontal="left" vertical="top" wrapText="1"/>
      <protection locked="0"/>
    </xf>
    <xf numFmtId="0" fontId="34" fillId="2" borderId="0" xfId="3" applyFont="1" applyBorder="1" applyAlignment="1">
      <alignment vertical="center" wrapText="1"/>
    </xf>
    <xf numFmtId="3" fontId="101" fillId="8" borderId="2" xfId="9" applyNumberFormat="1" applyFont="1" applyBorder="1" applyAlignment="1" applyProtection="1">
      <alignment vertical="center"/>
    </xf>
    <xf numFmtId="0" fontId="102" fillId="0" borderId="0" xfId="0" applyFont="1"/>
    <xf numFmtId="3" fontId="7" fillId="19" borderId="14" xfId="4" applyNumberFormat="1" applyFont="1" applyFill="1" applyBorder="1" applyAlignment="1" applyProtection="1">
      <alignment horizontal="right" vertical="center"/>
      <protection locked="0"/>
    </xf>
    <xf numFmtId="3" fontId="15" fillId="19" borderId="14" xfId="4" applyNumberFormat="1" applyFont="1" applyFill="1" applyBorder="1" applyAlignment="1" applyProtection="1">
      <alignment horizontal="right" vertical="center"/>
      <protection locked="0"/>
    </xf>
    <xf numFmtId="0" fontId="3" fillId="49" borderId="31" xfId="15" applyFill="1" applyBorder="1" applyProtection="1">
      <protection locked="0"/>
    </xf>
    <xf numFmtId="0" fontId="0" fillId="49" borderId="31" xfId="15" applyFont="1" applyFill="1" applyBorder="1" applyProtection="1">
      <protection locked="0"/>
    </xf>
    <xf numFmtId="0" fontId="3" fillId="49" borderId="30" xfId="15" applyFill="1" applyBorder="1" applyProtection="1">
      <protection locked="0"/>
    </xf>
    <xf numFmtId="0" fontId="103" fillId="48" borderId="95" xfId="30" applyAlignment="1">
      <alignment horizontal="centerContinuous"/>
    </xf>
    <xf numFmtId="0" fontId="103" fillId="48" borderId="95" xfId="30" applyAlignment="1"/>
    <xf numFmtId="10" fontId="103" fillId="48" borderId="95" xfId="30" applyNumberFormat="1" applyAlignment="1"/>
    <xf numFmtId="0" fontId="6" fillId="48" borderId="95" xfId="30" applyFont="1" applyAlignment="1"/>
    <xf numFmtId="2" fontId="103" fillId="48" borderId="95" xfId="30" applyNumberFormat="1" applyAlignment="1"/>
    <xf numFmtId="0" fontId="46" fillId="36" borderId="7" xfId="15" applyFont="1" applyFill="1" applyBorder="1" applyAlignment="1" applyProtection="1">
      <alignment horizontal="left" vertical="center"/>
      <protection locked="0"/>
    </xf>
    <xf numFmtId="0" fontId="5" fillId="49" borderId="31" xfId="15" applyFont="1" applyFill="1" applyBorder="1" applyProtection="1">
      <protection locked="0"/>
    </xf>
    <xf numFmtId="178" fontId="5" fillId="19" borderId="2" xfId="0" applyNumberFormat="1" applyFont="1" applyFill="1" applyBorder="1"/>
    <xf numFmtId="178" fontId="14" fillId="19" borderId="2" xfId="0" applyNumberFormat="1" applyFont="1" applyFill="1" applyBorder="1"/>
    <xf numFmtId="0" fontId="0" fillId="0" borderId="2" xfId="0" applyBorder="1" applyAlignment="1" applyProtection="1">
      <alignment wrapText="1"/>
      <protection locked="0"/>
    </xf>
    <xf numFmtId="0" fontId="104" fillId="0" borderId="2" xfId="0" applyFont="1" applyBorder="1" applyProtection="1">
      <protection locked="0"/>
    </xf>
    <xf numFmtId="0" fontId="105" fillId="0" borderId="2" xfId="0" applyFont="1" applyBorder="1" applyProtection="1">
      <protection locked="0"/>
    </xf>
    <xf numFmtId="0" fontId="14" fillId="0" borderId="2" xfId="0" applyFont="1" applyBorder="1" applyAlignment="1" applyProtection="1">
      <alignment vertical="top" wrapText="1"/>
      <protection locked="0"/>
    </xf>
    <xf numFmtId="0" fontId="5" fillId="3" borderId="7" xfId="4" applyFont="1" applyBorder="1" applyProtection="1">
      <protection locked="0"/>
    </xf>
    <xf numFmtId="0" fontId="5" fillId="12" borderId="23" xfId="15" applyFont="1" applyBorder="1" applyProtection="1">
      <protection locked="0"/>
    </xf>
    <xf numFmtId="0" fontId="5" fillId="0" borderId="0" xfId="0" applyFont="1"/>
    <xf numFmtId="3" fontId="0" fillId="0" borderId="2" xfId="0" applyNumberFormat="1" applyBorder="1"/>
    <xf numFmtId="3" fontId="0" fillId="0" borderId="15" xfId="0" applyNumberFormat="1" applyBorder="1"/>
    <xf numFmtId="0" fontId="0" fillId="0" borderId="59" xfId="0" applyBorder="1"/>
    <xf numFmtId="0" fontId="0" fillId="0" borderId="10" xfId="0" applyBorder="1" applyAlignment="1">
      <alignment horizontal="center"/>
    </xf>
    <xf numFmtId="0" fontId="0" fillId="0" borderId="60" xfId="0" applyBorder="1"/>
    <xf numFmtId="0" fontId="0" fillId="0" borderId="9" xfId="0" applyBorder="1" applyAlignment="1">
      <alignment horizontal="center"/>
    </xf>
    <xf numFmtId="0" fontId="8" fillId="0" borderId="2" xfId="0" applyFont="1" applyBorder="1"/>
    <xf numFmtId="0" fontId="8" fillId="0" borderId="0" xfId="0" applyFont="1"/>
    <xf numFmtId="3" fontId="107" fillId="0" borderId="2" xfId="0" applyNumberFormat="1" applyFont="1" applyBorder="1" applyAlignment="1">
      <alignment horizontal="right" vertical="center"/>
    </xf>
    <xf numFmtId="3" fontId="0" fillId="0" borderId="2" xfId="0" applyNumberFormat="1" applyBorder="1" applyAlignment="1">
      <alignment horizontal="right" vertical="center" wrapText="1"/>
    </xf>
    <xf numFmtId="3" fontId="0" fillId="0" borderId="0" xfId="0" applyNumberFormat="1" applyAlignment="1">
      <alignment horizontal="right" vertical="center" wrapText="1"/>
    </xf>
    <xf numFmtId="3" fontId="108" fillId="19" borderId="14" xfId="4" applyNumberFormat="1" applyFont="1" applyFill="1" applyBorder="1" applyAlignment="1" applyProtection="1">
      <alignment horizontal="right" vertical="center"/>
      <protection locked="0"/>
    </xf>
    <xf numFmtId="170" fontId="0" fillId="0" borderId="0" xfId="1" applyNumberFormat="1" applyFont="1"/>
    <xf numFmtId="0" fontId="6" fillId="4" borderId="36" xfId="5" applyFont="1" applyBorder="1" applyAlignment="1">
      <alignment horizontal="center" wrapText="1"/>
    </xf>
    <xf numFmtId="167" fontId="6" fillId="28" borderId="36" xfId="19" applyNumberFormat="1" applyFont="1" applyBorder="1" applyAlignment="1" applyProtection="1">
      <alignment horizontal="center" wrapText="1"/>
      <protection locked="0"/>
    </xf>
    <xf numFmtId="177" fontId="0" fillId="0" borderId="7" xfId="0" applyNumberFormat="1" applyBorder="1"/>
    <xf numFmtId="177" fontId="0" fillId="0" borderId="10" xfId="0" applyNumberFormat="1" applyBorder="1"/>
    <xf numFmtId="3" fontId="0" fillId="0" borderId="9" xfId="0" applyNumberFormat="1" applyBorder="1"/>
    <xf numFmtId="3" fontId="0" fillId="0" borderId="10" xfId="0" applyNumberFormat="1" applyBorder="1"/>
    <xf numFmtId="0" fontId="0" fillId="0" borderId="14" xfId="0" applyBorder="1"/>
    <xf numFmtId="3" fontId="0" fillId="0" borderId="16" xfId="0" applyNumberFormat="1" applyBorder="1"/>
    <xf numFmtId="177" fontId="0" fillId="0" borderId="16" xfId="0" applyNumberFormat="1" applyBorder="1"/>
    <xf numFmtId="0" fontId="0" fillId="13" borderId="35" xfId="0" applyFill="1" applyBorder="1" applyAlignment="1">
      <alignment horizontal="center"/>
    </xf>
    <xf numFmtId="0" fontId="6" fillId="4" borderId="37" xfId="5" applyFont="1" applyBorder="1" applyAlignment="1">
      <alignment horizontal="center" wrapText="1"/>
    </xf>
    <xf numFmtId="0" fontId="6" fillId="4" borderId="43" xfId="5" applyFont="1" applyBorder="1" applyAlignment="1">
      <alignment horizontal="center" wrapText="1"/>
    </xf>
    <xf numFmtId="170" fontId="0" fillId="0" borderId="2" xfId="1" applyNumberFormat="1" applyFont="1" applyBorder="1"/>
    <xf numFmtId="3" fontId="6" fillId="4" borderId="2" xfId="5" applyNumberFormat="1" applyFont="1" applyBorder="1"/>
    <xf numFmtId="170" fontId="0" fillId="0" borderId="2" xfId="0" applyNumberFormat="1" applyBorder="1"/>
    <xf numFmtId="3" fontId="7" fillId="4" borderId="2" xfId="5" applyNumberFormat="1" applyFont="1" applyBorder="1"/>
    <xf numFmtId="9" fontId="0" fillId="0" borderId="7" xfId="13" applyFont="1" applyBorder="1"/>
    <xf numFmtId="3" fontId="7" fillId="4" borderId="9" xfId="5" applyNumberFormat="1" applyFont="1" applyBorder="1"/>
    <xf numFmtId="170" fontId="0" fillId="0" borderId="9" xfId="0" applyNumberFormat="1" applyBorder="1"/>
    <xf numFmtId="170" fontId="0" fillId="0" borderId="15" xfId="1" applyNumberFormat="1" applyFont="1" applyBorder="1"/>
    <xf numFmtId="3" fontId="6" fillId="4" borderId="15" xfId="5" applyNumberFormat="1" applyFont="1" applyBorder="1"/>
    <xf numFmtId="170" fontId="0" fillId="0" borderId="15" xfId="0" applyNumberFormat="1" applyBorder="1"/>
    <xf numFmtId="9" fontId="0" fillId="0" borderId="16" xfId="13" applyFont="1" applyBorder="1"/>
    <xf numFmtId="0" fontId="0" fillId="13" borderId="36" xfId="0" applyFill="1" applyBorder="1" applyAlignment="1">
      <alignment horizontal="center"/>
    </xf>
    <xf numFmtId="0" fontId="0" fillId="13" borderId="37" xfId="0" applyFill="1" applyBorder="1" applyAlignment="1">
      <alignment horizontal="center"/>
    </xf>
    <xf numFmtId="177" fontId="5" fillId="0" borderId="28" xfId="13" applyNumberFormat="1" applyFont="1" applyBorder="1"/>
    <xf numFmtId="177" fontId="5" fillId="0" borderId="15" xfId="13" applyNumberFormat="1" applyFont="1" applyBorder="1"/>
    <xf numFmtId="177" fontId="5" fillId="0" borderId="12" xfId="13" applyNumberFormat="1" applyFont="1" applyBorder="1"/>
    <xf numFmtId="177" fontId="5" fillId="0" borderId="2" xfId="13" applyNumberFormat="1" applyFont="1" applyBorder="1"/>
    <xf numFmtId="177" fontId="5" fillId="0" borderId="13" xfId="13" applyNumberFormat="1" applyFont="1" applyBorder="1"/>
    <xf numFmtId="177" fontId="5" fillId="0" borderId="9" xfId="13" applyNumberFormat="1" applyFont="1" applyBorder="1"/>
    <xf numFmtId="0" fontId="109" fillId="2" borderId="2" xfId="3" applyFont="1" applyBorder="1" applyAlignment="1">
      <alignment vertical="center" wrapText="1"/>
    </xf>
    <xf numFmtId="3" fontId="7" fillId="13" borderId="2" xfId="0" applyNumberFormat="1" applyFont="1" applyFill="1" applyBorder="1" applyAlignment="1">
      <alignment horizontal="right" vertical="center"/>
    </xf>
    <xf numFmtId="0" fontId="0" fillId="0" borderId="15" xfId="0" applyBorder="1" applyAlignment="1">
      <alignment vertical="center" wrapText="1"/>
    </xf>
    <xf numFmtId="0" fontId="0" fillId="0" borderId="2" xfId="0" applyBorder="1" applyAlignment="1">
      <alignment vertical="center" wrapText="1"/>
    </xf>
    <xf numFmtId="170" fontId="0" fillId="0" borderId="2" xfId="1" applyNumberFormat="1" applyFont="1" applyFill="1" applyBorder="1" applyAlignment="1">
      <alignment horizontal="right" vertical="center"/>
    </xf>
    <xf numFmtId="3" fontId="7" fillId="13" borderId="2" xfId="0" applyNumberFormat="1" applyFont="1" applyFill="1" applyBorder="1" applyAlignment="1">
      <alignment horizontal="right" vertical="center" wrapText="1"/>
    </xf>
    <xf numFmtId="0" fontId="7" fillId="13" borderId="2" xfId="0" applyFont="1" applyFill="1" applyBorder="1" applyAlignment="1">
      <alignment vertical="center" wrapText="1"/>
    </xf>
    <xf numFmtId="3" fontId="0" fillId="0" borderId="46" xfId="0" applyNumberFormat="1" applyBorder="1" applyAlignment="1">
      <alignment vertical="center" wrapText="1"/>
    </xf>
    <xf numFmtId="0" fontId="0" fillId="0" borderId="15" xfId="0" applyBorder="1" applyAlignment="1">
      <alignment horizontal="left" vertical="center" wrapText="1"/>
    </xf>
    <xf numFmtId="0" fontId="6" fillId="0" borderId="35" xfId="0" applyFont="1" applyBorder="1" applyAlignment="1">
      <alignment horizontal="center" vertical="center" wrapText="1"/>
    </xf>
    <xf numFmtId="0" fontId="6" fillId="0" borderId="36" xfId="0" applyFont="1" applyBorder="1" applyAlignment="1">
      <alignment horizontal="center" vertical="center" wrapText="1"/>
    </xf>
    <xf numFmtId="0" fontId="6" fillId="0" borderId="37" xfId="0" applyFont="1" applyBorder="1" applyAlignment="1">
      <alignment horizontal="center" vertical="center" wrapText="1"/>
    </xf>
    <xf numFmtId="0" fontId="0" fillId="0" borderId="45" xfId="0" applyBorder="1" applyAlignment="1">
      <alignment horizontal="center" vertical="center" wrapText="1"/>
    </xf>
    <xf numFmtId="0" fontId="0" fillId="0" borderId="14" xfId="0" applyBorder="1" applyAlignment="1">
      <alignment horizontal="center" vertical="center" wrapText="1"/>
    </xf>
    <xf numFmtId="0" fontId="0" fillId="0" borderId="14" xfId="0" applyBorder="1" applyAlignment="1">
      <alignment horizontal="center" vertical="center"/>
    </xf>
    <xf numFmtId="0" fontId="0" fillId="0" borderId="6" xfId="0" applyBorder="1" applyAlignment="1">
      <alignment horizontal="center" vertical="center"/>
    </xf>
    <xf numFmtId="0" fontId="7" fillId="13" borderId="6" xfId="0" applyFont="1" applyFill="1" applyBorder="1" applyAlignment="1">
      <alignment horizontal="center" vertical="center"/>
    </xf>
    <xf numFmtId="0" fontId="0" fillId="0" borderId="8" xfId="0" applyBorder="1" applyAlignment="1">
      <alignment horizontal="center" vertical="center"/>
    </xf>
    <xf numFmtId="3" fontId="0" fillId="0" borderId="9" xfId="0" applyNumberFormat="1" applyBorder="1" applyAlignment="1">
      <alignment horizontal="right" vertical="center" wrapText="1"/>
    </xf>
    <xf numFmtId="0" fontId="0" fillId="0" borderId="9" xfId="0" applyBorder="1" applyAlignment="1">
      <alignment vertical="center" wrapText="1"/>
    </xf>
    <xf numFmtId="0" fontId="0" fillId="0" borderId="16" xfId="0" applyBorder="1"/>
    <xf numFmtId="1" fontId="7" fillId="0" borderId="7" xfId="0" applyNumberFormat="1" applyFont="1" applyBorder="1"/>
    <xf numFmtId="0" fontId="7" fillId="0" borderId="7" xfId="0" applyFont="1" applyBorder="1"/>
    <xf numFmtId="0" fontId="8" fillId="3" borderId="7" xfId="4" applyFont="1" applyBorder="1" applyProtection="1">
      <protection locked="0"/>
    </xf>
    <xf numFmtId="177" fontId="59" fillId="38" borderId="12" xfId="22" applyNumberFormat="1" applyBorder="1"/>
    <xf numFmtId="177" fontId="59" fillId="38" borderId="2" xfId="22" applyNumberFormat="1" applyBorder="1"/>
    <xf numFmtId="177" fontId="59" fillId="38" borderId="7" xfId="22" applyNumberFormat="1" applyBorder="1"/>
    <xf numFmtId="170" fontId="59" fillId="38" borderId="2" xfId="22" applyNumberFormat="1" applyBorder="1"/>
    <xf numFmtId="177" fontId="0" fillId="0" borderId="20" xfId="0" applyNumberFormat="1" applyBorder="1"/>
    <xf numFmtId="177" fontId="59" fillId="38" borderId="20" xfId="22" applyNumberFormat="1" applyBorder="1"/>
    <xf numFmtId="0" fontId="0" fillId="0" borderId="24" xfId="0" applyBorder="1" applyAlignment="1">
      <alignment horizontal="center"/>
    </xf>
    <xf numFmtId="0" fontId="6" fillId="4" borderId="62" xfId="5" applyFont="1" applyBorder="1" applyAlignment="1">
      <alignment horizontal="center" wrapText="1"/>
    </xf>
    <xf numFmtId="9" fontId="59" fillId="38" borderId="7" xfId="22" applyNumberFormat="1" applyBorder="1"/>
    <xf numFmtId="3" fontId="3" fillId="25" borderId="15" xfId="5" applyNumberFormat="1" applyFill="1" applyBorder="1"/>
    <xf numFmtId="3" fontId="3" fillId="25" borderId="2" xfId="5" applyNumberFormat="1" applyFill="1" applyBorder="1"/>
    <xf numFmtId="3" fontId="5" fillId="25" borderId="2" xfId="5" applyNumberFormat="1" applyFont="1" applyFill="1" applyBorder="1"/>
    <xf numFmtId="0" fontId="59" fillId="38" borderId="24" xfId="22" applyBorder="1" applyAlignment="1">
      <alignment horizontal="center"/>
    </xf>
    <xf numFmtId="177" fontId="14" fillId="0" borderId="12" xfId="13" applyNumberFormat="1" applyFont="1" applyBorder="1"/>
    <xf numFmtId="177" fontId="14" fillId="0" borderId="2" xfId="13" applyNumberFormat="1" applyFont="1" applyBorder="1"/>
    <xf numFmtId="177" fontId="60" fillId="39" borderId="28" xfId="23" applyNumberFormat="1" applyBorder="1"/>
    <xf numFmtId="177" fontId="60" fillId="39" borderId="15" xfId="23" applyNumberFormat="1" applyBorder="1"/>
    <xf numFmtId="177" fontId="60" fillId="39" borderId="19" xfId="23" applyNumberFormat="1" applyBorder="1"/>
    <xf numFmtId="0" fontId="60" fillId="39" borderId="21" xfId="23" applyBorder="1" applyAlignment="1">
      <alignment horizontal="center"/>
    </xf>
    <xf numFmtId="177" fontId="60" fillId="39" borderId="12" xfId="23" applyNumberFormat="1" applyBorder="1"/>
    <xf numFmtId="177" fontId="60" fillId="39" borderId="2" xfId="23" applyNumberFormat="1" applyBorder="1"/>
    <xf numFmtId="177" fontId="60" fillId="39" borderId="20" xfId="23" applyNumberFormat="1" applyBorder="1"/>
    <xf numFmtId="0" fontId="60" fillId="39" borderId="24" xfId="23" applyBorder="1" applyAlignment="1">
      <alignment horizontal="center"/>
    </xf>
    <xf numFmtId="3" fontId="48" fillId="31" borderId="3" xfId="1" applyNumberFormat="1" applyFont="1" applyFill="1" applyBorder="1" applyProtection="1"/>
    <xf numFmtId="3" fontId="48" fillId="31" borderId="4" xfId="1" applyNumberFormat="1" applyFont="1" applyFill="1" applyBorder="1" applyProtection="1"/>
    <xf numFmtId="3" fontId="48" fillId="31" borderId="5" xfId="1" applyNumberFormat="1" applyFont="1" applyFill="1" applyBorder="1" applyProtection="1"/>
    <xf numFmtId="3" fontId="48" fillId="31" borderId="14" xfId="1" applyNumberFormat="1" applyFont="1" applyFill="1" applyBorder="1" applyProtection="1"/>
    <xf numFmtId="3" fontId="48" fillId="31" borderId="15" xfId="1" applyNumberFormat="1" applyFont="1" applyFill="1" applyBorder="1" applyProtection="1"/>
    <xf numFmtId="3" fontId="48" fillId="31" borderId="16" xfId="1" applyNumberFormat="1" applyFont="1" applyFill="1" applyBorder="1" applyProtection="1"/>
    <xf numFmtId="3" fontId="48" fillId="31" borderId="6" xfId="1" applyNumberFormat="1" applyFont="1" applyFill="1" applyBorder="1" applyProtection="1"/>
    <xf numFmtId="3" fontId="48" fillId="31" borderId="2" xfId="1" applyNumberFormat="1" applyFont="1" applyFill="1" applyBorder="1" applyProtection="1"/>
    <xf numFmtId="3" fontId="54" fillId="31" borderId="2" xfId="1" applyNumberFormat="1" applyFont="1" applyFill="1" applyBorder="1" applyProtection="1"/>
    <xf numFmtId="3" fontId="49" fillId="31" borderId="6" xfId="1" applyNumberFormat="1" applyFont="1" applyFill="1" applyBorder="1" applyProtection="1"/>
    <xf numFmtId="3" fontId="49" fillId="31" borderId="2" xfId="1" applyNumberFormat="1" applyFont="1" applyFill="1" applyBorder="1" applyProtection="1"/>
    <xf numFmtId="3" fontId="49" fillId="31" borderId="15" xfId="1" applyNumberFormat="1" applyFont="1" applyFill="1" applyBorder="1" applyProtection="1"/>
    <xf numFmtId="3" fontId="49" fillId="31" borderId="16" xfId="1" applyNumberFormat="1" applyFont="1" applyFill="1" applyBorder="1" applyProtection="1"/>
    <xf numFmtId="3" fontId="54" fillId="31" borderId="6" xfId="1" applyNumberFormat="1" applyFont="1" applyFill="1" applyBorder="1" applyProtection="1"/>
    <xf numFmtId="3" fontId="54" fillId="31" borderId="15" xfId="1" applyNumberFormat="1" applyFont="1" applyFill="1" applyBorder="1" applyProtection="1"/>
    <xf numFmtId="3" fontId="54" fillId="31" borderId="16" xfId="1" applyNumberFormat="1" applyFont="1" applyFill="1" applyBorder="1" applyProtection="1"/>
    <xf numFmtId="3" fontId="48" fillId="31" borderId="8" xfId="1" applyNumberFormat="1" applyFont="1" applyFill="1" applyBorder="1" applyProtection="1"/>
    <xf numFmtId="3" fontId="48" fillId="31" borderId="9" xfId="1" applyNumberFormat="1" applyFont="1" applyFill="1" applyBorder="1" applyProtection="1"/>
    <xf numFmtId="3" fontId="48" fillId="31" borderId="10" xfId="1" applyNumberFormat="1" applyFont="1" applyFill="1" applyBorder="1" applyProtection="1"/>
    <xf numFmtId="0" fontId="6" fillId="4" borderId="0" xfId="5" applyFont="1" applyBorder="1" applyAlignment="1">
      <alignment horizontal="center" wrapText="1"/>
    </xf>
    <xf numFmtId="10" fontId="88" fillId="0" borderId="0" xfId="28" applyNumberFormat="1" applyFont="1"/>
    <xf numFmtId="0" fontId="0" fillId="0" borderId="2" xfId="0" applyBorder="1"/>
    <xf numFmtId="0" fontId="0" fillId="0" borderId="62" xfId="0" pivotButton="1" applyBorder="1"/>
    <xf numFmtId="0" fontId="0" fillId="0" borderId="0" xfId="0" applyAlignment="1">
      <alignment horizontal="left" vertical="top"/>
    </xf>
    <xf numFmtId="3" fontId="5" fillId="3" borderId="14" xfId="4" applyNumberFormat="1" applyFont="1" applyBorder="1" applyAlignment="1" applyProtection="1">
      <alignment horizontal="right" vertical="center"/>
    </xf>
    <xf numFmtId="3" fontId="5" fillId="3" borderId="28" xfId="4" applyNumberFormat="1" applyFont="1" applyBorder="1" applyAlignment="1" applyProtection="1">
      <alignment horizontal="right" vertical="center"/>
    </xf>
    <xf numFmtId="3" fontId="5" fillId="3" borderId="15" xfId="4" applyNumberFormat="1" applyFont="1" applyBorder="1" applyAlignment="1" applyProtection="1">
      <alignment vertical="center"/>
    </xf>
    <xf numFmtId="3" fontId="14" fillId="3" borderId="14" xfId="4" applyNumberFormat="1" applyFont="1" applyBorder="1" applyAlignment="1" applyProtection="1">
      <alignment horizontal="right" vertical="center"/>
    </xf>
    <xf numFmtId="3" fontId="14" fillId="3" borderId="28" xfId="4" applyNumberFormat="1" applyFont="1" applyBorder="1" applyAlignment="1" applyProtection="1">
      <alignment horizontal="right" vertical="center"/>
    </xf>
    <xf numFmtId="3" fontId="14" fillId="3" borderId="15" xfId="4" applyNumberFormat="1" applyFont="1" applyBorder="1" applyAlignment="1" applyProtection="1">
      <alignment vertical="center"/>
    </xf>
    <xf numFmtId="10" fontId="97" fillId="0" borderId="2" xfId="0" applyNumberFormat="1" applyFont="1" applyBorder="1" applyAlignment="1">
      <alignment horizontal="right" vertical="center"/>
    </xf>
    <xf numFmtId="10" fontId="0" fillId="0" borderId="2" xfId="0" applyNumberFormat="1" applyBorder="1" applyAlignment="1">
      <alignment horizontal="right" vertical="center"/>
    </xf>
    <xf numFmtId="10" fontId="0" fillId="13" borderId="2" xfId="0" applyNumberFormat="1" applyFill="1" applyBorder="1" applyAlignment="1">
      <alignment horizontal="right" vertical="center"/>
    </xf>
    <xf numFmtId="10" fontId="5" fillId="0" borderId="2" xfId="0" applyNumberFormat="1" applyFont="1" applyBorder="1" applyAlignment="1">
      <alignment horizontal="right" vertical="center"/>
    </xf>
    <xf numFmtId="10" fontId="77" fillId="0" borderId="0" xfId="28" applyNumberFormat="1"/>
    <xf numFmtId="0" fontId="113" fillId="0" borderId="96" xfId="0" applyFont="1" applyBorder="1" applyAlignment="1">
      <alignment horizontal="left" vertical="top"/>
    </xf>
    <xf numFmtId="0" fontId="113" fillId="0" borderId="46" xfId="0" applyFont="1" applyBorder="1" applyAlignment="1">
      <alignment horizontal="left" vertical="top" wrapText="1"/>
    </xf>
    <xf numFmtId="0" fontId="60" fillId="39" borderId="20" xfId="23" applyBorder="1" applyAlignment="1">
      <alignment horizontal="left" vertical="top" wrapText="1"/>
    </xf>
    <xf numFmtId="0" fontId="113" fillId="0" borderId="23" xfId="0" applyFont="1" applyBorder="1" applyAlignment="1">
      <alignment horizontal="left" vertical="top" wrapText="1"/>
    </xf>
    <xf numFmtId="0" fontId="113" fillId="0" borderId="24" xfId="0" applyFont="1" applyBorder="1" applyAlignment="1">
      <alignment horizontal="left" vertical="top" wrapText="1"/>
    </xf>
    <xf numFmtId="0" fontId="113" fillId="0" borderId="28" xfId="0" applyFont="1" applyBorder="1" applyAlignment="1">
      <alignment horizontal="left" vertical="top"/>
    </xf>
    <xf numFmtId="0" fontId="113" fillId="0" borderId="15" xfId="0" applyFont="1" applyBorder="1" applyAlignment="1">
      <alignment horizontal="left" vertical="top" wrapText="1"/>
    </xf>
    <xf numFmtId="0" fontId="113" fillId="0" borderId="19" xfId="0" applyFont="1" applyBorder="1" applyAlignment="1">
      <alignment horizontal="left" vertical="top" wrapText="1"/>
    </xf>
    <xf numFmtId="0" fontId="113" fillId="0" borderId="24" xfId="0" applyFont="1" applyBorder="1" applyAlignment="1">
      <alignment horizontal="left" vertical="top"/>
    </xf>
    <xf numFmtId="0" fontId="113" fillId="0" borderId="12" xfId="0" applyFont="1" applyBorder="1" applyAlignment="1">
      <alignment horizontal="left" vertical="top"/>
    </xf>
    <xf numFmtId="0" fontId="113" fillId="0" borderId="2" xfId="0" applyFont="1" applyBorder="1" applyAlignment="1">
      <alignment horizontal="left" vertical="top" wrapText="1"/>
    </xf>
    <xf numFmtId="0" fontId="113" fillId="0" borderId="20" xfId="0" applyFont="1" applyBorder="1" applyAlignment="1">
      <alignment horizontal="left" vertical="top" wrapText="1"/>
    </xf>
    <xf numFmtId="0" fontId="114" fillId="0" borderId="2" xfId="28" applyFont="1" applyBorder="1" applyAlignment="1">
      <alignment horizontal="left" vertical="top" wrapText="1"/>
    </xf>
    <xf numFmtId="0" fontId="114" fillId="0" borderId="12" xfId="28" applyFont="1" applyBorder="1" applyAlignment="1">
      <alignment horizontal="left" vertical="top"/>
    </xf>
    <xf numFmtId="0" fontId="114" fillId="0" borderId="9" xfId="28" applyFont="1" applyBorder="1" applyAlignment="1">
      <alignment horizontal="left" vertical="top" wrapText="1"/>
    </xf>
    <xf numFmtId="0" fontId="59" fillId="38" borderId="43" xfId="22" applyBorder="1" applyAlignment="1">
      <alignment horizontal="left" vertical="top"/>
    </xf>
    <xf numFmtId="0" fontId="59" fillId="38" borderId="36" xfId="22" applyBorder="1" applyAlignment="1">
      <alignment horizontal="left" vertical="top" wrapText="1"/>
    </xf>
    <xf numFmtId="0" fontId="59" fillId="38" borderId="67" xfId="22" applyBorder="1" applyAlignment="1">
      <alignment horizontal="left" vertical="top" wrapText="1"/>
    </xf>
    <xf numFmtId="0" fontId="59" fillId="38" borderId="62" xfId="22" applyBorder="1" applyAlignment="1">
      <alignment horizontal="left" vertical="top" wrapText="1"/>
    </xf>
    <xf numFmtId="170" fontId="38" fillId="27" borderId="2" xfId="18" applyNumberFormat="1" applyBorder="1"/>
    <xf numFmtId="3" fontId="38" fillId="27" borderId="2" xfId="18" applyNumberFormat="1" applyBorder="1"/>
    <xf numFmtId="9" fontId="38" fillId="27" borderId="7" xfId="18" applyNumberFormat="1" applyBorder="1"/>
    <xf numFmtId="177" fontId="38" fillId="27" borderId="2" xfId="18" applyNumberFormat="1" applyBorder="1"/>
    <xf numFmtId="0" fontId="38" fillId="27" borderId="24" xfId="18" applyBorder="1" applyAlignment="1">
      <alignment horizontal="center"/>
    </xf>
    <xf numFmtId="3" fontId="38" fillId="27" borderId="9" xfId="18" applyNumberFormat="1" applyBorder="1"/>
    <xf numFmtId="170" fontId="38" fillId="27" borderId="9" xfId="18" applyNumberFormat="1" applyBorder="1"/>
    <xf numFmtId="0" fontId="38" fillId="27" borderId="10" xfId="18" applyBorder="1"/>
    <xf numFmtId="0" fontId="0" fillId="0" borderId="6" xfId="0" applyBorder="1" applyAlignment="1">
      <alignment horizontal="center"/>
    </xf>
    <xf numFmtId="0" fontId="59" fillId="38" borderId="62" xfId="22" applyBorder="1" applyAlignment="1">
      <alignment horizontal="center" vertical="top"/>
    </xf>
    <xf numFmtId="0" fontId="60" fillId="39" borderId="24" xfId="23" applyBorder="1" applyAlignment="1">
      <alignment horizontal="center" vertical="top"/>
    </xf>
    <xf numFmtId="0" fontId="113" fillId="0" borderId="23" xfId="0" applyFont="1" applyBorder="1" applyAlignment="1">
      <alignment horizontal="center" vertical="top"/>
    </xf>
    <xf numFmtId="0" fontId="113" fillId="13" borderId="24" xfId="0" applyFont="1" applyFill="1" applyBorder="1" applyAlignment="1">
      <alignment horizontal="center" vertical="top"/>
    </xf>
    <xf numFmtId="0" fontId="113" fillId="0" borderId="24" xfId="0" applyFont="1" applyBorder="1" applyAlignment="1">
      <alignment horizontal="center" vertical="top"/>
    </xf>
    <xf numFmtId="0" fontId="113" fillId="50" borderId="24" xfId="0" applyFont="1" applyFill="1" applyBorder="1" applyAlignment="1">
      <alignment horizontal="center" vertical="top"/>
    </xf>
    <xf numFmtId="0" fontId="0" fillId="0" borderId="0" xfId="0" applyAlignment="1">
      <alignment horizontal="center" vertical="top"/>
    </xf>
    <xf numFmtId="0" fontId="3" fillId="7" borderId="31" xfId="8" applyBorder="1" applyAlignment="1" applyProtection="1">
      <alignment horizontal="left" vertical="center" wrapText="1"/>
      <protection locked="0"/>
    </xf>
    <xf numFmtId="0" fontId="57" fillId="7" borderId="31" xfId="8" applyFont="1" applyBorder="1" applyAlignment="1" applyProtection="1">
      <alignment horizontal="left" vertical="center" wrapText="1"/>
      <protection locked="0"/>
    </xf>
    <xf numFmtId="10" fontId="3" fillId="7" borderId="31" xfId="13" applyNumberFormat="1" applyFill="1" applyBorder="1" applyAlignment="1" applyProtection="1">
      <alignment horizontal="left" vertical="center" wrapText="1"/>
      <protection locked="0"/>
    </xf>
    <xf numFmtId="0" fontId="57" fillId="7" borderId="31" xfId="8" applyFont="1" applyBorder="1" applyAlignment="1" applyProtection="1">
      <alignment horizontal="left" vertical="top" wrapText="1"/>
      <protection locked="0"/>
    </xf>
    <xf numFmtId="0" fontId="28" fillId="2" borderId="0" xfId="3" applyFont="1" applyBorder="1" applyAlignment="1">
      <alignment horizontal="center" vertical="center"/>
    </xf>
    <xf numFmtId="0" fontId="20" fillId="8" borderId="0" xfId="9" applyFont="1" applyBorder="1" applyAlignment="1" applyProtection="1">
      <alignment horizontal="center" vertical="center" wrapText="1"/>
    </xf>
    <xf numFmtId="0" fontId="3" fillId="7" borderId="0" xfId="8" applyBorder="1" applyAlignment="1" applyProtection="1">
      <alignment horizontal="left" vertical="center" wrapText="1"/>
      <protection locked="0"/>
    </xf>
    <xf numFmtId="0" fontId="5" fillId="7" borderId="0" xfId="8" applyFont="1" applyBorder="1" applyAlignment="1" applyProtection="1">
      <alignment horizontal="left" vertical="center" wrapText="1"/>
      <protection locked="0"/>
    </xf>
    <xf numFmtId="0" fontId="40" fillId="0" borderId="0" xfId="0" applyFont="1" applyAlignment="1" applyProtection="1">
      <alignment horizontal="right" vertical="center"/>
      <protection locked="0"/>
    </xf>
    <xf numFmtId="167" fontId="3" fillId="7" borderId="24" xfId="8" applyNumberFormat="1" applyBorder="1" applyAlignment="1" applyProtection="1">
      <alignment horizontal="center" vertical="center" wrapText="1"/>
      <protection locked="0"/>
    </xf>
    <xf numFmtId="0" fontId="6" fillId="7" borderId="53" xfId="8" applyFont="1" applyBorder="1" applyAlignment="1" applyProtection="1">
      <alignment horizontal="center" vertical="center" wrapText="1"/>
    </xf>
    <xf numFmtId="10" fontId="3" fillId="7" borderId="64" xfId="13" applyNumberFormat="1" applyFill="1" applyBorder="1" applyAlignment="1" applyProtection="1">
      <alignment horizontal="left" vertical="center" wrapText="1"/>
      <protection locked="0"/>
    </xf>
    <xf numFmtId="0" fontId="0" fillId="0" borderId="0" xfId="0" applyAlignment="1">
      <alignment horizontal="right"/>
    </xf>
    <xf numFmtId="0" fontId="7" fillId="0" borderId="2" xfId="0" applyFont="1" applyBorder="1"/>
    <xf numFmtId="0" fontId="5" fillId="0" borderId="4" xfId="0" applyFont="1" applyBorder="1"/>
    <xf numFmtId="0" fontId="5" fillId="0" borderId="5" xfId="0" applyFont="1" applyBorder="1"/>
    <xf numFmtId="0" fontId="5" fillId="0" borderId="11" xfId="0" applyFont="1" applyBorder="1"/>
    <xf numFmtId="0" fontId="7" fillId="0" borderId="12" xfId="0" applyFont="1" applyBorder="1"/>
    <xf numFmtId="9" fontId="3" fillId="0" borderId="2" xfId="13" applyFont="1" applyBorder="1"/>
    <xf numFmtId="0" fontId="6" fillId="0" borderId="4" xfId="0" applyFont="1" applyBorder="1"/>
    <xf numFmtId="0" fontId="6" fillId="0" borderId="5" xfId="0" applyFont="1" applyBorder="1"/>
    <xf numFmtId="9" fontId="3" fillId="0" borderId="7" xfId="13" applyFont="1" applyBorder="1"/>
    <xf numFmtId="0" fontId="6" fillId="0" borderId="11" xfId="0" applyFont="1" applyBorder="1"/>
    <xf numFmtId="9" fontId="3" fillId="0" borderId="12" xfId="13" applyFont="1" applyBorder="1"/>
    <xf numFmtId="0" fontId="0" fillId="0" borderId="21" xfId="0" applyBorder="1"/>
    <xf numFmtId="0" fontId="0" fillId="0" borderId="24" xfId="0" applyBorder="1"/>
    <xf numFmtId="0" fontId="0" fillId="0" borderId="90" xfId="0" applyBorder="1"/>
    <xf numFmtId="9" fontId="3" fillId="0" borderId="71" xfId="13" applyFont="1" applyBorder="1"/>
    <xf numFmtId="9" fontId="3" fillId="0" borderId="54" xfId="13" applyFont="1" applyBorder="1"/>
    <xf numFmtId="9" fontId="3" fillId="0" borderId="55" xfId="13" applyFont="1" applyBorder="1"/>
    <xf numFmtId="0" fontId="7" fillId="0" borderId="71" xfId="0" applyFont="1" applyBorder="1"/>
    <xf numFmtId="0" fontId="7" fillId="0" borderId="54" xfId="0" applyFont="1" applyBorder="1"/>
    <xf numFmtId="0" fontId="7" fillId="0" borderId="55" xfId="0" applyFont="1" applyBorder="1"/>
    <xf numFmtId="0" fontId="0" fillId="0" borderId="62" xfId="0" applyBorder="1" applyAlignment="1">
      <alignment horizontal="right"/>
    </xf>
    <xf numFmtId="9" fontId="6" fillId="0" borderId="43" xfId="0" applyNumberFormat="1" applyFont="1" applyBorder="1"/>
    <xf numFmtId="9" fontId="6" fillId="0" borderId="36" xfId="0" applyNumberFormat="1" applyFont="1" applyBorder="1"/>
    <xf numFmtId="9" fontId="6" fillId="0" borderId="37" xfId="0" applyNumberFormat="1" applyFont="1" applyBorder="1"/>
    <xf numFmtId="9" fontId="7" fillId="0" borderId="43" xfId="0" applyNumberFormat="1" applyFont="1" applyBorder="1"/>
    <xf numFmtId="9" fontId="7" fillId="0" borderId="36" xfId="0" applyNumberFormat="1" applyFont="1" applyBorder="1"/>
    <xf numFmtId="9" fontId="7" fillId="0" borderId="37" xfId="0" applyNumberFormat="1" applyFont="1" applyBorder="1"/>
    <xf numFmtId="167" fontId="57" fillId="7" borderId="90" xfId="8" applyNumberFormat="1" applyFont="1" applyBorder="1" applyAlignment="1" applyProtection="1">
      <alignment horizontal="center" vertical="center" wrapText="1"/>
      <protection locked="0"/>
    </xf>
    <xf numFmtId="167" fontId="57" fillId="7" borderId="62" xfId="8" applyNumberFormat="1" applyFont="1" applyBorder="1" applyAlignment="1" applyProtection="1">
      <alignment horizontal="center" vertical="center" wrapText="1"/>
      <protection locked="0"/>
    </xf>
    <xf numFmtId="167" fontId="3" fillId="7" borderId="62" xfId="13" applyNumberFormat="1" applyFill="1" applyBorder="1" applyAlignment="1" applyProtection="1">
      <alignment horizontal="center" vertical="center" wrapText="1"/>
      <protection locked="0"/>
    </xf>
    <xf numFmtId="0" fontId="3" fillId="7" borderId="23" xfId="8" applyBorder="1" applyAlignment="1" applyProtection="1">
      <alignment horizontal="left" vertical="center" wrapText="1"/>
      <protection locked="0"/>
    </xf>
    <xf numFmtId="0" fontId="6" fillId="2" borderId="20" xfId="3" applyFont="1" applyBorder="1" applyAlignment="1" applyProtection="1">
      <alignment horizontal="center" vertical="center"/>
    </xf>
    <xf numFmtId="10" fontId="6" fillId="10" borderId="20" xfId="11" applyNumberFormat="1" applyFont="1" applyBorder="1" applyAlignment="1" applyProtection="1">
      <alignment vertical="center"/>
    </xf>
    <xf numFmtId="0" fontId="38" fillId="27" borderId="35" xfId="18" applyBorder="1" applyAlignment="1">
      <alignment horizontal="center" vertical="center"/>
    </xf>
    <xf numFmtId="9" fontId="0" fillId="0" borderId="36" xfId="0" applyNumberFormat="1" applyBorder="1" applyAlignment="1">
      <alignment horizontal="center" vertical="center"/>
    </xf>
    <xf numFmtId="3" fontId="41" fillId="27" borderId="36" xfId="1" applyNumberFormat="1" applyFont="1" applyFill="1" applyBorder="1" applyAlignment="1">
      <alignment horizontal="center" vertical="center"/>
    </xf>
    <xf numFmtId="0" fontId="59" fillId="38" borderId="35" xfId="22" applyBorder="1" applyAlignment="1">
      <alignment horizontal="center" vertical="center"/>
    </xf>
    <xf numFmtId="3" fontId="62" fillId="38" borderId="36" xfId="1" applyNumberFormat="1" applyFont="1" applyFill="1" applyBorder="1" applyAlignment="1">
      <alignment horizontal="center" vertical="center"/>
    </xf>
    <xf numFmtId="0" fontId="0" fillId="17" borderId="14" xfId="8" applyFont="1" applyFill="1" applyBorder="1" applyAlignment="1" applyProtection="1">
      <alignment horizontal="center" vertical="center" wrapText="1"/>
    </xf>
    <xf numFmtId="0" fontId="6" fillId="2" borderId="19" xfId="3" applyFont="1" applyBorder="1" applyAlignment="1" applyProtection="1">
      <alignment horizontal="center" vertical="center"/>
    </xf>
    <xf numFmtId="10" fontId="6" fillId="10" borderId="19" xfId="11" applyNumberFormat="1" applyFont="1" applyBorder="1" applyAlignment="1" applyProtection="1">
      <alignment vertical="center"/>
    </xf>
    <xf numFmtId="0" fontId="60" fillId="39" borderId="39" xfId="23" applyBorder="1" applyAlignment="1">
      <alignment horizontal="center" vertical="center"/>
    </xf>
    <xf numFmtId="9" fontId="0" fillId="0" borderId="38" xfId="13" applyFont="1" applyBorder="1" applyAlignment="1">
      <alignment horizontal="center" vertical="center"/>
    </xf>
    <xf numFmtId="3" fontId="61" fillId="39" borderId="38" xfId="23" applyNumberFormat="1" applyFont="1" applyBorder="1" applyAlignment="1">
      <alignment horizontal="center" vertical="center"/>
    </xf>
    <xf numFmtId="10" fontId="6" fillId="10" borderId="81" xfId="11" applyNumberFormat="1" applyFont="1" applyBorder="1" applyAlignment="1" applyProtection="1">
      <alignment vertical="center"/>
    </xf>
    <xf numFmtId="0" fontId="38" fillId="27" borderId="32" xfId="18" applyBorder="1" applyAlignment="1">
      <alignment horizontal="center" vertical="center"/>
    </xf>
    <xf numFmtId="0" fontId="0" fillId="17" borderId="35" xfId="8" applyFont="1" applyFill="1" applyBorder="1" applyAlignment="1" applyProtection="1">
      <alignment horizontal="center" vertical="center" wrapText="1"/>
    </xf>
    <xf numFmtId="0" fontId="6" fillId="2" borderId="36" xfId="3" applyFont="1" applyBorder="1" applyAlignment="1" applyProtection="1">
      <alignment horizontal="center" vertical="center"/>
    </xf>
    <xf numFmtId="3" fontId="61" fillId="39" borderId="56" xfId="23" applyNumberFormat="1" applyFont="1" applyBorder="1" applyAlignment="1">
      <alignment horizontal="center" vertical="center"/>
    </xf>
    <xf numFmtId="3" fontId="41" fillId="27" borderId="37" xfId="1" applyNumberFormat="1" applyFont="1" applyFill="1" applyBorder="1" applyAlignment="1">
      <alignment horizontal="center" vertical="center"/>
    </xf>
    <xf numFmtId="3" fontId="62" fillId="38" borderId="37" xfId="1" applyNumberFormat="1" applyFont="1" applyFill="1" applyBorder="1" applyAlignment="1">
      <alignment horizontal="center" vertical="center"/>
    </xf>
    <xf numFmtId="177" fontId="61" fillId="39" borderId="38" xfId="23" applyNumberFormat="1" applyFont="1" applyBorder="1" applyAlignment="1">
      <alignment horizontal="center" vertical="center" wrapText="1"/>
    </xf>
    <xf numFmtId="177" fontId="41" fillId="27" borderId="36" xfId="18" applyNumberFormat="1" applyFont="1" applyBorder="1" applyAlignment="1">
      <alignment horizontal="center" vertical="center" wrapText="1"/>
    </xf>
    <xf numFmtId="177" fontId="62" fillId="38" borderId="36" xfId="22" applyNumberFormat="1" applyFont="1" applyBorder="1" applyAlignment="1">
      <alignment horizontal="center" vertical="center" wrapText="1"/>
    </xf>
    <xf numFmtId="3" fontId="6" fillId="6" borderId="28" xfId="7" applyNumberFormat="1" applyFont="1" applyBorder="1" applyAlignment="1" applyProtection="1">
      <alignment vertical="center"/>
    </xf>
    <xf numFmtId="3" fontId="6" fillId="6" borderId="12" xfId="7" applyNumberFormat="1" applyFont="1" applyBorder="1" applyAlignment="1" applyProtection="1">
      <alignment vertical="center"/>
    </xf>
    <xf numFmtId="3" fontId="6" fillId="6" borderId="71" xfId="7" applyNumberFormat="1" applyFont="1" applyBorder="1" applyAlignment="1" applyProtection="1">
      <alignment vertical="center"/>
    </xf>
    <xf numFmtId="3" fontId="6" fillId="4" borderId="16" xfId="5" applyNumberFormat="1" applyFont="1" applyBorder="1" applyAlignment="1" applyProtection="1">
      <alignment vertical="center"/>
    </xf>
    <xf numFmtId="3" fontId="6" fillId="4" borderId="7" xfId="5" applyNumberFormat="1" applyFont="1" applyBorder="1" applyAlignment="1" applyProtection="1">
      <alignment vertical="center"/>
    </xf>
    <xf numFmtId="0" fontId="0" fillId="17" borderId="8" xfId="8" applyFont="1" applyFill="1" applyBorder="1" applyAlignment="1" applyProtection="1">
      <alignment horizontal="center" vertical="center" wrapText="1"/>
    </xf>
    <xf numFmtId="0" fontId="6" fillId="2" borderId="18" xfId="3" applyFont="1" applyBorder="1" applyAlignment="1" applyProtection="1">
      <alignment horizontal="center" vertical="center"/>
    </xf>
    <xf numFmtId="3" fontId="6" fillId="4" borderId="10" xfId="5" applyNumberFormat="1" applyFont="1" applyBorder="1" applyAlignment="1" applyProtection="1">
      <alignment vertical="center"/>
    </xf>
    <xf numFmtId="3" fontId="6" fillId="2" borderId="59" xfId="3" applyNumberFormat="1" applyFont="1" applyBorder="1" applyAlignment="1" applyProtection="1">
      <alignment horizontal="center" vertical="center"/>
    </xf>
    <xf numFmtId="3" fontId="6" fillId="2" borderId="61" xfId="3" applyNumberFormat="1" applyFont="1" applyBorder="1" applyAlignment="1" applyProtection="1">
      <alignment horizontal="center" vertical="center"/>
    </xf>
    <xf numFmtId="0" fontId="7" fillId="49" borderId="31" xfId="15" applyFont="1" applyFill="1" applyBorder="1" applyProtection="1">
      <protection locked="0"/>
    </xf>
    <xf numFmtId="3" fontId="7" fillId="13" borderId="14" xfId="4" applyNumberFormat="1" applyFont="1" applyFill="1" applyBorder="1" applyAlignment="1" applyProtection="1">
      <alignment horizontal="right" vertical="center"/>
      <protection locked="0"/>
    </xf>
    <xf numFmtId="0" fontId="14" fillId="15" borderId="7" xfId="4" applyFont="1" applyFill="1" applyBorder="1" applyProtection="1">
      <protection locked="0"/>
    </xf>
    <xf numFmtId="0" fontId="0" fillId="0" borderId="61" xfId="0" applyBorder="1"/>
    <xf numFmtId="0" fontId="0" fillId="0" borderId="8" xfId="0" applyBorder="1" applyAlignment="1">
      <alignment horizontal="center"/>
    </xf>
    <xf numFmtId="0" fontId="0" fillId="0" borderId="22" xfId="0" applyBorder="1" applyAlignment="1">
      <alignment horizontal="center"/>
    </xf>
    <xf numFmtId="0" fontId="6" fillId="13" borderId="8" xfId="0" applyFont="1" applyFill="1" applyBorder="1" applyAlignment="1">
      <alignment horizontal="left"/>
    </xf>
    <xf numFmtId="0" fontId="6" fillId="13" borderId="18" xfId="0" applyFont="1" applyFill="1" applyBorder="1" applyAlignment="1">
      <alignment horizontal="left"/>
    </xf>
    <xf numFmtId="3" fontId="0" fillId="13" borderId="7" xfId="0" applyNumberFormat="1" applyFill="1" applyBorder="1"/>
    <xf numFmtId="0" fontId="0" fillId="13" borderId="6" xfId="0" applyFill="1" applyBorder="1"/>
    <xf numFmtId="0" fontId="0" fillId="13" borderId="35" xfId="0" applyFill="1" applyBorder="1" applyAlignment="1">
      <alignment horizontal="center" wrapText="1"/>
    </xf>
    <xf numFmtId="0" fontId="0" fillId="0" borderId="36" xfId="0" applyBorder="1" applyAlignment="1">
      <alignment horizontal="center" wrapText="1"/>
    </xf>
    <xf numFmtId="0" fontId="0" fillId="13" borderId="37" xfId="0" applyFill="1" applyBorder="1" applyAlignment="1">
      <alignment horizontal="center" wrapText="1"/>
    </xf>
    <xf numFmtId="0" fontId="5" fillId="0" borderId="2" xfId="0" applyFont="1" applyBorder="1"/>
    <xf numFmtId="3" fontId="5" fillId="0" borderId="2" xfId="0" applyNumberFormat="1" applyFont="1" applyBorder="1"/>
    <xf numFmtId="3" fontId="5" fillId="13" borderId="7" xfId="0" applyNumberFormat="1" applyFont="1" applyFill="1" applyBorder="1"/>
    <xf numFmtId="0" fontId="5" fillId="13" borderId="7" xfId="0" applyFont="1" applyFill="1" applyBorder="1"/>
    <xf numFmtId="0" fontId="5" fillId="0" borderId="9" xfId="0" applyFont="1" applyBorder="1"/>
    <xf numFmtId="0" fontId="5" fillId="13" borderId="10" xfId="0" applyFont="1" applyFill="1" applyBorder="1"/>
    <xf numFmtId="0" fontId="5" fillId="13" borderId="14" xfId="0" applyFont="1" applyFill="1" applyBorder="1"/>
    <xf numFmtId="3" fontId="5" fillId="0" borderId="15" xfId="0" applyNumberFormat="1" applyFont="1" applyBorder="1"/>
    <xf numFmtId="0" fontId="5" fillId="0" borderId="15" xfId="0" applyFont="1" applyBorder="1"/>
    <xf numFmtId="3" fontId="5" fillId="13" borderId="16" xfId="0" applyNumberFormat="1" applyFont="1" applyFill="1" applyBorder="1"/>
    <xf numFmtId="0" fontId="5" fillId="13" borderId="6" xfId="0" applyFont="1" applyFill="1" applyBorder="1"/>
    <xf numFmtId="0" fontId="44" fillId="0" borderId="0" xfId="0" applyFont="1" applyAlignment="1">
      <alignment horizontal="left" vertical="top" wrapText="1"/>
    </xf>
    <xf numFmtId="177" fontId="5" fillId="27" borderId="12" xfId="18" applyNumberFormat="1" applyFont="1" applyBorder="1"/>
    <xf numFmtId="10" fontId="45" fillId="0" borderId="0" xfId="0" applyNumberFormat="1" applyFont="1" applyAlignment="1">
      <alignment horizontal="right" vertical="center"/>
    </xf>
    <xf numFmtId="170" fontId="45" fillId="0" borderId="2" xfId="1" applyNumberFormat="1" applyFont="1" applyBorder="1" applyAlignment="1">
      <alignment horizontal="right" vertical="center"/>
    </xf>
    <xf numFmtId="10" fontId="45" fillId="0" borderId="2" xfId="0" applyNumberFormat="1" applyFont="1" applyBorder="1" applyAlignment="1">
      <alignment horizontal="right" vertical="center"/>
    </xf>
    <xf numFmtId="0" fontId="47" fillId="0" borderId="6" xfId="0" applyFont="1" applyBorder="1" applyAlignment="1">
      <alignment horizontal="center" vertical="center"/>
    </xf>
    <xf numFmtId="10" fontId="45" fillId="0" borderId="7" xfId="0" applyNumberFormat="1" applyFont="1" applyBorder="1" applyAlignment="1">
      <alignment horizontal="right" vertical="center"/>
    </xf>
    <xf numFmtId="0" fontId="47" fillId="0" borderId="8" xfId="0" applyFont="1" applyBorder="1" applyAlignment="1">
      <alignment horizontal="center" vertical="center"/>
    </xf>
    <xf numFmtId="170" fontId="45" fillId="0" borderId="9" xfId="1" applyNumberFormat="1" applyFont="1" applyBorder="1" applyAlignment="1">
      <alignment horizontal="right" vertical="center"/>
    </xf>
    <xf numFmtId="10" fontId="45" fillId="0" borderId="9" xfId="0" applyNumberFormat="1" applyFont="1" applyBorder="1" applyAlignment="1">
      <alignment horizontal="right" vertical="center"/>
    </xf>
    <xf numFmtId="10" fontId="45" fillId="0" borderId="10" xfId="0" applyNumberFormat="1" applyFont="1" applyBorder="1" applyAlignment="1">
      <alignment horizontal="right" vertical="center"/>
    </xf>
    <xf numFmtId="0" fontId="47" fillId="0" borderId="32" xfId="0" applyFont="1" applyBorder="1" applyAlignment="1">
      <alignment horizontal="center" vertical="center" wrapText="1"/>
    </xf>
    <xf numFmtId="0" fontId="45" fillId="0" borderId="33" xfId="0" applyFont="1" applyBorder="1" applyAlignment="1">
      <alignment horizontal="center" vertical="center" wrapText="1"/>
    </xf>
    <xf numFmtId="0" fontId="45" fillId="0" borderId="34" xfId="0" applyFont="1" applyBorder="1" applyAlignment="1">
      <alignment horizontal="center" vertical="center" wrapText="1"/>
    </xf>
    <xf numFmtId="0" fontId="47" fillId="0" borderId="3" xfId="0" applyFont="1" applyBorder="1" applyAlignment="1">
      <alignment horizontal="center" vertical="center"/>
    </xf>
    <xf numFmtId="170" fontId="45" fillId="0" borderId="4" xfId="1" applyNumberFormat="1" applyFont="1" applyBorder="1" applyAlignment="1">
      <alignment horizontal="right" vertical="center"/>
    </xf>
    <xf numFmtId="10" fontId="45" fillId="0" borderId="4" xfId="0" applyNumberFormat="1" applyFont="1" applyBorder="1" applyAlignment="1">
      <alignment horizontal="right" vertical="center"/>
    </xf>
    <xf numFmtId="10" fontId="45" fillId="0" borderId="5" xfId="0" applyNumberFormat="1" applyFont="1" applyBorder="1" applyAlignment="1">
      <alignment horizontal="right" vertical="center"/>
    </xf>
    <xf numFmtId="0" fontId="0" fillId="0" borderId="0" xfId="0" applyAlignment="1">
      <alignment vertical="top" wrapText="1"/>
    </xf>
    <xf numFmtId="177" fontId="0" fillId="0" borderId="2" xfId="0" applyNumberFormat="1" applyBorder="1"/>
    <xf numFmtId="0" fontId="0" fillId="0" borderId="36" xfId="0" applyBorder="1" applyAlignment="1">
      <alignment horizontal="center"/>
    </xf>
    <xf numFmtId="0" fontId="0" fillId="0" borderId="35" xfId="0" applyBorder="1" applyAlignment="1">
      <alignment horizontal="center"/>
    </xf>
    <xf numFmtId="0" fontId="0" fillId="0" borderId="0" xfId="0" applyAlignment="1">
      <alignment horizontal="center" vertical="center" wrapText="1"/>
    </xf>
    <xf numFmtId="0" fontId="7" fillId="0" borderId="20" xfId="0" quotePrefix="1" applyFont="1" applyBorder="1"/>
    <xf numFmtId="0" fontId="6" fillId="0" borderId="20" xfId="0" quotePrefix="1" applyFont="1" applyBorder="1"/>
    <xf numFmtId="0" fontId="44" fillId="0" borderId="0" xfId="0" applyFont="1"/>
    <xf numFmtId="174" fontId="5" fillId="0" borderId="0" xfId="31" applyNumberFormat="1" applyFont="1"/>
    <xf numFmtId="174" fontId="0" fillId="0" borderId="0" xfId="31" applyNumberFormat="1" applyFont="1"/>
    <xf numFmtId="0" fontId="60" fillId="39" borderId="41" xfId="23" applyBorder="1" applyAlignment="1">
      <alignment horizontal="left" vertical="center" wrapText="1"/>
    </xf>
    <xf numFmtId="0" fontId="38" fillId="27" borderId="67" xfId="18" applyBorder="1" applyAlignment="1">
      <alignment horizontal="left" vertical="center" wrapText="1"/>
    </xf>
    <xf numFmtId="0" fontId="59" fillId="38" borderId="67" xfId="22" applyBorder="1" applyAlignment="1">
      <alignment horizontal="left" vertical="center" wrapText="1"/>
    </xf>
    <xf numFmtId="0" fontId="38" fillId="27" borderId="40" xfId="18" applyBorder="1" applyAlignment="1">
      <alignment horizontal="left" vertical="center" wrapText="1"/>
    </xf>
    <xf numFmtId="0" fontId="61" fillId="39" borderId="39" xfId="23" applyFont="1" applyBorder="1" applyAlignment="1">
      <alignment horizontal="center" vertical="center"/>
    </xf>
    <xf numFmtId="0" fontId="41" fillId="27" borderId="35" xfId="18" applyFont="1" applyBorder="1" applyAlignment="1">
      <alignment horizontal="center" vertical="center"/>
    </xf>
    <xf numFmtId="0" fontId="62" fillId="38" borderId="35" xfId="22" applyFont="1" applyBorder="1" applyAlignment="1">
      <alignment horizontal="center" vertical="center"/>
    </xf>
    <xf numFmtId="0" fontId="0" fillId="0" borderId="3" xfId="0" applyBorder="1"/>
    <xf numFmtId="0" fontId="0" fillId="0" borderId="9" xfId="0" applyBorder="1"/>
    <xf numFmtId="177" fontId="0" fillId="0" borderId="9" xfId="0" applyNumberFormat="1" applyBorder="1"/>
    <xf numFmtId="177" fontId="0" fillId="0" borderId="4" xfId="13" applyNumberFormat="1" applyFont="1" applyBorder="1"/>
    <xf numFmtId="0" fontId="0" fillId="17" borderId="0" xfId="8" applyFont="1" applyFill="1" applyBorder="1" applyAlignment="1" applyProtection="1">
      <alignment horizontal="center" vertical="center" wrapText="1"/>
    </xf>
    <xf numFmtId="0" fontId="53" fillId="0" borderId="0" xfId="21"/>
    <xf numFmtId="170" fontId="6" fillId="0" borderId="0" xfId="1" applyNumberFormat="1" applyFont="1"/>
    <xf numFmtId="0" fontId="6" fillId="8" borderId="0" xfId="9" applyFont="1" applyBorder="1" applyAlignment="1" applyProtection="1">
      <alignment horizontal="center" vertical="center" wrapText="1"/>
    </xf>
    <xf numFmtId="167" fontId="0" fillId="0" borderId="0" xfId="0" applyNumberFormat="1"/>
    <xf numFmtId="9" fontId="0" fillId="0" borderId="0" xfId="13" applyFont="1"/>
    <xf numFmtId="177" fontId="0" fillId="0" borderId="0" xfId="13" applyNumberFormat="1" applyFont="1"/>
    <xf numFmtId="176" fontId="0" fillId="0" borderId="0" xfId="0" applyNumberFormat="1"/>
    <xf numFmtId="177" fontId="0" fillId="0" borderId="2" xfId="13" applyNumberFormat="1" applyFont="1" applyBorder="1" applyAlignment="1">
      <alignment vertical="center"/>
    </xf>
    <xf numFmtId="177" fontId="0" fillId="0" borderId="2" xfId="0" applyNumberFormat="1" applyBorder="1" applyAlignment="1">
      <alignment vertical="center"/>
    </xf>
    <xf numFmtId="0" fontId="3" fillId="0" borderId="0" xfId="26" applyAlignment="1">
      <alignment horizontal="center"/>
    </xf>
    <xf numFmtId="3" fontId="14" fillId="0" borderId="12" xfId="26" applyNumberFormat="1" applyFont="1" applyBorder="1"/>
    <xf numFmtId="9" fontId="14" fillId="0" borderId="7" xfId="13" applyFont="1" applyBorder="1" applyAlignment="1">
      <alignment horizontal="center"/>
    </xf>
    <xf numFmtId="0" fontId="0" fillId="24" borderId="6" xfId="0" applyFill="1" applyBorder="1" applyAlignment="1">
      <alignment horizontal="center" vertical="center"/>
    </xf>
    <xf numFmtId="0" fontId="5" fillId="0" borderId="6" xfId="0" applyFont="1" applyBorder="1" applyAlignment="1">
      <alignment horizontal="center" vertical="center"/>
    </xf>
    <xf numFmtId="0" fontId="0" fillId="13" borderId="0" xfId="0" applyFill="1" applyAlignment="1">
      <alignment horizontal="center"/>
    </xf>
    <xf numFmtId="177" fontId="0" fillId="0" borderId="0" xfId="13" applyNumberFormat="1" applyFont="1" applyAlignment="1">
      <alignment horizontal="center"/>
    </xf>
    <xf numFmtId="177" fontId="0" fillId="0" borderId="0" xfId="0" applyNumberFormat="1" applyAlignment="1">
      <alignment horizontal="center"/>
    </xf>
    <xf numFmtId="0" fontId="42" fillId="0" borderId="97" xfId="0" applyFont="1" applyBorder="1" applyAlignment="1">
      <alignment horizontal="center"/>
    </xf>
    <xf numFmtId="0" fontId="100" fillId="0" borderId="97" xfId="0" applyFont="1" applyBorder="1" applyAlignment="1">
      <alignment horizontal="center"/>
    </xf>
    <xf numFmtId="10" fontId="0" fillId="0" borderId="0" xfId="13" applyNumberFormat="1" applyFont="1" applyFill="1" applyBorder="1" applyAlignment="1"/>
    <xf numFmtId="176" fontId="6" fillId="0" borderId="0" xfId="0" applyNumberFormat="1" applyFont="1"/>
    <xf numFmtId="0" fontId="0" fillId="0" borderId="92" xfId="0" applyBorder="1"/>
    <xf numFmtId="176" fontId="0" fillId="0" borderId="92" xfId="0" applyNumberFormat="1" applyBorder="1"/>
    <xf numFmtId="0" fontId="0" fillId="0" borderId="7" xfId="0" applyBorder="1" applyAlignment="1">
      <alignment horizontal="center"/>
    </xf>
    <xf numFmtId="10" fontId="0" fillId="13" borderId="0" xfId="0" applyNumberFormat="1" applyFill="1" applyAlignment="1">
      <alignment horizontal="center"/>
    </xf>
    <xf numFmtId="179" fontId="0" fillId="13" borderId="0" xfId="0" applyNumberFormat="1" applyFill="1" applyAlignment="1">
      <alignment horizontal="center"/>
    </xf>
    <xf numFmtId="177" fontId="0" fillId="13" borderId="0" xfId="13" applyNumberFormat="1" applyFont="1" applyFill="1" applyAlignment="1">
      <alignment horizontal="left"/>
    </xf>
    <xf numFmtId="10" fontId="6" fillId="13" borderId="0" xfId="13" applyNumberFormat="1" applyFont="1" applyFill="1" applyBorder="1" applyAlignment="1"/>
    <xf numFmtId="10" fontId="6" fillId="13" borderId="2" xfId="13" applyNumberFormat="1" applyFont="1" applyFill="1" applyBorder="1" applyAlignment="1"/>
    <xf numFmtId="9" fontId="57" fillId="0" borderId="7" xfId="13" applyFont="1" applyBorder="1" applyAlignment="1">
      <alignment horizontal="center"/>
    </xf>
    <xf numFmtId="0" fontId="117" fillId="0" borderId="0" xfId="0" applyFont="1"/>
    <xf numFmtId="177" fontId="0" fillId="0" borderId="15" xfId="13" applyNumberFormat="1" applyFont="1" applyBorder="1" applyAlignment="1">
      <alignment vertical="center"/>
    </xf>
    <xf numFmtId="177" fontId="0" fillId="0" borderId="15" xfId="0" applyNumberFormat="1" applyBorder="1" applyAlignment="1">
      <alignment vertical="center"/>
    </xf>
    <xf numFmtId="177" fontId="0" fillId="24" borderId="2" xfId="13" applyNumberFormat="1" applyFont="1" applyFill="1" applyBorder="1" applyAlignment="1">
      <alignment vertical="center"/>
    </xf>
    <xf numFmtId="177" fontId="0" fillId="24" borderId="2" xfId="0" applyNumberFormat="1" applyFill="1" applyBorder="1" applyAlignment="1">
      <alignment vertical="center"/>
    </xf>
    <xf numFmtId="174" fontId="0" fillId="0" borderId="2" xfId="31" applyNumberFormat="1" applyFont="1" applyBorder="1" applyAlignment="1">
      <alignment horizontal="center"/>
    </xf>
    <xf numFmtId="174" fontId="0" fillId="13" borderId="2" xfId="31" applyNumberFormat="1" applyFont="1" applyFill="1" applyBorder="1" applyAlignment="1">
      <alignment horizontal="center"/>
    </xf>
    <xf numFmtId="177" fontId="0" fillId="0" borderId="2" xfId="13" applyNumberFormat="1" applyFont="1" applyBorder="1" applyAlignment="1">
      <alignment horizontal="center"/>
    </xf>
    <xf numFmtId="174" fontId="0" fillId="13" borderId="2" xfId="0" applyNumberFormat="1" applyFill="1" applyBorder="1" applyAlignment="1">
      <alignment horizontal="center"/>
    </xf>
    <xf numFmtId="174" fontId="0" fillId="13" borderId="9" xfId="0" applyNumberFormat="1" applyFill="1" applyBorder="1" applyAlignment="1">
      <alignment horizontal="center"/>
    </xf>
    <xf numFmtId="174" fontId="0" fillId="13" borderId="9" xfId="31" applyNumberFormat="1" applyFont="1" applyFill="1" applyBorder="1" applyAlignment="1">
      <alignment horizontal="center"/>
    </xf>
    <xf numFmtId="10" fontId="6" fillId="13" borderId="9" xfId="13" applyNumberFormat="1" applyFont="1" applyFill="1" applyBorder="1" applyAlignment="1">
      <alignment horizontal="center"/>
    </xf>
    <xf numFmtId="179" fontId="6" fillId="13" borderId="10" xfId="0" applyNumberFormat="1" applyFont="1" applyFill="1" applyBorder="1" applyAlignment="1">
      <alignment horizontal="center"/>
    </xf>
    <xf numFmtId="174" fontId="0" fillId="0" borderId="2" xfId="0" applyNumberFormat="1" applyBorder="1" applyAlignment="1">
      <alignment horizontal="center"/>
    </xf>
    <xf numFmtId="177" fontId="0" fillId="0" borderId="2" xfId="0" applyNumberFormat="1" applyBorder="1" applyAlignment="1">
      <alignment horizontal="center"/>
    </xf>
    <xf numFmtId="10" fontId="6" fillId="13" borderId="9" xfId="0" applyNumberFormat="1" applyFont="1" applyFill="1" applyBorder="1" applyAlignment="1">
      <alignment horizontal="center"/>
    </xf>
    <xf numFmtId="0" fontId="6" fillId="0" borderId="3" xfId="0" applyFont="1" applyBorder="1" applyAlignment="1">
      <alignment horizontal="center"/>
    </xf>
    <xf numFmtId="0" fontId="6" fillId="0" borderId="4" xfId="0" applyFont="1" applyBorder="1" applyAlignment="1">
      <alignment horizontal="center"/>
    </xf>
    <xf numFmtId="0" fontId="6" fillId="13" borderId="4" xfId="0" applyFont="1" applyFill="1" applyBorder="1" applyAlignment="1">
      <alignment horizontal="center"/>
    </xf>
    <xf numFmtId="0" fontId="117" fillId="13" borderId="0" xfId="0" applyFont="1" applyFill="1" applyAlignment="1">
      <alignment horizontal="left"/>
    </xf>
    <xf numFmtId="0" fontId="6" fillId="13" borderId="5" xfId="0" applyFont="1" applyFill="1" applyBorder="1" applyAlignment="1">
      <alignment horizontal="center"/>
    </xf>
    <xf numFmtId="176" fontId="0" fillId="13" borderId="7" xfId="0" applyNumberFormat="1" applyFill="1" applyBorder="1" applyAlignment="1">
      <alignment horizontal="center"/>
    </xf>
    <xf numFmtId="0" fontId="6" fillId="13" borderId="0" xfId="0" applyFont="1" applyFill="1"/>
    <xf numFmtId="176" fontId="6" fillId="13" borderId="0" xfId="0" applyNumberFormat="1" applyFont="1" applyFill="1"/>
    <xf numFmtId="0" fontId="6" fillId="0" borderId="6" xfId="0" applyFont="1" applyBorder="1" applyAlignment="1">
      <alignment horizontal="center"/>
    </xf>
    <xf numFmtId="0" fontId="6" fillId="13" borderId="8" xfId="0" applyFont="1" applyFill="1" applyBorder="1" applyAlignment="1">
      <alignment horizontal="center"/>
    </xf>
    <xf numFmtId="0" fontId="100" fillId="13" borderId="2" xfId="0" applyFont="1" applyFill="1" applyBorder="1" applyAlignment="1">
      <alignment horizontal="center"/>
    </xf>
    <xf numFmtId="3" fontId="7" fillId="0" borderId="6" xfId="0" applyNumberFormat="1" applyFont="1" applyBorder="1" applyAlignment="1">
      <alignment horizontal="center"/>
    </xf>
    <xf numFmtId="0" fontId="6" fillId="10" borderId="9" xfId="11" applyFont="1" applyBorder="1" applyAlignment="1">
      <alignment horizontal="center" wrapText="1"/>
    </xf>
    <xf numFmtId="0" fontId="57" fillId="0" borderId="0" xfId="0" applyFont="1"/>
    <xf numFmtId="0" fontId="57" fillId="0" borderId="0" xfId="0" applyFont="1" applyAlignment="1">
      <alignment horizontal="right"/>
    </xf>
    <xf numFmtId="9" fontId="57" fillId="0" borderId="0" xfId="13" applyFont="1" applyAlignment="1">
      <alignment horizontal="center" vertical="center"/>
    </xf>
    <xf numFmtId="3" fontId="28" fillId="2" borderId="60" xfId="3" applyNumberFormat="1" applyFont="1" applyBorder="1" applyAlignment="1" applyProtection="1">
      <alignment horizontal="center" vertical="center"/>
    </xf>
    <xf numFmtId="0" fontId="6" fillId="0" borderId="31" xfId="26" applyFont="1" applyBorder="1" applyAlignment="1">
      <alignment horizontal="center"/>
    </xf>
    <xf numFmtId="0" fontId="57" fillId="13" borderId="0" xfId="0" applyFont="1" applyFill="1"/>
    <xf numFmtId="0" fontId="42" fillId="0" borderId="0" xfId="0" applyFont="1"/>
    <xf numFmtId="0" fontId="0" fillId="0" borderId="4" xfId="0" applyBorder="1" applyAlignment="1">
      <alignment horizontal="center"/>
    </xf>
    <xf numFmtId="0" fontId="0" fillId="0" borderId="5" xfId="0" applyBorder="1" applyAlignment="1">
      <alignment horizontal="left"/>
    </xf>
    <xf numFmtId="170" fontId="0" fillId="0" borderId="7" xfId="1" applyNumberFormat="1" applyFont="1" applyBorder="1"/>
    <xf numFmtId="0" fontId="6" fillId="0" borderId="2" xfId="0" applyFont="1" applyBorder="1"/>
    <xf numFmtId="0" fontId="119" fillId="51" borderId="95" xfId="32" applyAlignment="1">
      <alignment horizontal="center" wrapText="1"/>
    </xf>
    <xf numFmtId="170" fontId="121" fillId="51" borderId="95" xfId="32" applyNumberFormat="1" applyFont="1"/>
    <xf numFmtId="0" fontId="121" fillId="51" borderId="95" xfId="32" applyFont="1"/>
    <xf numFmtId="0" fontId="0" fillId="0" borderId="0" xfId="0" applyAlignment="1">
      <alignment horizontal="left" vertical="top" wrapText="1"/>
    </xf>
    <xf numFmtId="3" fontId="3" fillId="0" borderId="0" xfId="26" applyNumberFormat="1"/>
    <xf numFmtId="3" fontId="8" fillId="4" borderId="2" xfId="5" applyNumberFormat="1" applyFont="1" applyBorder="1" applyAlignment="1" applyProtection="1">
      <alignment vertical="center"/>
    </xf>
    <xf numFmtId="0" fontId="124" fillId="0" borderId="26" xfId="0" applyFont="1" applyBorder="1" applyAlignment="1">
      <alignment horizontal="center" vertical="center" wrapText="1"/>
    </xf>
    <xf numFmtId="0" fontId="126" fillId="0" borderId="2" xfId="0" applyFont="1" applyBorder="1" applyAlignment="1">
      <alignment horizontal="center" vertical="center" wrapText="1"/>
    </xf>
    <xf numFmtId="3" fontId="126" fillId="0" borderId="2" xfId="0" applyNumberFormat="1" applyFont="1" applyBorder="1" applyAlignment="1">
      <alignment horizontal="center" vertical="center" wrapText="1"/>
    </xf>
    <xf numFmtId="0" fontId="126" fillId="0" borderId="4" xfId="0" applyFont="1" applyBorder="1" applyAlignment="1">
      <alignment horizontal="center" vertical="center" wrapText="1"/>
    </xf>
    <xf numFmtId="3" fontId="126" fillId="0" borderId="4" xfId="0" applyNumberFormat="1" applyFont="1" applyBorder="1" applyAlignment="1">
      <alignment horizontal="center" vertical="center" wrapText="1"/>
    </xf>
    <xf numFmtId="0" fontId="126" fillId="0" borderId="9" xfId="0" applyFont="1" applyBorder="1" applyAlignment="1">
      <alignment horizontal="center" vertical="center" wrapText="1"/>
    </xf>
    <xf numFmtId="0" fontId="124" fillId="13" borderId="26" xfId="0" applyFont="1" applyFill="1" applyBorder="1" applyAlignment="1">
      <alignment horizontal="center" vertical="center" wrapText="1"/>
    </xf>
    <xf numFmtId="0" fontId="126" fillId="13" borderId="5" xfId="0" applyFont="1" applyFill="1" applyBorder="1" applyAlignment="1">
      <alignment horizontal="center" vertical="center" wrapText="1"/>
    </xf>
    <xf numFmtId="0" fontId="126" fillId="13" borderId="7" xfId="0" applyFont="1" applyFill="1" applyBorder="1" applyAlignment="1">
      <alignment horizontal="center" vertical="center" wrapText="1"/>
    </xf>
    <xf numFmtId="0" fontId="126" fillId="13" borderId="10" xfId="0" applyFont="1" applyFill="1" applyBorder="1" applyAlignment="1">
      <alignment horizontal="center" vertical="center" wrapText="1"/>
    </xf>
    <xf numFmtId="0" fontId="3" fillId="28" borderId="3" xfId="19" applyBorder="1" applyAlignment="1">
      <alignment horizontal="center" vertical="center" wrapText="1"/>
    </xf>
    <xf numFmtId="0" fontId="3" fillId="28" borderId="6" xfId="19" applyBorder="1" applyAlignment="1">
      <alignment horizontal="center" vertical="center" wrapText="1"/>
    </xf>
    <xf numFmtId="0" fontId="3" fillId="28" borderId="8" xfId="19" applyBorder="1" applyAlignment="1">
      <alignment horizontal="center" vertical="center" wrapText="1"/>
    </xf>
    <xf numFmtId="0" fontId="3" fillId="29" borderId="6" xfId="20" applyBorder="1" applyAlignment="1">
      <alignment horizontal="center" vertical="center" wrapText="1"/>
    </xf>
    <xf numFmtId="0" fontId="3" fillId="29" borderId="8" xfId="20" applyBorder="1" applyAlignment="1">
      <alignment horizontal="center" vertical="center" wrapText="1"/>
    </xf>
    <xf numFmtId="0" fontId="5" fillId="0" borderId="0" xfId="0" applyFont="1" applyAlignment="1">
      <alignment vertical="top" wrapText="1"/>
    </xf>
    <xf numFmtId="0" fontId="126" fillId="0" borderId="0" xfId="0" applyFont="1" applyAlignment="1">
      <alignment horizontal="center" vertical="center" wrapText="1"/>
    </xf>
    <xf numFmtId="0" fontId="3" fillId="28" borderId="51" xfId="19" applyBorder="1" applyAlignment="1">
      <alignment horizontal="center" vertical="center" wrapText="1"/>
    </xf>
    <xf numFmtId="0" fontId="126" fillId="0" borderId="54" xfId="0" applyFont="1" applyBorder="1" applyAlignment="1">
      <alignment horizontal="center" vertical="center" wrapText="1"/>
    </xf>
    <xf numFmtId="3" fontId="126" fillId="0" borderId="54" xfId="0" applyNumberFormat="1" applyFont="1" applyBorder="1" applyAlignment="1">
      <alignment horizontal="center" vertical="center" wrapText="1"/>
    </xf>
    <xf numFmtId="0" fontId="126" fillId="13" borderId="55" xfId="0" applyFont="1" applyFill="1" applyBorder="1" applyAlignment="1">
      <alignment horizontal="center" vertical="center" wrapText="1"/>
    </xf>
    <xf numFmtId="0" fontId="119" fillId="51" borderId="98" xfId="32" applyBorder="1" applyAlignment="1">
      <alignment horizontal="center" wrapText="1"/>
    </xf>
    <xf numFmtId="170" fontId="121" fillId="51" borderId="98" xfId="32" applyNumberFormat="1" applyFont="1" applyBorder="1"/>
    <xf numFmtId="3" fontId="116" fillId="0" borderId="2" xfId="0" applyNumberFormat="1" applyFont="1" applyBorder="1"/>
    <xf numFmtId="9" fontId="0" fillId="0" borderId="2" xfId="13" applyFont="1" applyBorder="1"/>
    <xf numFmtId="3" fontId="14" fillId="0" borderId="2" xfId="0" applyNumberFormat="1" applyFont="1" applyBorder="1"/>
    <xf numFmtId="9" fontId="0" fillId="13" borderId="2" xfId="13" applyFont="1" applyFill="1" applyBorder="1"/>
    <xf numFmtId="3" fontId="28" fillId="0" borderId="2" xfId="0" applyNumberFormat="1" applyFont="1" applyBorder="1"/>
    <xf numFmtId="3" fontId="6" fillId="0" borderId="2" xfId="0" applyNumberFormat="1" applyFont="1" applyBorder="1"/>
    <xf numFmtId="0" fontId="0" fillId="0" borderId="32" xfId="0" applyBorder="1" applyAlignment="1">
      <alignment horizontal="center" wrapText="1"/>
    </xf>
    <xf numFmtId="0" fontId="0" fillId="0" borderId="33" xfId="0" applyBorder="1" applyAlignment="1">
      <alignment horizontal="center" wrapText="1"/>
    </xf>
    <xf numFmtId="0" fontId="115" fillId="0" borderId="33" xfId="0" applyFont="1" applyBorder="1" applyAlignment="1">
      <alignment horizontal="center" wrapText="1"/>
    </xf>
    <xf numFmtId="0" fontId="6" fillId="0" borderId="33" xfId="0" applyFont="1" applyBorder="1" applyAlignment="1">
      <alignment horizontal="center" wrapText="1"/>
    </xf>
    <xf numFmtId="3" fontId="116" fillId="0" borderId="4" xfId="0" applyNumberFormat="1" applyFont="1" applyBorder="1"/>
    <xf numFmtId="9" fontId="0" fillId="0" borderId="4" xfId="13" applyFont="1" applyBorder="1"/>
    <xf numFmtId="3" fontId="14" fillId="0" borderId="4" xfId="0" applyNumberFormat="1" applyFont="1" applyBorder="1"/>
    <xf numFmtId="0" fontId="14" fillId="0" borderId="34" xfId="0" applyFont="1" applyBorder="1" applyAlignment="1">
      <alignment horizontal="center" wrapText="1"/>
    </xf>
    <xf numFmtId="9" fontId="14" fillId="0" borderId="2" xfId="13" applyFont="1" applyBorder="1"/>
    <xf numFmtId="9" fontId="14" fillId="13" borderId="7" xfId="0" applyNumberFormat="1" applyFont="1" applyFill="1" applyBorder="1"/>
    <xf numFmtId="9" fontId="14" fillId="13" borderId="10" xfId="0" applyNumberFormat="1" applyFont="1" applyFill="1" applyBorder="1"/>
    <xf numFmtId="3" fontId="9" fillId="0" borderId="2" xfId="0" applyNumberFormat="1" applyFont="1" applyBorder="1"/>
    <xf numFmtId="3" fontId="127" fillId="0" borderId="4" xfId="0" applyNumberFormat="1" applyFont="1" applyBorder="1" applyAlignment="1">
      <alignment horizontal="center" vertical="center" wrapText="1"/>
    </xf>
    <xf numFmtId="3" fontId="127" fillId="0" borderId="2" xfId="0" applyNumberFormat="1" applyFont="1" applyBorder="1" applyAlignment="1">
      <alignment horizontal="center" vertical="center" wrapText="1"/>
    </xf>
    <xf numFmtId="3" fontId="127" fillId="0" borderId="54" xfId="0" applyNumberFormat="1" applyFont="1" applyBorder="1" applyAlignment="1">
      <alignment horizontal="center" vertical="center" wrapText="1"/>
    </xf>
    <xf numFmtId="0" fontId="127" fillId="0" borderId="2" xfId="0" applyFont="1" applyBorder="1" applyAlignment="1">
      <alignment horizontal="center" vertical="center" wrapText="1"/>
    </xf>
    <xf numFmtId="0" fontId="127" fillId="0" borderId="9" xfId="0" applyFont="1" applyBorder="1" applyAlignment="1">
      <alignment horizontal="center" vertical="center" wrapText="1"/>
    </xf>
    <xf numFmtId="177" fontId="128" fillId="0" borderId="2" xfId="13" applyNumberFormat="1" applyFont="1" applyBorder="1" applyAlignment="1">
      <alignment horizontal="center" vertical="center" wrapText="1"/>
    </xf>
    <xf numFmtId="177" fontId="126" fillId="0" borderId="2" xfId="13" applyNumberFormat="1" applyFont="1" applyBorder="1" applyAlignment="1">
      <alignment horizontal="center" vertical="center" wrapText="1"/>
    </xf>
    <xf numFmtId="0" fontId="123" fillId="0" borderId="2" xfId="0" applyFont="1" applyBorder="1"/>
    <xf numFmtId="0" fontId="123" fillId="0" borderId="9" xfId="0" applyFont="1" applyBorder="1"/>
    <xf numFmtId="0" fontId="122" fillId="13" borderId="7" xfId="0" applyFont="1" applyFill="1" applyBorder="1" applyAlignment="1">
      <alignment horizontal="center" vertical="center" wrapText="1"/>
    </xf>
    <xf numFmtId="170" fontId="122" fillId="13" borderId="7" xfId="1" applyNumberFormat="1" applyFont="1" applyFill="1" applyBorder="1" applyAlignment="1">
      <alignment horizontal="center" vertical="center" wrapText="1"/>
    </xf>
    <xf numFmtId="0" fontId="43" fillId="0" borderId="7" xfId="0" applyFont="1" applyBorder="1"/>
    <xf numFmtId="0" fontId="43" fillId="0" borderId="10" xfId="0" applyFont="1" applyBorder="1"/>
    <xf numFmtId="9" fontId="7" fillId="0" borderId="2" xfId="13" applyFont="1" applyBorder="1" applyAlignment="1">
      <alignment vertical="center"/>
    </xf>
    <xf numFmtId="9" fontId="7" fillId="0" borderId="2" xfId="0" applyNumberFormat="1" applyFont="1" applyBorder="1" applyAlignment="1">
      <alignment vertical="center"/>
    </xf>
    <xf numFmtId="177" fontId="14" fillId="0" borderId="2" xfId="0" applyNumberFormat="1" applyFont="1" applyBorder="1" applyAlignment="1">
      <alignment vertical="center"/>
    </xf>
    <xf numFmtId="0" fontId="7" fillId="13" borderId="14" xfId="0" applyFont="1" applyFill="1" applyBorder="1"/>
    <xf numFmtId="0" fontId="40" fillId="13" borderId="15" xfId="0" applyFont="1" applyFill="1" applyBorder="1"/>
    <xf numFmtId="177" fontId="7" fillId="13" borderId="15" xfId="13" applyNumberFormat="1" applyFont="1" applyFill="1" applyBorder="1"/>
    <xf numFmtId="177" fontId="7" fillId="13" borderId="15" xfId="0" applyNumberFormat="1" applyFont="1" applyFill="1" applyBorder="1" applyAlignment="1">
      <alignment vertical="center"/>
    </xf>
    <xf numFmtId="0" fontId="40" fillId="13" borderId="16" xfId="0" applyFont="1" applyFill="1" applyBorder="1"/>
    <xf numFmtId="0" fontId="5" fillId="0" borderId="8" xfId="0" applyFont="1" applyBorder="1" applyAlignment="1">
      <alignment horizontal="center" vertical="center"/>
    </xf>
    <xf numFmtId="9" fontId="7" fillId="0" borderId="9" xfId="13" applyFont="1" applyBorder="1" applyAlignment="1">
      <alignment vertical="center"/>
    </xf>
    <xf numFmtId="9" fontId="7" fillId="0" borderId="9" xfId="0" applyNumberFormat="1" applyFont="1" applyBorder="1" applyAlignment="1">
      <alignment vertical="center"/>
    </xf>
    <xf numFmtId="3" fontId="0" fillId="0" borderId="10" xfId="0" applyNumberFormat="1" applyBorder="1" applyAlignment="1">
      <alignment vertical="center"/>
    </xf>
    <xf numFmtId="0" fontId="0" fillId="0" borderId="15" xfId="0" applyBorder="1" applyAlignment="1">
      <alignment horizontal="center" vertical="center"/>
    </xf>
    <xf numFmtId="0" fontId="5" fillId="0" borderId="2" xfId="0" applyFont="1" applyBorder="1" applyAlignment="1">
      <alignment horizontal="center" vertical="center"/>
    </xf>
    <xf numFmtId="0" fontId="0" fillId="24" borderId="2" xfId="0" applyFill="1" applyBorder="1" applyAlignment="1">
      <alignment horizontal="center" vertical="center"/>
    </xf>
    <xf numFmtId="0" fontId="5" fillId="0" borderId="9" xfId="0" applyFont="1" applyBorder="1" applyAlignment="1">
      <alignment horizontal="center" vertical="center"/>
    </xf>
    <xf numFmtId="0" fontId="14" fillId="0" borderId="0" xfId="0" applyFont="1"/>
    <xf numFmtId="0" fontId="6" fillId="0" borderId="9" xfId="0" applyFont="1" applyBorder="1" applyAlignment="1">
      <alignment horizontal="left" vertical="top" wrapText="1"/>
    </xf>
    <xf numFmtId="0" fontId="0" fillId="0" borderId="15" xfId="0" applyBorder="1" applyAlignment="1">
      <alignment horizontal="left" vertical="top" wrapText="1"/>
    </xf>
    <xf numFmtId="0" fontId="0" fillId="0" borderId="15" xfId="0" applyBorder="1" applyAlignment="1">
      <alignment horizontal="left" vertical="top"/>
    </xf>
    <xf numFmtId="3" fontId="0" fillId="0" borderId="15" xfId="0" applyNumberFormat="1" applyBorder="1" applyAlignment="1">
      <alignment horizontal="right" vertical="top" wrapText="1"/>
    </xf>
    <xf numFmtId="0" fontId="0" fillId="0" borderId="2" xfId="0" applyBorder="1" applyAlignment="1">
      <alignment horizontal="left" vertical="top" wrapText="1"/>
    </xf>
    <xf numFmtId="0" fontId="0" fillId="0" borderId="2" xfId="0" applyBorder="1" applyAlignment="1">
      <alignment horizontal="left" vertical="top"/>
    </xf>
    <xf numFmtId="3" fontId="0" fillId="0" borderId="2" xfId="0" applyNumberFormat="1" applyBorder="1" applyAlignment="1">
      <alignment horizontal="right" vertical="top" wrapText="1"/>
    </xf>
    <xf numFmtId="3" fontId="0" fillId="0" borderId="2" xfId="0" applyNumberFormat="1" applyBorder="1" applyAlignment="1">
      <alignment horizontal="right" vertical="top"/>
    </xf>
    <xf numFmtId="0" fontId="107" fillId="0" borderId="2" xfId="0" applyFont="1" applyBorder="1" applyAlignment="1">
      <alignment horizontal="left" vertical="top" wrapText="1"/>
    </xf>
    <xf numFmtId="3" fontId="107" fillId="0" borderId="2" xfId="0" applyNumberFormat="1" applyFont="1" applyBorder="1" applyAlignment="1">
      <alignment horizontal="right" vertical="top"/>
    </xf>
    <xf numFmtId="0" fontId="60" fillId="39" borderId="2" xfId="23" applyBorder="1" applyAlignment="1">
      <alignment horizontal="center" vertical="center"/>
    </xf>
    <xf numFmtId="0" fontId="60" fillId="39" borderId="15" xfId="23" applyBorder="1" applyAlignment="1">
      <alignment horizontal="center" vertical="center"/>
    </xf>
    <xf numFmtId="0" fontId="60" fillId="39" borderId="2" xfId="23" applyBorder="1" applyAlignment="1">
      <alignment horizontal="left" vertical="top" wrapText="1"/>
    </xf>
    <xf numFmtId="0" fontId="60" fillId="39" borderId="2" xfId="23" applyBorder="1" applyAlignment="1">
      <alignment horizontal="left" vertical="top"/>
    </xf>
    <xf numFmtId="3" fontId="60" fillId="39" borderId="2" xfId="23" applyNumberFormat="1" applyBorder="1" applyAlignment="1">
      <alignment horizontal="right" vertical="top" wrapText="1"/>
    </xf>
    <xf numFmtId="0" fontId="14" fillId="0" borderId="2" xfId="0" applyFont="1" applyBorder="1" applyAlignment="1">
      <alignment horizontal="left" vertical="top" wrapText="1"/>
    </xf>
    <xf numFmtId="3" fontId="14" fillId="0" borderId="2" xfId="0" applyNumberFormat="1" applyFont="1" applyBorder="1" applyAlignment="1">
      <alignment horizontal="right" vertical="top" wrapText="1"/>
    </xf>
    <xf numFmtId="3" fontId="14" fillId="0" borderId="2" xfId="0" applyNumberFormat="1" applyFont="1" applyBorder="1" applyAlignment="1">
      <alignment horizontal="right" vertical="top"/>
    </xf>
    <xf numFmtId="3" fontId="0" fillId="0" borderId="2" xfId="0" applyNumberFormat="1" applyBorder="1" applyAlignment="1">
      <alignment horizontal="left" vertical="top" wrapText="1"/>
    </xf>
    <xf numFmtId="0" fontId="5" fillId="0" borderId="2" xfId="0" applyFont="1" applyBorder="1" applyAlignment="1">
      <alignment horizontal="left" vertical="top" wrapText="1"/>
    </xf>
    <xf numFmtId="0" fontId="5" fillId="0" borderId="0" xfId="0" applyFont="1" applyAlignment="1">
      <alignment horizontal="center" vertical="top"/>
    </xf>
    <xf numFmtId="172" fontId="6" fillId="0" borderId="7" xfId="0" applyNumberFormat="1" applyFont="1" applyBorder="1"/>
    <xf numFmtId="172" fontId="0" fillId="0" borderId="35" xfId="0" applyNumberFormat="1" applyBorder="1"/>
    <xf numFmtId="172" fontId="0" fillId="0" borderId="36" xfId="0" applyNumberFormat="1" applyBorder="1"/>
    <xf numFmtId="172" fontId="0" fillId="0" borderId="37" xfId="0" applyNumberFormat="1" applyBorder="1"/>
    <xf numFmtId="0" fontId="0" fillId="0" borderId="60" xfId="0" pivotButton="1" applyBorder="1"/>
    <xf numFmtId="0" fontId="0" fillId="0" borderId="62" xfId="0" applyBorder="1" applyAlignment="1">
      <alignment horizontal="center"/>
    </xf>
    <xf numFmtId="0" fontId="9" fillId="0" borderId="0" xfId="0" applyFont="1" applyAlignment="1">
      <alignment horizontal="left" vertical="center"/>
    </xf>
    <xf numFmtId="0" fontId="98" fillId="0" borderId="0" xfId="0" applyFont="1" applyAlignment="1">
      <alignment horizontal="right"/>
    </xf>
    <xf numFmtId="170" fontId="8" fillId="0" borderId="0" xfId="1" applyNumberFormat="1" applyFont="1" applyAlignment="1">
      <alignment horizontal="right"/>
    </xf>
    <xf numFmtId="0" fontId="129" fillId="43" borderId="43" xfId="26" applyFont="1" applyFill="1" applyBorder="1" applyAlignment="1">
      <alignment horizontal="center" wrapText="1"/>
    </xf>
    <xf numFmtId="0" fontId="68" fillId="43" borderId="37" xfId="26" applyFont="1" applyFill="1" applyBorder="1" applyAlignment="1">
      <alignment horizontal="center" wrapText="1"/>
    </xf>
    <xf numFmtId="3" fontId="15" fillId="4" borderId="54" xfId="5" applyNumberFormat="1" applyFont="1" applyBorder="1" applyAlignment="1" applyProtection="1">
      <alignment vertical="center"/>
    </xf>
    <xf numFmtId="0" fontId="14" fillId="3" borderId="55" xfId="4" applyFont="1" applyBorder="1" applyProtection="1">
      <protection locked="0"/>
    </xf>
    <xf numFmtId="167" fontId="45" fillId="32" borderId="54" xfId="6" applyNumberFormat="1" applyFont="1" applyFill="1" applyBorder="1" applyAlignment="1" applyProtection="1">
      <alignment horizontal="center"/>
      <protection locked="0"/>
    </xf>
    <xf numFmtId="164" fontId="3" fillId="6" borderId="81" xfId="7" applyNumberFormat="1" applyBorder="1" applyAlignment="1" applyProtection="1">
      <alignment horizontal="center"/>
    </xf>
    <xf numFmtId="167" fontId="3" fillId="6" borderId="81" xfId="7" applyNumberFormat="1" applyBorder="1" applyAlignment="1" applyProtection="1">
      <alignment horizontal="center"/>
    </xf>
    <xf numFmtId="0" fontId="14" fillId="5" borderId="55" xfId="6" applyFont="1" applyBorder="1" applyProtection="1">
      <protection locked="0"/>
    </xf>
    <xf numFmtId="166" fontId="3" fillId="14" borderId="51" xfId="16" applyNumberFormat="1" applyBorder="1" applyProtection="1">
      <protection locked="0"/>
    </xf>
    <xf numFmtId="166" fontId="3" fillId="14" borderId="54" xfId="16" applyNumberFormat="1" applyBorder="1" applyProtection="1">
      <protection locked="0"/>
    </xf>
    <xf numFmtId="166" fontId="3" fillId="14" borderId="94" xfId="16" applyNumberFormat="1" applyBorder="1" applyProtection="1">
      <protection locked="0"/>
    </xf>
    <xf numFmtId="0" fontId="3" fillId="14" borderId="55" xfId="16" applyBorder="1" applyProtection="1">
      <protection locked="0"/>
    </xf>
    <xf numFmtId="170" fontId="9" fillId="19" borderId="2" xfId="1" applyNumberFormat="1" applyFont="1" applyFill="1" applyBorder="1" applyProtection="1">
      <protection locked="0"/>
    </xf>
    <xf numFmtId="170" fontId="8" fillId="19" borderId="2" xfId="1" applyNumberFormat="1" applyFont="1" applyFill="1" applyBorder="1" applyProtection="1">
      <protection locked="0"/>
    </xf>
    <xf numFmtId="0" fontId="107" fillId="0" borderId="15" xfId="0" applyFont="1" applyBorder="1" applyAlignment="1">
      <alignment horizontal="left" vertical="top" wrapText="1"/>
    </xf>
    <xf numFmtId="3" fontId="0" fillId="0" borderId="15" xfId="0" applyNumberFormat="1" applyBorder="1" applyAlignment="1">
      <alignment horizontal="right" vertical="top"/>
    </xf>
    <xf numFmtId="1" fontId="0" fillId="0" borderId="0" xfId="0" applyNumberFormat="1"/>
    <xf numFmtId="0" fontId="103" fillId="48" borderId="95" xfId="30" applyAlignment="1">
      <alignment horizontal="center" vertical="top" wrapText="1"/>
    </xf>
    <xf numFmtId="0" fontId="126" fillId="0" borderId="15" xfId="0" applyFont="1" applyBorder="1" applyAlignment="1">
      <alignment horizontal="center" vertical="center" wrapText="1"/>
    </xf>
    <xf numFmtId="0" fontId="122" fillId="13" borderId="16" xfId="0" applyFont="1" applyFill="1" applyBorder="1" applyAlignment="1">
      <alignment horizontal="center" vertical="center" wrapText="1"/>
    </xf>
    <xf numFmtId="0" fontId="3" fillId="29" borderId="14" xfId="20" applyBorder="1" applyAlignment="1">
      <alignment horizontal="center" vertical="center" wrapText="1"/>
    </xf>
    <xf numFmtId="0" fontId="117" fillId="0" borderId="60" xfId="0" applyFont="1" applyBorder="1"/>
    <xf numFmtId="0" fontId="126" fillId="0" borderId="59" xfId="0" applyFont="1" applyBorder="1" applyAlignment="1">
      <alignment horizontal="center" vertical="center" wrapText="1"/>
    </xf>
    <xf numFmtId="0" fontId="126" fillId="0" borderId="36" xfId="0" applyFont="1" applyBorder="1" applyAlignment="1">
      <alignment horizontal="center" vertical="center" wrapText="1"/>
    </xf>
    <xf numFmtId="0" fontId="126" fillId="13" borderId="37" xfId="0" applyFont="1" applyFill="1" applyBorder="1" applyAlignment="1">
      <alignment horizontal="center" vertical="center" wrapText="1"/>
    </xf>
    <xf numFmtId="0" fontId="3" fillId="28" borderId="57" xfId="19" applyBorder="1" applyAlignment="1">
      <alignment horizontal="center" vertical="center" wrapText="1"/>
    </xf>
    <xf numFmtId="0" fontId="127" fillId="0" borderId="0" xfId="0" applyFont="1" applyAlignment="1">
      <alignment horizontal="center" vertical="center" wrapText="1"/>
    </xf>
    <xf numFmtId="0" fontId="126" fillId="0" borderId="46" xfId="0" applyFont="1" applyBorder="1" applyAlignment="1">
      <alignment horizontal="center" vertical="center" wrapText="1"/>
    </xf>
    <xf numFmtId="0" fontId="126" fillId="13" borderId="47" xfId="0" applyFont="1" applyFill="1" applyBorder="1" applyAlignment="1">
      <alignment horizontal="center" vertical="center" wrapText="1"/>
    </xf>
    <xf numFmtId="3" fontId="59" fillId="38" borderId="16" xfId="22" applyNumberFormat="1" applyBorder="1" applyAlignment="1">
      <alignment vertical="center"/>
    </xf>
    <xf numFmtId="3" fontId="59" fillId="38" borderId="7" xfId="22" applyNumberFormat="1" applyBorder="1" applyAlignment="1">
      <alignment vertical="center"/>
    </xf>
    <xf numFmtId="0" fontId="59" fillId="38" borderId="37" xfId="22" applyBorder="1" applyAlignment="1">
      <alignment horizontal="center"/>
    </xf>
    <xf numFmtId="9" fontId="0" fillId="0" borderId="0" xfId="13" applyFont="1" applyAlignment="1">
      <alignment horizontal="center"/>
    </xf>
    <xf numFmtId="0" fontId="126" fillId="0" borderId="6" xfId="0" applyFont="1" applyBorder="1" applyAlignment="1">
      <alignment horizontal="center" vertical="center" wrapText="1"/>
    </xf>
    <xf numFmtId="0" fontId="126" fillId="0" borderId="8" xfId="0" applyFont="1" applyBorder="1" applyAlignment="1">
      <alignment horizontal="center" vertical="center" wrapText="1"/>
    </xf>
    <xf numFmtId="3" fontId="126" fillId="0" borderId="9" xfId="0" applyNumberFormat="1" applyFont="1" applyBorder="1" applyAlignment="1">
      <alignment horizontal="center" vertical="center" wrapText="1"/>
    </xf>
    <xf numFmtId="177" fontId="126" fillId="0" borderId="9" xfId="13" applyNumberFormat="1" applyFont="1" applyBorder="1" applyAlignment="1">
      <alignment horizontal="center" vertical="center" wrapText="1"/>
    </xf>
    <xf numFmtId="0" fontId="126" fillId="0" borderId="14" xfId="0" applyFont="1" applyBorder="1" applyAlignment="1">
      <alignment horizontal="center" vertical="center" wrapText="1"/>
    </xf>
    <xf numFmtId="3" fontId="126" fillId="0" borderId="15" xfId="0" applyNumberFormat="1" applyFont="1" applyBorder="1" applyAlignment="1">
      <alignment horizontal="center" vertical="center" wrapText="1"/>
    </xf>
    <xf numFmtId="177" fontId="126" fillId="0" borderId="15" xfId="13" applyNumberFormat="1" applyFont="1" applyBorder="1" applyAlignment="1">
      <alignment horizontal="center" vertical="center" wrapText="1"/>
    </xf>
    <xf numFmtId="177" fontId="0" fillId="0" borderId="15" xfId="13" applyNumberFormat="1" applyFont="1" applyBorder="1" applyAlignment="1">
      <alignment horizontal="center" vertical="center"/>
    </xf>
    <xf numFmtId="177" fontId="0" fillId="0" borderId="2" xfId="13" applyNumberFormat="1" applyFont="1" applyBorder="1" applyAlignment="1">
      <alignment horizontal="center" vertical="center"/>
    </xf>
    <xf numFmtId="177" fontId="0" fillId="0" borderId="9" xfId="13" applyNumberFormat="1" applyFont="1" applyBorder="1" applyAlignment="1">
      <alignment horizontal="center" vertical="center"/>
    </xf>
    <xf numFmtId="177" fontId="5" fillId="0" borderId="2" xfId="13" applyNumberFormat="1" applyFont="1" applyBorder="1" applyAlignment="1">
      <alignment horizontal="center" vertical="center"/>
    </xf>
    <xf numFmtId="3" fontId="128" fillId="0" borderId="15" xfId="0" applyNumberFormat="1" applyFont="1" applyBorder="1" applyAlignment="1">
      <alignment horizontal="center" vertical="center" wrapText="1"/>
    </xf>
    <xf numFmtId="0" fontId="5" fillId="0" borderId="0" xfId="0" applyFont="1" applyAlignment="1">
      <alignment wrapText="1"/>
    </xf>
    <xf numFmtId="0" fontId="6" fillId="0" borderId="37" xfId="0" applyFont="1" applyBorder="1" applyAlignment="1">
      <alignment horizontal="center"/>
    </xf>
    <xf numFmtId="176" fontId="0" fillId="0" borderId="19" xfId="0" applyNumberFormat="1" applyBorder="1" applyAlignment="1">
      <alignment horizontal="center"/>
    </xf>
    <xf numFmtId="176" fontId="0" fillId="0" borderId="20" xfId="0" applyNumberFormat="1" applyBorder="1" applyAlignment="1">
      <alignment horizontal="center"/>
    </xf>
    <xf numFmtId="0" fontId="0" fillId="0" borderId="20" xfId="0" applyBorder="1" applyAlignment="1">
      <alignment horizontal="center"/>
    </xf>
    <xf numFmtId="0" fontId="0" fillId="0" borderId="18" xfId="0" applyBorder="1" applyAlignment="1">
      <alignment horizontal="center"/>
    </xf>
    <xf numFmtId="0" fontId="0" fillId="0" borderId="20" xfId="0" applyBorder="1" applyAlignment="1">
      <alignment horizontal="left"/>
    </xf>
    <xf numFmtId="0" fontId="6" fillId="0" borderId="20" xfId="0" applyFont="1" applyBorder="1" applyAlignment="1">
      <alignment horizontal="left"/>
    </xf>
    <xf numFmtId="0" fontId="0" fillId="0" borderId="19" xfId="0" applyBorder="1" applyAlignment="1">
      <alignment horizontal="left"/>
    </xf>
    <xf numFmtId="0" fontId="0" fillId="0" borderId="67" xfId="0" applyBorder="1" applyAlignment="1">
      <alignment horizontal="left"/>
    </xf>
    <xf numFmtId="0" fontId="0" fillId="0" borderId="67" xfId="0" applyBorder="1" applyAlignment="1">
      <alignment horizontal="center"/>
    </xf>
    <xf numFmtId="0" fontId="0" fillId="0" borderId="37" xfId="0" applyBorder="1" applyAlignment="1">
      <alignment horizontal="center"/>
    </xf>
    <xf numFmtId="0" fontId="0" fillId="25" borderId="6" xfId="0" applyFill="1" applyBorder="1" applyAlignment="1">
      <alignment horizontal="center"/>
    </xf>
    <xf numFmtId="0" fontId="0" fillId="25" borderId="0" xfId="0" applyFill="1" applyAlignment="1">
      <alignment horizontal="left"/>
    </xf>
    <xf numFmtId="0" fontId="0" fillId="25" borderId="0" xfId="0" applyFill="1" applyAlignment="1">
      <alignment horizontal="center"/>
    </xf>
    <xf numFmtId="0" fontId="0" fillId="17" borderId="14" xfId="0" applyFill="1" applyBorder="1" applyAlignment="1">
      <alignment horizontal="center"/>
    </xf>
    <xf numFmtId="0" fontId="0" fillId="17" borderId="16" xfId="0" applyFill="1" applyBorder="1" applyAlignment="1">
      <alignment horizontal="center"/>
    </xf>
    <xf numFmtId="0" fontId="0" fillId="17" borderId="0" xfId="0" applyFill="1" applyAlignment="1">
      <alignment horizontal="left"/>
    </xf>
    <xf numFmtId="0" fontId="0" fillId="17" borderId="0" xfId="0" applyFill="1" applyAlignment="1">
      <alignment horizontal="center"/>
    </xf>
    <xf numFmtId="0" fontId="6" fillId="17" borderId="0" xfId="0" applyFont="1" applyFill="1"/>
    <xf numFmtId="0" fontId="0" fillId="17" borderId="92" xfId="0" applyFill="1" applyBorder="1"/>
    <xf numFmtId="0" fontId="0" fillId="17" borderId="0" xfId="0" applyFill="1"/>
    <xf numFmtId="177" fontId="0" fillId="0" borderId="46" xfId="0" applyNumberFormat="1" applyBorder="1" applyAlignment="1">
      <alignment horizontal="center" vertical="center"/>
    </xf>
    <xf numFmtId="3" fontId="122" fillId="0" borderId="15" xfId="0" applyNumberFormat="1" applyFont="1" applyBorder="1" applyAlignment="1">
      <alignment horizontal="center" vertical="center" wrapText="1"/>
    </xf>
    <xf numFmtId="3" fontId="132" fillId="0" borderId="15" xfId="0" applyNumberFormat="1" applyFont="1" applyBorder="1" applyAlignment="1">
      <alignment horizontal="center" vertical="center" wrapText="1"/>
    </xf>
    <xf numFmtId="0" fontId="6" fillId="0" borderId="36" xfId="0" applyFont="1" applyBorder="1" applyAlignment="1">
      <alignment horizontal="center"/>
    </xf>
    <xf numFmtId="177" fontId="6" fillId="0" borderId="15" xfId="0" applyNumberFormat="1" applyFont="1" applyBorder="1" applyAlignment="1">
      <alignment horizontal="center" vertical="center"/>
    </xf>
    <xf numFmtId="177" fontId="6" fillId="0" borderId="2" xfId="0" applyNumberFormat="1" applyFont="1" applyBorder="1" applyAlignment="1">
      <alignment horizontal="center" vertical="center"/>
    </xf>
    <xf numFmtId="177" fontId="7" fillId="0" borderId="2" xfId="0" applyNumberFormat="1" applyFont="1" applyBorder="1" applyAlignment="1">
      <alignment horizontal="center" vertical="center"/>
    </xf>
    <xf numFmtId="177" fontId="6" fillId="0" borderId="9" xfId="0" applyNumberFormat="1" applyFont="1" applyBorder="1" applyAlignment="1">
      <alignment horizontal="center" vertical="center"/>
    </xf>
    <xf numFmtId="3" fontId="122" fillId="0" borderId="2" xfId="0" applyNumberFormat="1" applyFont="1" applyBorder="1" applyAlignment="1">
      <alignment horizontal="center" vertical="center" wrapText="1"/>
    </xf>
    <xf numFmtId="3" fontId="122" fillId="0" borderId="9" xfId="0" applyNumberFormat="1" applyFont="1" applyBorder="1" applyAlignment="1">
      <alignment horizontal="center" vertical="center" wrapText="1"/>
    </xf>
    <xf numFmtId="0" fontId="0" fillId="0" borderId="35" xfId="0" applyBorder="1"/>
    <xf numFmtId="0" fontId="0" fillId="0" borderId="37" xfId="0" applyBorder="1"/>
    <xf numFmtId="9" fontId="6" fillId="0" borderId="16" xfId="13" applyFont="1" applyBorder="1"/>
    <xf numFmtId="9" fontId="6" fillId="0" borderId="7" xfId="13" applyFont="1" applyBorder="1"/>
    <xf numFmtId="9" fontId="6" fillId="0" borderId="10" xfId="13" applyFont="1" applyBorder="1"/>
    <xf numFmtId="170" fontId="6" fillId="0" borderId="14" xfId="1" applyNumberFormat="1" applyFont="1" applyBorder="1"/>
    <xf numFmtId="170" fontId="6" fillId="0" borderId="6" xfId="1" applyNumberFormat="1" applyFont="1" applyBorder="1"/>
    <xf numFmtId="170" fontId="6" fillId="0" borderId="8" xfId="1" applyNumberFormat="1" applyFont="1" applyBorder="1"/>
    <xf numFmtId="3" fontId="3" fillId="0" borderId="38" xfId="26" applyNumberFormat="1" applyBorder="1"/>
    <xf numFmtId="0" fontId="6" fillId="0" borderId="32" xfId="0" applyFont="1" applyBorder="1" applyAlignment="1">
      <alignment horizontal="center" vertical="center" wrapText="1"/>
    </xf>
    <xf numFmtId="0" fontId="6" fillId="0" borderId="33" xfId="0" applyFont="1" applyBorder="1" applyAlignment="1">
      <alignment horizontal="center" vertical="center" wrapText="1"/>
    </xf>
    <xf numFmtId="0" fontId="122" fillId="0" borderId="33" xfId="0" applyFont="1" applyBorder="1" applyAlignment="1">
      <alignment horizontal="center" vertical="center" wrapText="1"/>
    </xf>
    <xf numFmtId="0" fontId="133" fillId="0" borderId="33" xfId="0" applyFont="1" applyBorder="1" applyAlignment="1">
      <alignment horizontal="center" vertical="center" wrapText="1"/>
    </xf>
    <xf numFmtId="0" fontId="133" fillId="0" borderId="34" xfId="0" applyFont="1" applyBorder="1" applyAlignment="1">
      <alignment horizontal="center" vertical="center" wrapText="1"/>
    </xf>
    <xf numFmtId="0" fontId="0" fillId="0" borderId="0" xfId="0" applyAlignment="1">
      <alignment horizontal="center" vertical="center"/>
    </xf>
    <xf numFmtId="0" fontId="134" fillId="0" borderId="0" xfId="0" applyFont="1"/>
    <xf numFmtId="0" fontId="136" fillId="0" borderId="0" xfId="0" applyFont="1" applyAlignment="1">
      <alignment vertical="center"/>
    </xf>
    <xf numFmtId="0" fontId="123" fillId="0" borderId="0" xfId="0" applyFont="1" applyAlignment="1">
      <alignment vertical="center"/>
    </xf>
    <xf numFmtId="0" fontId="137" fillId="0" borderId="0" xfId="0" applyFont="1" applyAlignment="1">
      <alignment vertical="center"/>
    </xf>
    <xf numFmtId="0" fontId="0" fillId="0" borderId="60" xfId="0" applyBorder="1" applyAlignment="1">
      <alignment horizontal="center" wrapText="1"/>
    </xf>
    <xf numFmtId="0" fontId="0" fillId="0" borderId="59" xfId="0" applyBorder="1" applyAlignment="1">
      <alignment horizontal="center" wrapText="1"/>
    </xf>
    <xf numFmtId="0" fontId="0" fillId="0" borderId="29" xfId="0" applyBorder="1" applyAlignment="1">
      <alignment horizontal="center" wrapText="1"/>
    </xf>
    <xf numFmtId="0" fontId="0" fillId="0" borderId="26" xfId="0" applyBorder="1" applyAlignment="1">
      <alignment horizontal="center" wrapText="1"/>
    </xf>
    <xf numFmtId="3" fontId="0" fillId="0" borderId="6" xfId="0" applyNumberFormat="1" applyBorder="1"/>
    <xf numFmtId="177" fontId="117" fillId="0" borderId="0" xfId="13" applyNumberFormat="1" applyFont="1"/>
    <xf numFmtId="0" fontId="139" fillId="0" borderId="0" xfId="0" applyFont="1"/>
    <xf numFmtId="9" fontId="0" fillId="0" borderId="7" xfId="13" applyFont="1" applyBorder="1" applyAlignment="1">
      <alignment horizontal="center"/>
    </xf>
    <xf numFmtId="177" fontId="0" fillId="0" borderId="7" xfId="13" applyNumberFormat="1" applyFont="1" applyBorder="1" applyAlignment="1">
      <alignment horizontal="center"/>
    </xf>
    <xf numFmtId="0" fontId="0" fillId="0" borderId="62" xfId="0" pivotButton="1" applyBorder="1" applyAlignment="1">
      <alignment horizontal="center" wrapText="1"/>
    </xf>
    <xf numFmtId="0" fontId="0" fillId="0" borderId="27" xfId="0" applyBorder="1" applyAlignment="1">
      <alignment horizontal="center" wrapText="1"/>
    </xf>
    <xf numFmtId="0" fontId="140" fillId="0" borderId="59" xfId="0" applyFont="1" applyBorder="1" applyAlignment="1">
      <alignment horizontal="center" wrapText="1"/>
    </xf>
    <xf numFmtId="0" fontId="140" fillId="0" borderId="60" xfId="0" applyFont="1" applyBorder="1" applyAlignment="1">
      <alignment horizontal="center" wrapText="1"/>
    </xf>
    <xf numFmtId="0" fontId="0" fillId="0" borderId="35" xfId="0" applyBorder="1" applyAlignment="1">
      <alignment horizontal="center" wrapText="1"/>
    </xf>
    <xf numFmtId="0" fontId="0" fillId="0" borderId="37" xfId="0" applyBorder="1" applyAlignment="1">
      <alignment horizontal="center" wrapText="1"/>
    </xf>
    <xf numFmtId="0" fontId="135" fillId="15" borderId="2" xfId="0" applyFont="1" applyFill="1" applyBorder="1" applyAlignment="1">
      <alignment horizontal="center" vertical="center" wrapText="1"/>
    </xf>
    <xf numFmtId="0" fontId="14" fillId="15" borderId="6" xfId="0" applyFont="1" applyFill="1" applyBorder="1" applyAlignment="1">
      <alignment horizontal="center" vertical="center" wrapText="1"/>
    </xf>
    <xf numFmtId="0" fontId="14" fillId="15" borderId="2" xfId="0" applyFont="1" applyFill="1" applyBorder="1" applyAlignment="1">
      <alignment horizontal="center" vertical="center" wrapText="1"/>
    </xf>
    <xf numFmtId="177" fontId="126" fillId="15" borderId="2" xfId="13" applyNumberFormat="1" applyFont="1" applyFill="1" applyBorder="1" applyAlignment="1">
      <alignment horizontal="center" vertical="center" wrapText="1"/>
    </xf>
    <xf numFmtId="172" fontId="127" fillId="15" borderId="2" xfId="31" applyNumberFormat="1" applyFont="1" applyFill="1" applyBorder="1" applyAlignment="1">
      <alignment horizontal="center" vertical="center" wrapText="1"/>
    </xf>
    <xf numFmtId="172" fontId="135" fillId="15" borderId="2" xfId="31" applyNumberFormat="1" applyFont="1" applyFill="1" applyBorder="1" applyAlignment="1">
      <alignment horizontal="center" vertical="center" wrapText="1"/>
    </xf>
    <xf numFmtId="0" fontId="14" fillId="19" borderId="6" xfId="0" applyFont="1" applyFill="1" applyBorder="1" applyAlignment="1">
      <alignment horizontal="center" vertical="center" wrapText="1"/>
    </xf>
    <xf numFmtId="0" fontId="14" fillId="19" borderId="2" xfId="0" applyFont="1" applyFill="1" applyBorder="1" applyAlignment="1">
      <alignment horizontal="center" vertical="center" wrapText="1"/>
    </xf>
    <xf numFmtId="177" fontId="135" fillId="19" borderId="2" xfId="13" applyNumberFormat="1" applyFont="1" applyFill="1" applyBorder="1" applyAlignment="1">
      <alignment horizontal="center" vertical="center" wrapText="1"/>
    </xf>
    <xf numFmtId="172" fontId="135" fillId="19" borderId="2" xfId="31" applyNumberFormat="1" applyFont="1" applyFill="1" applyBorder="1" applyAlignment="1">
      <alignment horizontal="center" vertical="center" wrapText="1"/>
    </xf>
    <xf numFmtId="0" fontId="14" fillId="52" borderId="6" xfId="0" applyFont="1" applyFill="1" applyBorder="1" applyAlignment="1">
      <alignment horizontal="center" vertical="center" wrapText="1"/>
    </xf>
    <xf numFmtId="0" fontId="14" fillId="52" borderId="2" xfId="0" applyFont="1" applyFill="1" applyBorder="1" applyAlignment="1">
      <alignment horizontal="center" vertical="center" wrapText="1"/>
    </xf>
    <xf numFmtId="177" fontId="135" fillId="52" borderId="2" xfId="13" applyNumberFormat="1" applyFont="1" applyFill="1" applyBorder="1" applyAlignment="1">
      <alignment horizontal="center" vertical="center" wrapText="1"/>
    </xf>
    <xf numFmtId="172" fontId="135" fillId="52" borderId="2" xfId="31" applyNumberFormat="1" applyFont="1" applyFill="1" applyBorder="1" applyAlignment="1">
      <alignment horizontal="center" vertical="center" wrapText="1"/>
    </xf>
    <xf numFmtId="9" fontId="135" fillId="52" borderId="7" xfId="13" applyFont="1" applyFill="1" applyBorder="1" applyAlignment="1">
      <alignment horizontal="center" vertical="center" wrapText="1"/>
    </xf>
    <xf numFmtId="0" fontId="14" fillId="52" borderId="8" xfId="0" applyFont="1" applyFill="1" applyBorder="1" applyAlignment="1">
      <alignment horizontal="center" vertical="center" wrapText="1"/>
    </xf>
    <xf numFmtId="0" fontId="14" fillId="52" borderId="9" xfId="0" applyFont="1" applyFill="1" applyBorder="1" applyAlignment="1">
      <alignment horizontal="center" vertical="center" wrapText="1"/>
    </xf>
    <xf numFmtId="3" fontId="142" fillId="31" borderId="6" xfId="1" applyNumberFormat="1" applyFont="1" applyFill="1" applyBorder="1" applyProtection="1"/>
    <xf numFmtId="3" fontId="142" fillId="31" borderId="2" xfId="1" applyNumberFormat="1" applyFont="1" applyFill="1" applyBorder="1" applyProtection="1"/>
    <xf numFmtId="0" fontId="6" fillId="7" borderId="62" xfId="8" applyFont="1" applyBorder="1" applyAlignment="1" applyProtection="1">
      <alignment horizontal="center" vertical="center" wrapText="1"/>
    </xf>
    <xf numFmtId="0" fontId="57" fillId="7" borderId="24" xfId="8" applyFont="1" applyBorder="1" applyAlignment="1" applyProtection="1">
      <alignment horizontal="left" vertical="center" wrapText="1"/>
      <protection locked="0"/>
    </xf>
    <xf numFmtId="10" fontId="3" fillId="7" borderId="24" xfId="13" applyNumberFormat="1" applyFill="1" applyBorder="1" applyAlignment="1" applyProtection="1">
      <alignment horizontal="left" vertical="center" wrapText="1"/>
      <protection locked="0"/>
    </xf>
    <xf numFmtId="0" fontId="74" fillId="0" borderId="62" xfId="26" applyFont="1" applyBorder="1" applyAlignment="1">
      <alignment horizontal="center" wrapText="1"/>
    </xf>
    <xf numFmtId="0" fontId="77" fillId="0" borderId="36" xfId="22" applyFont="1" applyFill="1" applyBorder="1" applyAlignment="1">
      <alignment horizontal="center" wrapText="1"/>
    </xf>
    <xf numFmtId="3" fontId="14" fillId="0" borderId="20" xfId="26" applyNumberFormat="1" applyFont="1" applyBorder="1"/>
    <xf numFmtId="3" fontId="14" fillId="0" borderId="2" xfId="26" applyNumberFormat="1" applyFont="1" applyBorder="1"/>
    <xf numFmtId="9" fontId="14" fillId="0" borderId="2" xfId="26" applyNumberFormat="1" applyFont="1" applyBorder="1" applyAlignment="1">
      <alignment horizontal="center" wrapText="1"/>
    </xf>
    <xf numFmtId="177" fontId="14" fillId="0" borderId="2" xfId="13" applyNumberFormat="1" applyFont="1" applyFill="1" applyBorder="1"/>
    <xf numFmtId="3" fontId="14" fillId="0" borderId="9" xfId="26" applyNumberFormat="1" applyFont="1" applyBorder="1"/>
    <xf numFmtId="0" fontId="74" fillId="0" borderId="59" xfId="26" applyFont="1" applyBorder="1" applyAlignment="1">
      <alignment horizontal="center" wrapText="1"/>
    </xf>
    <xf numFmtId="0" fontId="74" fillId="0" borderId="36" xfId="26" applyFont="1" applyBorder="1" applyAlignment="1">
      <alignment horizontal="center" wrapText="1"/>
    </xf>
    <xf numFmtId="0" fontId="74" fillId="0" borderId="37" xfId="26" applyFont="1" applyBorder="1" applyAlignment="1">
      <alignment horizontal="center" wrapText="1"/>
    </xf>
    <xf numFmtId="0" fontId="14" fillId="0" borderId="59" xfId="23" applyFont="1" applyFill="1" applyBorder="1" applyAlignment="1">
      <alignment horizontal="center" wrapText="1"/>
    </xf>
    <xf numFmtId="0" fontId="77" fillId="0" borderId="36" xfId="26" applyFont="1" applyBorder="1" applyAlignment="1">
      <alignment horizontal="center" wrapText="1"/>
    </xf>
    <xf numFmtId="0" fontId="14" fillId="0" borderId="36" xfId="26" applyFont="1" applyBorder="1" applyAlignment="1">
      <alignment horizontal="center" wrapText="1"/>
    </xf>
    <xf numFmtId="0" fontId="14" fillId="0" borderId="2" xfId="26" applyFont="1" applyBorder="1" applyAlignment="1">
      <alignment horizontal="center" wrapText="1"/>
    </xf>
    <xf numFmtId="3" fontId="14" fillId="0" borderId="15" xfId="26" applyNumberFormat="1" applyFont="1" applyBorder="1"/>
    <xf numFmtId="3" fontId="14" fillId="0" borderId="49" xfId="26" applyNumberFormat="1" applyFont="1" applyBorder="1" applyAlignment="1">
      <alignment horizontal="center"/>
    </xf>
    <xf numFmtId="9" fontId="14" fillId="0" borderId="15" xfId="26" applyNumberFormat="1" applyFont="1" applyBorder="1" applyAlignment="1">
      <alignment horizontal="center"/>
    </xf>
    <xf numFmtId="3" fontId="14" fillId="0" borderId="49" xfId="26" applyNumberFormat="1" applyFont="1" applyBorder="1"/>
    <xf numFmtId="0" fontId="77" fillId="0" borderId="15" xfId="26" applyFont="1" applyBorder="1" applyAlignment="1">
      <alignment horizontal="center" wrapText="1"/>
    </xf>
    <xf numFmtId="0" fontId="77" fillId="0" borderId="15" xfId="26" applyFont="1" applyBorder="1" applyAlignment="1">
      <alignment horizontal="right" wrapText="1"/>
    </xf>
    <xf numFmtId="3" fontId="14" fillId="0" borderId="19" xfId="26" applyNumberFormat="1" applyFont="1" applyBorder="1"/>
    <xf numFmtId="9" fontId="14" fillId="0" borderId="12" xfId="26" applyNumberFormat="1" applyFont="1" applyBorder="1" applyAlignment="1">
      <alignment horizontal="center"/>
    </xf>
    <xf numFmtId="9" fontId="14" fillId="0" borderId="2" xfId="26" applyNumberFormat="1" applyFont="1" applyBorder="1" applyAlignment="1">
      <alignment horizontal="center"/>
    </xf>
    <xf numFmtId="3" fontId="14" fillId="0" borderId="50" xfId="26" applyNumberFormat="1" applyFont="1" applyBorder="1"/>
    <xf numFmtId="0" fontId="77" fillId="0" borderId="2" xfId="26" applyFont="1" applyBorder="1" applyAlignment="1">
      <alignment horizontal="center" wrapText="1"/>
    </xf>
    <xf numFmtId="0" fontId="77" fillId="0" borderId="2" xfId="26" applyFont="1" applyBorder="1" applyAlignment="1">
      <alignment horizontal="right" wrapText="1"/>
    </xf>
    <xf numFmtId="9" fontId="14" fillId="0" borderId="24" xfId="26" applyNumberFormat="1" applyFont="1" applyBorder="1" applyAlignment="1">
      <alignment horizontal="center"/>
    </xf>
    <xf numFmtId="0" fontId="14" fillId="0" borderId="23" xfId="26" applyFont="1" applyBorder="1" applyAlignment="1">
      <alignment horizontal="center"/>
    </xf>
    <xf numFmtId="9" fontId="14" fillId="0" borderId="23" xfId="26" applyNumberFormat="1" applyFont="1" applyBorder="1" applyAlignment="1">
      <alignment horizontal="center"/>
    </xf>
    <xf numFmtId="0" fontId="14" fillId="0" borderId="24" xfId="26" applyFont="1" applyBorder="1" applyAlignment="1">
      <alignment horizontal="center"/>
    </xf>
    <xf numFmtId="0" fontId="14" fillId="0" borderId="22" xfId="26" applyFont="1" applyBorder="1" applyAlignment="1">
      <alignment horizontal="center"/>
    </xf>
    <xf numFmtId="0" fontId="14" fillId="0" borderId="2" xfId="26" applyFont="1" applyBorder="1"/>
    <xf numFmtId="0" fontId="14" fillId="0" borderId="2" xfId="0" applyFont="1" applyBorder="1"/>
    <xf numFmtId="170" fontId="14" fillId="0" borderId="2" xfId="1" applyNumberFormat="1" applyFont="1" applyFill="1" applyBorder="1"/>
    <xf numFmtId="9" fontId="14" fillId="0" borderId="2" xfId="13" applyFont="1" applyFill="1" applyBorder="1"/>
    <xf numFmtId="9" fontId="14" fillId="0" borderId="2" xfId="27" applyFont="1" applyFill="1" applyBorder="1"/>
    <xf numFmtId="3" fontId="14" fillId="0" borderId="2" xfId="27" applyNumberFormat="1" applyFont="1" applyFill="1" applyBorder="1"/>
    <xf numFmtId="9" fontId="14" fillId="0" borderId="2" xfId="26" applyNumberFormat="1" applyFont="1" applyBorder="1"/>
    <xf numFmtId="170" fontId="14" fillId="0" borderId="15" xfId="1" applyNumberFormat="1" applyFont="1" applyFill="1" applyBorder="1"/>
    <xf numFmtId="9" fontId="14" fillId="0" borderId="15" xfId="26" applyNumberFormat="1" applyFont="1" applyBorder="1" applyAlignment="1">
      <alignment horizontal="center" wrapText="1"/>
    </xf>
    <xf numFmtId="9" fontId="14" fillId="0" borderId="15" xfId="13" applyFont="1" applyFill="1" applyBorder="1"/>
    <xf numFmtId="9" fontId="14" fillId="0" borderId="15" xfId="27" applyFont="1" applyFill="1" applyBorder="1"/>
    <xf numFmtId="3" fontId="14" fillId="0" borderId="15" xfId="27" applyNumberFormat="1" applyFont="1" applyFill="1" applyBorder="1"/>
    <xf numFmtId="0" fontId="14" fillId="0" borderId="15" xfId="26" applyFont="1" applyBorder="1"/>
    <xf numFmtId="0" fontId="14" fillId="0" borderId="15" xfId="26" applyFont="1" applyBorder="1" applyAlignment="1">
      <alignment horizontal="center" wrapText="1"/>
    </xf>
    <xf numFmtId="0" fontId="14" fillId="0" borderId="15" xfId="0" applyFont="1" applyBorder="1"/>
    <xf numFmtId="0" fontId="14" fillId="0" borderId="36" xfId="26" applyFont="1" applyBorder="1"/>
    <xf numFmtId="0" fontId="14" fillId="0" borderId="36" xfId="0" applyFont="1" applyBorder="1"/>
    <xf numFmtId="0" fontId="74" fillId="0" borderId="43" xfId="26" applyFont="1" applyBorder="1" applyAlignment="1">
      <alignment horizontal="center" wrapText="1"/>
    </xf>
    <xf numFmtId="0" fontId="3" fillId="0" borderId="38" xfId="26" applyBorder="1"/>
    <xf numFmtId="3" fontId="5" fillId="0" borderId="38" xfId="26" applyNumberFormat="1" applyFont="1" applyBorder="1"/>
    <xf numFmtId="3" fontId="14" fillId="0" borderId="38" xfId="26" applyNumberFormat="1" applyFont="1" applyBorder="1"/>
    <xf numFmtId="9" fontId="14" fillId="0" borderId="38" xfId="13" applyFont="1" applyBorder="1"/>
    <xf numFmtId="3" fontId="76" fillId="0" borderId="38" xfId="26" applyNumberFormat="1" applyFont="1" applyBorder="1"/>
    <xf numFmtId="9" fontId="14" fillId="0" borderId="38" xfId="26" applyNumberFormat="1" applyFont="1" applyBorder="1" applyAlignment="1">
      <alignment horizontal="center"/>
    </xf>
    <xf numFmtId="3" fontId="13" fillId="0" borderId="38" xfId="26" applyNumberFormat="1" applyFont="1" applyBorder="1"/>
    <xf numFmtId="3" fontId="40" fillId="0" borderId="38" xfId="26" applyNumberFormat="1" applyFont="1" applyBorder="1"/>
    <xf numFmtId="0" fontId="0" fillId="0" borderId="38" xfId="0" applyBorder="1"/>
    <xf numFmtId="170" fontId="14" fillId="0" borderId="9" xfId="1" applyNumberFormat="1" applyFont="1" applyFill="1" applyBorder="1"/>
    <xf numFmtId="9" fontId="14" fillId="0" borderId="9" xfId="26" applyNumberFormat="1" applyFont="1" applyBorder="1" applyAlignment="1">
      <alignment horizontal="center"/>
    </xf>
    <xf numFmtId="9" fontId="14" fillId="0" borderId="9" xfId="26" applyNumberFormat="1" applyFont="1" applyBorder="1" applyAlignment="1">
      <alignment horizontal="center" wrapText="1"/>
    </xf>
    <xf numFmtId="9" fontId="14" fillId="0" borderId="9" xfId="13" applyFont="1" applyFill="1" applyBorder="1"/>
    <xf numFmtId="9" fontId="14" fillId="0" borderId="9" xfId="26" applyNumberFormat="1" applyFont="1" applyBorder="1"/>
    <xf numFmtId="9" fontId="14" fillId="0" borderId="9" xfId="27" applyFont="1" applyFill="1" applyBorder="1"/>
    <xf numFmtId="0" fontId="14" fillId="0" borderId="9" xfId="26" applyFont="1" applyBorder="1"/>
    <xf numFmtId="0" fontId="14" fillId="0" borderId="9" xfId="0" applyFont="1" applyBorder="1"/>
    <xf numFmtId="3" fontId="14" fillId="0" borderId="48" xfId="26" applyNumberFormat="1" applyFont="1" applyBorder="1"/>
    <xf numFmtId="3" fontId="14" fillId="0" borderId="50" xfId="26" applyNumberFormat="1" applyFont="1" applyBorder="1" applyAlignment="1">
      <alignment horizontal="center"/>
    </xf>
    <xf numFmtId="3" fontId="14" fillId="0" borderId="48" xfId="26" applyNumberFormat="1" applyFont="1" applyBorder="1" applyAlignment="1">
      <alignment horizontal="center"/>
    </xf>
    <xf numFmtId="3" fontId="5" fillId="0" borderId="92" xfId="26" applyNumberFormat="1" applyFont="1" applyBorder="1" applyAlignment="1">
      <alignment horizontal="center"/>
    </xf>
    <xf numFmtId="9" fontId="14" fillId="0" borderId="28" xfId="26" applyNumberFormat="1" applyFont="1" applyBorder="1" applyAlignment="1">
      <alignment horizontal="center"/>
    </xf>
    <xf numFmtId="9" fontId="14" fillId="0" borderId="13" xfId="26" applyNumberFormat="1" applyFont="1" applyBorder="1" applyAlignment="1">
      <alignment horizontal="center"/>
    </xf>
    <xf numFmtId="0" fontId="74" fillId="0" borderId="67" xfId="26" applyFont="1" applyBorder="1" applyAlignment="1">
      <alignment horizontal="center" wrapText="1"/>
    </xf>
    <xf numFmtId="3" fontId="14" fillId="0" borderId="18" xfId="26" applyNumberFormat="1" applyFont="1" applyBorder="1"/>
    <xf numFmtId="172" fontId="128" fillId="15" borderId="2" xfId="31" applyNumberFormat="1" applyFont="1" applyFill="1" applyBorder="1" applyAlignment="1">
      <alignment horizontal="center" vertical="center" wrapText="1"/>
    </xf>
    <xf numFmtId="0" fontId="5" fillId="0" borderId="0" xfId="0" applyFont="1" applyAlignment="1">
      <alignment vertical="center"/>
    </xf>
    <xf numFmtId="3" fontId="0" fillId="0" borderId="60" xfId="0" applyNumberFormat="1" applyBorder="1"/>
    <xf numFmtId="3" fontId="0" fillId="0" borderId="59" xfId="0" applyNumberFormat="1" applyBorder="1"/>
    <xf numFmtId="3" fontId="0" fillId="0" borderId="67" xfId="0" applyNumberFormat="1" applyBorder="1"/>
    <xf numFmtId="0" fontId="140" fillId="0" borderId="60" xfId="0" pivotButton="1" applyFont="1" applyBorder="1" applyAlignment="1">
      <alignment horizontal="center" wrapText="1"/>
    </xf>
    <xf numFmtId="0" fontId="140" fillId="0" borderId="61" xfId="0" applyFont="1" applyBorder="1" applyAlignment="1">
      <alignment horizontal="center" wrapText="1"/>
    </xf>
    <xf numFmtId="0" fontId="141" fillId="0" borderId="60" xfId="0" applyFont="1" applyBorder="1" applyAlignment="1">
      <alignment horizontal="center" wrapText="1"/>
    </xf>
    <xf numFmtId="0" fontId="141" fillId="0" borderId="61" xfId="0" applyFont="1" applyBorder="1" applyAlignment="1">
      <alignment horizontal="center" wrapText="1"/>
    </xf>
    <xf numFmtId="0" fontId="141" fillId="0" borderId="59" xfId="0" pivotButton="1" applyFont="1" applyBorder="1" applyAlignment="1">
      <alignment horizontal="center" wrapText="1"/>
    </xf>
    <xf numFmtId="177" fontId="5" fillId="13" borderId="0" xfId="13" applyNumberFormat="1" applyFont="1" applyFill="1"/>
    <xf numFmtId="0" fontId="5" fillId="13" borderId="0" xfId="26" applyFont="1" applyFill="1"/>
    <xf numFmtId="9" fontId="5" fillId="13" borderId="0" xfId="13" applyFont="1" applyFill="1"/>
    <xf numFmtId="177" fontId="5" fillId="13" borderId="0" xfId="26" applyNumberFormat="1" applyFont="1" applyFill="1" applyAlignment="1">
      <alignment horizontal="right"/>
    </xf>
    <xf numFmtId="3" fontId="57" fillId="0" borderId="38" xfId="26" applyNumberFormat="1" applyFont="1" applyBorder="1"/>
    <xf numFmtId="3" fontId="77" fillId="0" borderId="15" xfId="26" applyNumberFormat="1" applyFont="1" applyBorder="1" applyAlignment="1">
      <alignment horizontal="center" wrapText="1"/>
    </xf>
    <xf numFmtId="3" fontId="77" fillId="0" borderId="2" xfId="26" applyNumberFormat="1" applyFont="1" applyBorder="1" applyAlignment="1">
      <alignment horizontal="center" wrapText="1"/>
    </xf>
    <xf numFmtId="174" fontId="14" fillId="0" borderId="2" xfId="26" applyNumberFormat="1" applyFont="1" applyBorder="1"/>
    <xf numFmtId="177" fontId="7" fillId="0" borderId="2" xfId="13" applyNumberFormat="1" applyFont="1" applyBorder="1"/>
    <xf numFmtId="0" fontId="38" fillId="27" borderId="0" xfId="18"/>
    <xf numFmtId="0" fontId="6" fillId="13" borderId="43" xfId="0" applyFont="1" applyFill="1" applyBorder="1" applyAlignment="1">
      <alignment horizontal="center"/>
    </xf>
    <xf numFmtId="3" fontId="6" fillId="3" borderId="28" xfId="4" applyNumberFormat="1" applyFont="1" applyBorder="1"/>
    <xf numFmtId="0" fontId="0" fillId="13" borderId="62" xfId="0" applyFill="1" applyBorder="1" applyAlignment="1">
      <alignment horizontal="center"/>
    </xf>
    <xf numFmtId="0" fontId="60" fillId="39" borderId="23" xfId="23" applyBorder="1" applyAlignment="1">
      <alignment horizontal="center"/>
    </xf>
    <xf numFmtId="177" fontId="7" fillId="0" borderId="2" xfId="0" applyNumberFormat="1" applyFont="1" applyBorder="1" applyAlignment="1">
      <alignment vertical="center"/>
    </xf>
    <xf numFmtId="177" fontId="7" fillId="0" borderId="2" xfId="13" applyNumberFormat="1" applyFont="1" applyBorder="1" applyAlignment="1">
      <alignment vertical="center"/>
    </xf>
    <xf numFmtId="0" fontId="6" fillId="13" borderId="2" xfId="0" applyFont="1" applyFill="1" applyBorder="1" applyAlignment="1">
      <alignment horizontal="center" vertical="center"/>
    </xf>
    <xf numFmtId="0" fontId="6" fillId="13" borderId="15" xfId="0" applyFont="1" applyFill="1" applyBorder="1" applyAlignment="1">
      <alignment horizontal="center" vertical="center"/>
    </xf>
    <xf numFmtId="0" fontId="6" fillId="13" borderId="2" xfId="0" applyFont="1" applyFill="1" applyBorder="1" applyAlignment="1">
      <alignment horizontal="left" vertical="top" wrapText="1"/>
    </xf>
    <xf numFmtId="0" fontId="6" fillId="13" borderId="2" xfId="0" applyFont="1" applyFill="1" applyBorder="1" applyAlignment="1">
      <alignment horizontal="left" vertical="top"/>
    </xf>
    <xf numFmtId="3" fontId="6" fillId="13" borderId="2" xfId="0" applyNumberFormat="1" applyFont="1" applyFill="1" applyBorder="1" applyAlignment="1">
      <alignment horizontal="right" vertical="top"/>
    </xf>
    <xf numFmtId="1" fontId="6" fillId="13" borderId="2" xfId="0" applyNumberFormat="1" applyFont="1" applyFill="1" applyBorder="1"/>
    <xf numFmtId="1" fontId="103" fillId="13" borderId="95" xfId="30" applyNumberFormat="1" applyFill="1"/>
    <xf numFmtId="170" fontId="103" fillId="13" borderId="95" xfId="30" applyNumberFormat="1" applyFill="1"/>
    <xf numFmtId="0" fontId="98" fillId="13" borderId="0" xfId="0" applyFont="1" applyFill="1" applyAlignment="1">
      <alignment horizontal="left" vertical="center"/>
    </xf>
    <xf numFmtId="0" fontId="131" fillId="13" borderId="2" xfId="0" applyFont="1" applyFill="1" applyBorder="1" applyAlignment="1">
      <alignment horizontal="left" vertical="top" wrapText="1"/>
    </xf>
    <xf numFmtId="3" fontId="131" fillId="13" borderId="2" xfId="0" applyNumberFormat="1" applyFont="1" applyFill="1" applyBorder="1" applyAlignment="1">
      <alignment horizontal="right" vertical="top"/>
    </xf>
    <xf numFmtId="3" fontId="61" fillId="13" borderId="2" xfId="23" applyNumberFormat="1" applyFont="1" applyFill="1" applyBorder="1" applyAlignment="1">
      <alignment horizontal="right" vertical="top"/>
    </xf>
    <xf numFmtId="1" fontId="61" fillId="13" borderId="2" xfId="23" applyNumberFormat="1" applyFont="1" applyFill="1" applyBorder="1"/>
    <xf numFmtId="0" fontId="72" fillId="0" borderId="36" xfId="26" applyFont="1" applyBorder="1" applyAlignment="1">
      <alignment horizontal="center" wrapText="1"/>
    </xf>
    <xf numFmtId="0" fontId="79" fillId="0" borderId="15" xfId="26" applyFont="1" applyBorder="1" applyAlignment="1">
      <alignment horizontal="center" wrapText="1"/>
    </xf>
    <xf numFmtId="0" fontId="79" fillId="0" borderId="2" xfId="26" applyFont="1" applyBorder="1" applyAlignment="1">
      <alignment horizontal="center" wrapText="1"/>
    </xf>
    <xf numFmtId="3" fontId="5" fillId="0" borderId="2" xfId="26" applyNumberFormat="1" applyFont="1" applyBorder="1"/>
    <xf numFmtId="9" fontId="14" fillId="0" borderId="49" xfId="13" applyFont="1" applyBorder="1" applyAlignment="1">
      <alignment horizontal="center"/>
    </xf>
    <xf numFmtId="3" fontId="15" fillId="0" borderId="50" xfId="26" applyNumberFormat="1" applyFont="1" applyBorder="1"/>
    <xf numFmtId="3" fontId="7" fillId="13" borderId="2" xfId="26" applyNumberFormat="1" applyFont="1" applyFill="1" applyBorder="1"/>
    <xf numFmtId="3" fontId="15" fillId="0" borderId="2" xfId="26" applyNumberFormat="1" applyFont="1" applyBorder="1"/>
    <xf numFmtId="170" fontId="15" fillId="0" borderId="2" xfId="1" applyNumberFormat="1" applyFont="1" applyFill="1" applyBorder="1"/>
    <xf numFmtId="3" fontId="15" fillId="0" borderId="50" xfId="26" applyNumberFormat="1" applyFont="1" applyBorder="1" applyAlignment="1">
      <alignment horizontal="center"/>
    </xf>
    <xf numFmtId="9" fontId="15" fillId="0" borderId="12" xfId="26" applyNumberFormat="1" applyFont="1" applyBorder="1" applyAlignment="1">
      <alignment horizontal="center"/>
    </xf>
    <xf numFmtId="9" fontId="15" fillId="0" borderId="2" xfId="26" applyNumberFormat="1" applyFont="1" applyBorder="1" applyAlignment="1">
      <alignment horizontal="center"/>
    </xf>
    <xf numFmtId="9" fontId="15" fillId="0" borderId="2" xfId="26" applyNumberFormat="1" applyFont="1" applyBorder="1" applyAlignment="1">
      <alignment horizontal="center" wrapText="1"/>
    </xf>
    <xf numFmtId="3" fontId="15" fillId="0" borderId="20" xfId="26" applyNumberFormat="1" applyFont="1" applyBorder="1"/>
    <xf numFmtId="9" fontId="15" fillId="0" borderId="2" xfId="13" applyFont="1" applyFill="1" applyBorder="1"/>
    <xf numFmtId="3" fontId="7" fillId="0" borderId="2" xfId="26" applyNumberFormat="1" applyFont="1" applyBorder="1"/>
    <xf numFmtId="9" fontId="15" fillId="0" borderId="2" xfId="26" applyNumberFormat="1" applyFont="1" applyBorder="1"/>
    <xf numFmtId="9" fontId="15" fillId="0" borderId="2" xfId="27" applyFont="1" applyFill="1" applyBorder="1"/>
    <xf numFmtId="0" fontId="15" fillId="0" borderId="2" xfId="26" applyFont="1" applyBorder="1"/>
    <xf numFmtId="0" fontId="15" fillId="0" borderId="2" xfId="0" applyFont="1" applyBorder="1"/>
    <xf numFmtId="3" fontId="15" fillId="0" borderId="12" xfId="26" applyNumberFormat="1" applyFont="1" applyBorder="1"/>
    <xf numFmtId="9" fontId="15" fillId="0" borderId="7" xfId="13" applyFont="1" applyBorder="1" applyAlignment="1">
      <alignment horizontal="center"/>
    </xf>
    <xf numFmtId="0" fontId="6" fillId="0" borderId="0" xfId="26" applyFont="1"/>
    <xf numFmtId="3" fontId="6" fillId="0" borderId="0" xfId="26" applyNumberFormat="1" applyFont="1"/>
    <xf numFmtId="174" fontId="15" fillId="0" borderId="2" xfId="26" applyNumberFormat="1" applyFont="1" applyBorder="1"/>
    <xf numFmtId="0" fontId="6" fillId="0" borderId="0" xfId="0" applyFont="1" applyAlignment="1">
      <alignment horizontal="center"/>
    </xf>
    <xf numFmtId="10" fontId="6" fillId="0" borderId="2" xfId="0" applyNumberFormat="1" applyFont="1" applyBorder="1"/>
    <xf numFmtId="0" fontId="60" fillId="39" borderId="0" xfId="23" applyAlignment="1">
      <alignment horizontal="center"/>
    </xf>
    <xf numFmtId="0" fontId="59" fillId="38" borderId="0" xfId="22" applyAlignment="1">
      <alignment horizontal="center"/>
    </xf>
    <xf numFmtId="0" fontId="74" fillId="0" borderId="0" xfId="22" applyFont="1" applyFill="1" applyBorder="1" applyAlignment="1">
      <alignment horizontal="center" wrapText="1"/>
    </xf>
    <xf numFmtId="3" fontId="14" fillId="0" borderId="0" xfId="26" applyNumberFormat="1" applyFont="1"/>
    <xf numFmtId="170" fontId="59" fillId="38" borderId="0" xfId="13" applyNumberFormat="1" applyFont="1" applyFill="1" applyBorder="1" applyAlignment="1">
      <alignment horizontal="center"/>
    </xf>
    <xf numFmtId="3" fontId="60" fillId="39" borderId="0" xfId="23" applyNumberFormat="1" applyAlignment="1">
      <alignment horizontal="right"/>
    </xf>
    <xf numFmtId="174" fontId="103" fillId="48" borderId="95" xfId="30" applyNumberFormat="1"/>
    <xf numFmtId="0" fontId="60" fillId="39" borderId="0" xfId="23"/>
    <xf numFmtId="174" fontId="60" fillId="39" borderId="0" xfId="23" applyNumberFormat="1"/>
    <xf numFmtId="0" fontId="60" fillId="39" borderId="0" xfId="23" applyAlignment="1">
      <alignment horizontal="center" vertical="center" wrapText="1"/>
    </xf>
    <xf numFmtId="0" fontId="103" fillId="48" borderId="95" xfId="30" applyAlignment="1">
      <alignment horizontal="center" vertical="center" wrapText="1"/>
    </xf>
    <xf numFmtId="0" fontId="6" fillId="0" borderId="0" xfId="0" applyFont="1" applyAlignment="1">
      <alignment horizontal="center" vertical="center" wrapText="1"/>
    </xf>
    <xf numFmtId="0" fontId="74" fillId="21" borderId="35" xfId="22" applyFont="1" applyFill="1" applyBorder="1" applyAlignment="1">
      <alignment horizontal="center" wrapText="1"/>
    </xf>
    <xf numFmtId="0" fontId="74" fillId="21" borderId="36" xfId="22" applyFont="1" applyFill="1" applyBorder="1" applyAlignment="1">
      <alignment horizontal="center" wrapText="1"/>
    </xf>
    <xf numFmtId="0" fontId="74" fillId="21" borderId="37" xfId="22" applyFont="1" applyFill="1" applyBorder="1" applyAlignment="1">
      <alignment horizontal="center" wrapText="1"/>
    </xf>
    <xf numFmtId="3" fontId="14" fillId="21" borderId="6" xfId="26" applyNumberFormat="1" applyFont="1" applyFill="1" applyBorder="1"/>
    <xf numFmtId="3" fontId="14" fillId="21" borderId="2" xfId="26" applyNumberFormat="1" applyFont="1" applyFill="1" applyBorder="1"/>
    <xf numFmtId="9" fontId="14" fillId="21" borderId="2" xfId="13" applyFont="1" applyFill="1" applyBorder="1"/>
    <xf numFmtId="3" fontId="14" fillId="21" borderId="8" xfId="26" applyNumberFormat="1" applyFont="1" applyFill="1" applyBorder="1"/>
    <xf numFmtId="3" fontId="14" fillId="21" borderId="9" xfId="26" applyNumberFormat="1" applyFont="1" applyFill="1" applyBorder="1"/>
    <xf numFmtId="9" fontId="14" fillId="21" borderId="9" xfId="13" applyFont="1" applyFill="1" applyBorder="1"/>
    <xf numFmtId="0" fontId="74" fillId="21" borderId="67" xfId="22" applyFont="1" applyFill="1" applyBorder="1" applyAlignment="1">
      <alignment horizontal="center" wrapText="1"/>
    </xf>
    <xf numFmtId="0" fontId="0" fillId="21" borderId="0" xfId="0" applyFill="1"/>
    <xf numFmtId="0" fontId="120" fillId="0" borderId="0" xfId="26" applyFont="1" applyAlignment="1">
      <alignment horizontal="left" vertical="top" wrapText="1"/>
    </xf>
    <xf numFmtId="0" fontId="14" fillId="24" borderId="24" xfId="26" applyFont="1" applyFill="1" applyBorder="1" applyAlignment="1">
      <alignment horizontal="center"/>
    </xf>
    <xf numFmtId="3" fontId="14" fillId="24" borderId="50" xfId="26" applyNumberFormat="1" applyFont="1" applyFill="1" applyBorder="1"/>
    <xf numFmtId="3" fontId="14" fillId="24" borderId="2" xfId="26" applyNumberFormat="1" applyFont="1" applyFill="1" applyBorder="1"/>
    <xf numFmtId="170" fontId="14" fillId="24" borderId="2" xfId="1" applyNumberFormat="1" applyFont="1" applyFill="1" applyBorder="1"/>
    <xf numFmtId="3" fontId="14" fillId="24" borderId="50" xfId="26" applyNumberFormat="1" applyFont="1" applyFill="1" applyBorder="1" applyAlignment="1">
      <alignment horizontal="center"/>
    </xf>
    <xf numFmtId="9" fontId="14" fillId="24" borderId="12" xfId="26" applyNumberFormat="1" applyFont="1" applyFill="1" applyBorder="1" applyAlignment="1">
      <alignment horizontal="center"/>
    </xf>
    <xf numFmtId="9" fontId="14" fillId="24" borderId="2" xfId="26" applyNumberFormat="1" applyFont="1" applyFill="1" applyBorder="1" applyAlignment="1">
      <alignment horizontal="center"/>
    </xf>
    <xf numFmtId="9" fontId="14" fillId="24" borderId="2" xfId="26" applyNumberFormat="1" applyFont="1" applyFill="1" applyBorder="1" applyAlignment="1">
      <alignment horizontal="center" wrapText="1"/>
    </xf>
    <xf numFmtId="3" fontId="14" fillId="24" borderId="20" xfId="26" applyNumberFormat="1" applyFont="1" applyFill="1" applyBorder="1"/>
    <xf numFmtId="9" fontId="14" fillId="24" borderId="2" xfId="13" applyFont="1" applyFill="1" applyBorder="1"/>
    <xf numFmtId="3" fontId="5" fillId="24" borderId="2" xfId="26" applyNumberFormat="1" applyFont="1" applyFill="1" applyBorder="1"/>
    <xf numFmtId="9" fontId="14" fillId="24" borderId="2" xfId="26" applyNumberFormat="1" applyFont="1" applyFill="1" applyBorder="1"/>
    <xf numFmtId="9" fontId="14" fillId="24" borderId="2" xfId="27" applyFont="1" applyFill="1" applyBorder="1"/>
    <xf numFmtId="0" fontId="14" fillId="24" borderId="2" xfId="26" applyFont="1" applyFill="1" applyBorder="1"/>
    <xf numFmtId="0" fontId="14" fillId="24" borderId="2" xfId="0" applyFont="1" applyFill="1" applyBorder="1"/>
    <xf numFmtId="3" fontId="14" fillId="24" borderId="12" xfId="26" applyNumberFormat="1" applyFont="1" applyFill="1" applyBorder="1"/>
    <xf numFmtId="9" fontId="14" fillId="24" borderId="7" xfId="13" applyFont="1" applyFill="1" applyBorder="1" applyAlignment="1">
      <alignment horizontal="center"/>
    </xf>
    <xf numFmtId="0" fontId="3" fillId="24" borderId="0" xfId="26" applyFill="1"/>
    <xf numFmtId="0" fontId="6" fillId="24" borderId="31" xfId="26" applyFont="1" applyFill="1" applyBorder="1" applyAlignment="1">
      <alignment horizontal="center"/>
    </xf>
    <xf numFmtId="3" fontId="3" fillId="24" borderId="0" xfId="26" applyNumberFormat="1" applyFill="1"/>
    <xf numFmtId="177" fontId="28" fillId="0" borderId="2" xfId="26" applyNumberFormat="1" applyFont="1" applyBorder="1" applyAlignment="1">
      <alignment horizontal="center"/>
    </xf>
    <xf numFmtId="0" fontId="74" fillId="21" borderId="35" xfId="26" applyFont="1" applyFill="1" applyBorder="1" applyAlignment="1">
      <alignment horizontal="center" wrapText="1"/>
    </xf>
    <xf numFmtId="3" fontId="14" fillId="21" borderId="14" xfId="26" applyNumberFormat="1" applyFont="1" applyFill="1" applyBorder="1"/>
    <xf numFmtId="3" fontId="15" fillId="21" borderId="6" xfId="26" applyNumberFormat="1" applyFont="1" applyFill="1" applyBorder="1"/>
    <xf numFmtId="0" fontId="3" fillId="21" borderId="0" xfId="26" applyFill="1"/>
    <xf numFmtId="0" fontId="74" fillId="21" borderId="36" xfId="26" applyFont="1" applyFill="1" applyBorder="1" applyAlignment="1">
      <alignment horizontal="center" wrapText="1"/>
    </xf>
    <xf numFmtId="3" fontId="14" fillId="21" borderId="15" xfId="26" applyNumberFormat="1" applyFont="1" applyFill="1" applyBorder="1"/>
    <xf numFmtId="3" fontId="15" fillId="21" borderId="2" xfId="26" applyNumberFormat="1" applyFont="1" applyFill="1" applyBorder="1"/>
    <xf numFmtId="0" fontId="74" fillId="15" borderId="36" xfId="26" applyFont="1" applyFill="1" applyBorder="1" applyAlignment="1">
      <alignment horizontal="center" wrapText="1"/>
    </xf>
    <xf numFmtId="3" fontId="14" fillId="15" borderId="15" xfId="26" applyNumberFormat="1" applyFont="1" applyFill="1" applyBorder="1"/>
    <xf numFmtId="3" fontId="14" fillId="15" borderId="2" xfId="26" applyNumberFormat="1" applyFont="1" applyFill="1" applyBorder="1"/>
    <xf numFmtId="3" fontId="15" fillId="15" borderId="2" xfId="26" applyNumberFormat="1" applyFont="1" applyFill="1" applyBorder="1"/>
    <xf numFmtId="3" fontId="14" fillId="15" borderId="9" xfId="26" applyNumberFormat="1" applyFont="1" applyFill="1" applyBorder="1"/>
    <xf numFmtId="0" fontId="3" fillId="15" borderId="0" xfId="26" applyFill="1"/>
    <xf numFmtId="0" fontId="0" fillId="15" borderId="0" xfId="0" applyFill="1"/>
    <xf numFmtId="0" fontId="77" fillId="21" borderId="15" xfId="26" applyFont="1" applyFill="1" applyBorder="1" applyAlignment="1">
      <alignment horizontal="center" wrapText="1"/>
    </xf>
    <xf numFmtId="0" fontId="77" fillId="21" borderId="2" xfId="26" applyFont="1" applyFill="1" applyBorder="1" applyAlignment="1">
      <alignment horizontal="center" wrapText="1"/>
    </xf>
    <xf numFmtId="3" fontId="14" fillId="21" borderId="38" xfId="26" applyNumberFormat="1" applyFont="1" applyFill="1" applyBorder="1"/>
    <xf numFmtId="3" fontId="14" fillId="0" borderId="92" xfId="26" applyNumberFormat="1" applyFont="1" applyBorder="1"/>
    <xf numFmtId="3" fontId="14" fillId="15" borderId="38" xfId="26" applyNumberFormat="1" applyFont="1" applyFill="1" applyBorder="1"/>
    <xf numFmtId="0" fontId="14" fillId="0" borderId="38" xfId="26" applyFont="1" applyBorder="1"/>
    <xf numFmtId="0" fontId="74" fillId="13" borderId="36" xfId="26" applyFont="1" applyFill="1" applyBorder="1" applyAlignment="1">
      <alignment horizontal="center" wrapText="1"/>
    </xf>
    <xf numFmtId="0" fontId="3" fillId="13" borderId="0" xfId="26" applyFill="1"/>
    <xf numFmtId="9" fontId="14" fillId="21" borderId="15" xfId="13" applyFont="1" applyFill="1" applyBorder="1"/>
    <xf numFmtId="0" fontId="14" fillId="19" borderId="0" xfId="26" applyFont="1" applyFill="1"/>
    <xf numFmtId="0" fontId="0" fillId="19" borderId="0" xfId="0" applyFill="1"/>
    <xf numFmtId="0" fontId="120" fillId="19" borderId="0" xfId="26" applyFont="1" applyFill="1" applyAlignment="1">
      <alignment horizontal="left" vertical="top" wrapText="1"/>
    </xf>
    <xf numFmtId="3" fontId="14" fillId="0" borderId="41" xfId="26" applyNumberFormat="1" applyFont="1" applyBorder="1"/>
    <xf numFmtId="3" fontId="14" fillId="19" borderId="2" xfId="26" applyNumberFormat="1" applyFont="1" applyFill="1" applyBorder="1"/>
    <xf numFmtId="3" fontId="15" fillId="19" borderId="2" xfId="26" applyNumberFormat="1" applyFont="1" applyFill="1" applyBorder="1"/>
    <xf numFmtId="3" fontId="14" fillId="19" borderId="15" xfId="26" applyNumberFormat="1" applyFont="1" applyFill="1" applyBorder="1"/>
    <xf numFmtId="0" fontId="74" fillId="19" borderId="62" xfId="26" applyFont="1" applyFill="1" applyBorder="1" applyAlignment="1">
      <alignment horizontal="center" wrapText="1"/>
    </xf>
    <xf numFmtId="3" fontId="14" fillId="21" borderId="2" xfId="13" applyNumberFormat="1" applyFont="1" applyFill="1" applyBorder="1"/>
    <xf numFmtId="3" fontId="7" fillId="21" borderId="2" xfId="13" applyNumberFormat="1" applyFont="1" applyFill="1" applyBorder="1"/>
    <xf numFmtId="10" fontId="14" fillId="21" borderId="2" xfId="13" applyNumberFormat="1" applyFont="1" applyFill="1" applyBorder="1"/>
    <xf numFmtId="3" fontId="15" fillId="21" borderId="2" xfId="13" applyNumberFormat="1" applyFont="1" applyFill="1" applyBorder="1"/>
    <xf numFmtId="10" fontId="15" fillId="21" borderId="2" xfId="13" applyNumberFormat="1" applyFont="1" applyFill="1" applyBorder="1"/>
    <xf numFmtId="0" fontId="3" fillId="21" borderId="0" xfId="26" applyFill="1" applyAlignment="1">
      <alignment horizontal="center"/>
    </xf>
    <xf numFmtId="0" fontId="74" fillId="53" borderId="36" xfId="26" applyFont="1" applyFill="1" applyBorder="1" applyAlignment="1">
      <alignment horizontal="center" wrapText="1"/>
    </xf>
    <xf numFmtId="3" fontId="14" fillId="53" borderId="2" xfId="26" applyNumberFormat="1" applyFont="1" applyFill="1" applyBorder="1"/>
    <xf numFmtId="0" fontId="3" fillId="53" borderId="0" xfId="26" applyFill="1"/>
    <xf numFmtId="3" fontId="15" fillId="53" borderId="2" xfId="26" applyNumberFormat="1" applyFont="1" applyFill="1" applyBorder="1"/>
    <xf numFmtId="3" fontId="15" fillId="53" borderId="6" xfId="26" applyNumberFormat="1" applyFont="1" applyFill="1" applyBorder="1"/>
    <xf numFmtId="0" fontId="0" fillId="53" borderId="0" xfId="0" applyFill="1"/>
    <xf numFmtId="0" fontId="28" fillId="53" borderId="2" xfId="26" applyFont="1" applyFill="1" applyBorder="1" applyAlignment="1">
      <alignment horizontal="center"/>
    </xf>
    <xf numFmtId="0" fontId="74" fillId="53" borderId="62" xfId="26" applyFont="1" applyFill="1" applyBorder="1" applyAlignment="1">
      <alignment horizontal="center" wrapText="1"/>
    </xf>
    <xf numFmtId="9" fontId="14" fillId="53" borderId="24" xfId="26" applyNumberFormat="1" applyFont="1" applyFill="1" applyBorder="1" applyAlignment="1">
      <alignment horizontal="center"/>
    </xf>
    <xf numFmtId="9" fontId="15" fillId="53" borderId="24" xfId="26" applyNumberFormat="1" applyFont="1" applyFill="1" applyBorder="1" applyAlignment="1">
      <alignment horizontal="center"/>
    </xf>
    <xf numFmtId="0" fontId="143" fillId="53" borderId="2" xfId="26" applyFont="1" applyFill="1" applyBorder="1"/>
    <xf numFmtId="0" fontId="120" fillId="53" borderId="2" xfId="26" applyFont="1" applyFill="1" applyBorder="1"/>
    <xf numFmtId="9" fontId="3" fillId="21" borderId="20" xfId="13" applyFont="1" applyFill="1" applyBorder="1" applyAlignment="1">
      <alignment horizontal="center"/>
    </xf>
    <xf numFmtId="9" fontId="3" fillId="24" borderId="20" xfId="13" applyFont="1" applyFill="1" applyBorder="1" applyAlignment="1">
      <alignment horizontal="center"/>
    </xf>
    <xf numFmtId="9" fontId="6" fillId="21" borderId="20" xfId="13" applyFont="1" applyFill="1" applyBorder="1" applyAlignment="1">
      <alignment horizontal="center"/>
    </xf>
    <xf numFmtId="170" fontId="6" fillId="21" borderId="18" xfId="1" applyNumberFormat="1" applyFont="1" applyFill="1" applyBorder="1" applyAlignment="1">
      <alignment horizontal="center"/>
    </xf>
    <xf numFmtId="3" fontId="7" fillId="21" borderId="6" xfId="26" applyNumberFormat="1" applyFont="1" applyFill="1" applyBorder="1"/>
    <xf numFmtId="0" fontId="15" fillId="13" borderId="24" xfId="26" applyFont="1" applyFill="1" applyBorder="1" applyAlignment="1">
      <alignment horizontal="center"/>
    </xf>
    <xf numFmtId="0" fontId="120" fillId="24" borderId="0" xfId="26" applyFont="1" applyFill="1" applyAlignment="1">
      <alignment vertical="top" wrapText="1"/>
    </xf>
    <xf numFmtId="0" fontId="0" fillId="24" borderId="0" xfId="0" applyFill="1"/>
    <xf numFmtId="0" fontId="14" fillId="24" borderId="0" xfId="26" applyFont="1" applyFill="1"/>
    <xf numFmtId="9" fontId="28" fillId="13" borderId="49" xfId="13" applyFont="1" applyFill="1" applyBorder="1" applyAlignment="1">
      <alignment horizontal="center"/>
    </xf>
    <xf numFmtId="0" fontId="144" fillId="15" borderId="36" xfId="26" applyFont="1" applyFill="1" applyBorder="1" applyAlignment="1">
      <alignment horizontal="center" wrapText="1"/>
    </xf>
    <xf numFmtId="0" fontId="144" fillId="21" borderId="36" xfId="26" applyFont="1" applyFill="1" applyBorder="1" applyAlignment="1">
      <alignment horizontal="center" wrapText="1"/>
    </xf>
    <xf numFmtId="9" fontId="76" fillId="15" borderId="2" xfId="26" applyNumberFormat="1" applyFont="1" applyFill="1" applyBorder="1" applyAlignment="1">
      <alignment horizontal="center" wrapText="1"/>
    </xf>
    <xf numFmtId="9" fontId="76" fillId="21" borderId="2" xfId="13" applyFont="1" applyFill="1" applyBorder="1" applyAlignment="1">
      <alignment horizontal="center"/>
    </xf>
    <xf numFmtId="0" fontId="74" fillId="54" borderId="36" xfId="26" applyFont="1" applyFill="1" applyBorder="1" applyAlignment="1">
      <alignment horizontal="center" wrapText="1"/>
    </xf>
    <xf numFmtId="3" fontId="14" fillId="54" borderId="2" xfId="26" applyNumberFormat="1" applyFont="1" applyFill="1" applyBorder="1"/>
    <xf numFmtId="3" fontId="15" fillId="54" borderId="2" xfId="26" applyNumberFormat="1" applyFont="1" applyFill="1" applyBorder="1"/>
    <xf numFmtId="3" fontId="14" fillId="54" borderId="38" xfId="26" applyNumberFormat="1" applyFont="1" applyFill="1" applyBorder="1"/>
    <xf numFmtId="177" fontId="28" fillId="13" borderId="2" xfId="26" applyNumberFormat="1" applyFont="1" applyFill="1" applyBorder="1" applyAlignment="1">
      <alignment horizontal="center"/>
    </xf>
    <xf numFmtId="0" fontId="132" fillId="0" borderId="33" xfId="0" applyFont="1" applyBorder="1" applyAlignment="1">
      <alignment horizontal="center" vertical="center" wrapText="1"/>
    </xf>
    <xf numFmtId="0" fontId="0" fillId="0" borderId="53" xfId="0" applyBorder="1"/>
    <xf numFmtId="0" fontId="126" fillId="0" borderId="2" xfId="0" applyFont="1" applyBorder="1" applyAlignment="1" applyProtection="1">
      <alignment horizontal="center" vertical="center" wrapText="1"/>
      <protection locked="0"/>
    </xf>
    <xf numFmtId="0" fontId="128" fillId="0" borderId="2" xfId="0" applyFont="1" applyBorder="1" applyAlignment="1" applyProtection="1">
      <alignment horizontal="center" vertical="center" wrapText="1"/>
      <protection locked="0"/>
    </xf>
    <xf numFmtId="0" fontId="135" fillId="0" borderId="2" xfId="0" applyFont="1" applyBorder="1" applyAlignment="1" applyProtection="1">
      <alignment horizontal="center" vertical="center" wrapText="1"/>
      <protection locked="0"/>
    </xf>
    <xf numFmtId="170" fontId="146" fillId="0" borderId="2" xfId="1" applyNumberFormat="1" applyFont="1" applyBorder="1" applyAlignment="1">
      <alignment horizontal="center" vertical="center" wrapText="1"/>
    </xf>
    <xf numFmtId="170" fontId="146" fillId="0" borderId="4" xfId="1" applyNumberFormat="1" applyFont="1" applyBorder="1" applyAlignment="1">
      <alignment horizontal="center" vertical="center" wrapText="1"/>
    </xf>
    <xf numFmtId="172" fontId="135" fillId="15" borderId="4" xfId="31" applyNumberFormat="1" applyFont="1" applyFill="1" applyBorder="1" applyAlignment="1">
      <alignment horizontal="center" vertical="center" wrapText="1"/>
    </xf>
    <xf numFmtId="170" fontId="146" fillId="0" borderId="54" xfId="1" applyNumberFormat="1" applyFont="1" applyBorder="1" applyAlignment="1">
      <alignment horizontal="center" vertical="center" wrapText="1"/>
    </xf>
    <xf numFmtId="172" fontId="135" fillId="15" borderId="54" xfId="31" applyNumberFormat="1" applyFont="1" applyFill="1" applyBorder="1" applyAlignment="1">
      <alignment horizontal="center" vertical="center" wrapText="1"/>
    </xf>
    <xf numFmtId="9" fontId="135" fillId="15" borderId="55" xfId="13" applyFont="1" applyFill="1" applyBorder="1" applyAlignment="1">
      <alignment horizontal="center" vertical="center" wrapText="1"/>
    </xf>
    <xf numFmtId="0" fontId="87" fillId="0" borderId="2" xfId="0" applyFont="1" applyBorder="1" applyAlignment="1">
      <alignment horizontal="center" vertical="center" wrapText="1"/>
    </xf>
    <xf numFmtId="0" fontId="135" fillId="0" borderId="4" xfId="0" applyFont="1" applyBorder="1" applyAlignment="1" applyProtection="1">
      <alignment horizontal="center" vertical="center" wrapText="1"/>
      <protection locked="0"/>
    </xf>
    <xf numFmtId="0" fontId="14" fillId="19" borderId="51" xfId="0" applyFont="1" applyFill="1" applyBorder="1" applyAlignment="1">
      <alignment horizontal="center" vertical="center" wrapText="1"/>
    </xf>
    <xf numFmtId="0" fontId="14" fillId="19" borderId="54" xfId="0" applyFont="1" applyFill="1" applyBorder="1" applyAlignment="1">
      <alignment horizontal="center" vertical="center" wrapText="1"/>
    </xf>
    <xf numFmtId="177" fontId="135" fillId="19" borderId="54" xfId="13" applyNumberFormat="1" applyFont="1" applyFill="1" applyBorder="1" applyAlignment="1">
      <alignment horizontal="center" vertical="center" wrapText="1"/>
    </xf>
    <xf numFmtId="172" fontId="135" fillId="19" borderId="54" xfId="31" applyNumberFormat="1" applyFont="1" applyFill="1" applyBorder="1" applyAlignment="1">
      <alignment horizontal="center" vertical="center" wrapText="1"/>
    </xf>
    <xf numFmtId="0" fontId="135" fillId="0" borderId="54" xfId="0" applyFont="1" applyBorder="1" applyAlignment="1" applyProtection="1">
      <alignment horizontal="center" vertical="center" wrapText="1"/>
      <protection locked="0"/>
    </xf>
    <xf numFmtId="9" fontId="135" fillId="19" borderId="55" xfId="13" applyFont="1" applyFill="1" applyBorder="1" applyAlignment="1">
      <alignment horizontal="center" vertical="center" wrapText="1"/>
    </xf>
    <xf numFmtId="0" fontId="14" fillId="52" borderId="3" xfId="0" applyFont="1" applyFill="1" applyBorder="1" applyAlignment="1">
      <alignment horizontal="center" vertical="center" wrapText="1"/>
    </xf>
    <xf numFmtId="0" fontId="14" fillId="52" borderId="4" xfId="0" applyFont="1" applyFill="1" applyBorder="1" applyAlignment="1">
      <alignment horizontal="center" vertical="center" wrapText="1"/>
    </xf>
    <xf numFmtId="177" fontId="135" fillId="52" borderId="4" xfId="13" applyNumberFormat="1" applyFont="1" applyFill="1" applyBorder="1" applyAlignment="1">
      <alignment horizontal="center" vertical="center" wrapText="1"/>
    </xf>
    <xf numFmtId="172" fontId="135" fillId="52" borderId="4" xfId="31" applyNumberFormat="1" applyFont="1" applyFill="1" applyBorder="1" applyAlignment="1">
      <alignment horizontal="center" vertical="center" wrapText="1"/>
    </xf>
    <xf numFmtId="9" fontId="135" fillId="52" borderId="5" xfId="13" applyFont="1" applyFill="1" applyBorder="1" applyAlignment="1">
      <alignment horizontal="center" vertical="center" wrapText="1"/>
    </xf>
    <xf numFmtId="0" fontId="0" fillId="0" borderId="30" xfId="0" applyBorder="1" applyAlignment="1">
      <alignment horizontal="center"/>
    </xf>
    <xf numFmtId="0" fontId="0" fillId="0" borderId="31" xfId="0" applyBorder="1" applyAlignment="1">
      <alignment horizontal="center"/>
    </xf>
    <xf numFmtId="3" fontId="0" fillId="0" borderId="14" xfId="0" applyNumberFormat="1" applyBorder="1"/>
    <xf numFmtId="177" fontId="0" fillId="0" borderId="16" xfId="13" applyNumberFormat="1" applyFont="1" applyBorder="1" applyAlignment="1">
      <alignment horizontal="center"/>
    </xf>
    <xf numFmtId="9" fontId="0" fillId="0" borderId="16" xfId="13" applyFont="1" applyBorder="1" applyAlignment="1">
      <alignment horizontal="center"/>
    </xf>
    <xf numFmtId="0" fontId="6" fillId="44" borderId="36" xfId="0" applyFont="1" applyFill="1" applyBorder="1" applyAlignment="1">
      <alignment horizontal="center"/>
    </xf>
    <xf numFmtId="3" fontId="6" fillId="44" borderId="2" xfId="0" applyNumberFormat="1" applyFont="1" applyFill="1" applyBorder="1"/>
    <xf numFmtId="3" fontId="6" fillId="44" borderId="9" xfId="0" applyNumberFormat="1" applyFont="1" applyFill="1" applyBorder="1"/>
    <xf numFmtId="0" fontId="6" fillId="25" borderId="36" xfId="0" applyFont="1" applyFill="1" applyBorder="1" applyAlignment="1">
      <alignment horizontal="center"/>
    </xf>
    <xf numFmtId="3" fontId="6" fillId="25" borderId="2" xfId="0" applyNumberFormat="1" applyFont="1" applyFill="1" applyBorder="1"/>
    <xf numFmtId="3" fontId="0" fillId="21" borderId="14" xfId="0" applyNumberFormat="1" applyFill="1" applyBorder="1"/>
    <xf numFmtId="3" fontId="0" fillId="25" borderId="16" xfId="0" applyNumberFormat="1" applyFill="1" applyBorder="1"/>
    <xf numFmtId="3" fontId="0" fillId="25" borderId="19" xfId="0" applyNumberFormat="1" applyFill="1" applyBorder="1"/>
    <xf numFmtId="0" fontId="8" fillId="0" borderId="9" xfId="0" applyFont="1" applyBorder="1"/>
    <xf numFmtId="3" fontId="0" fillId="0" borderId="8" xfId="0" applyNumberFormat="1" applyBorder="1"/>
    <xf numFmtId="177" fontId="0" fillId="0" borderId="55" xfId="13" applyNumberFormat="1" applyFont="1" applyBorder="1" applyAlignment="1">
      <alignment horizontal="center"/>
    </xf>
    <xf numFmtId="3" fontId="6" fillId="55" borderId="12" xfId="0" applyNumberFormat="1" applyFont="1" applyFill="1" applyBorder="1"/>
    <xf numFmtId="0" fontId="6" fillId="13" borderId="6" xfId="0" applyFont="1" applyFill="1" applyBorder="1" applyAlignment="1">
      <alignment horizontal="right"/>
    </xf>
    <xf numFmtId="0" fontId="6" fillId="13" borderId="8" xfId="0" applyFont="1" applyFill="1" applyBorder="1" applyAlignment="1">
      <alignment horizontal="right"/>
    </xf>
    <xf numFmtId="3" fontId="6" fillId="44" borderId="4" xfId="0" applyNumberFormat="1" applyFont="1" applyFill="1" applyBorder="1"/>
    <xf numFmtId="3" fontId="6" fillId="25" borderId="4" xfId="0" applyNumberFormat="1" applyFont="1" applyFill="1" applyBorder="1"/>
    <xf numFmtId="177" fontId="0" fillId="0" borderId="5" xfId="13" applyNumberFormat="1" applyFont="1" applyBorder="1" applyAlignment="1">
      <alignment horizontal="center"/>
    </xf>
    <xf numFmtId="3" fontId="6" fillId="55" borderId="11" xfId="0" applyNumberFormat="1" applyFont="1" applyFill="1" applyBorder="1"/>
    <xf numFmtId="3" fontId="6" fillId="55" borderId="13" xfId="0" applyNumberFormat="1" applyFont="1" applyFill="1" applyBorder="1"/>
    <xf numFmtId="0" fontId="6" fillId="13" borderId="24" xfId="0" applyFont="1" applyFill="1" applyBorder="1" applyAlignment="1">
      <alignment horizontal="right"/>
    </xf>
    <xf numFmtId="0" fontId="6" fillId="13" borderId="22" xfId="0" applyFont="1" applyFill="1" applyBorder="1" applyAlignment="1">
      <alignment horizontal="right"/>
    </xf>
    <xf numFmtId="3" fontId="6" fillId="13" borderId="14" xfId="0" applyNumberFormat="1" applyFont="1" applyFill="1" applyBorder="1"/>
    <xf numFmtId="9" fontId="0" fillId="0" borderId="10" xfId="13" applyFont="1" applyBorder="1" applyAlignment="1">
      <alignment horizontal="center"/>
    </xf>
    <xf numFmtId="9" fontId="0" fillId="0" borderId="0" xfId="13" applyFont="1" applyBorder="1" applyAlignment="1">
      <alignment horizontal="center"/>
    </xf>
    <xf numFmtId="3" fontId="14" fillId="0" borderId="2" xfId="13" applyNumberFormat="1" applyFont="1" applyFill="1" applyBorder="1"/>
    <xf numFmtId="0" fontId="14" fillId="0" borderId="41" xfId="26" applyFont="1" applyBorder="1"/>
    <xf numFmtId="3" fontId="14" fillId="0" borderId="6" xfId="26" applyNumberFormat="1" applyFont="1" applyBorder="1"/>
    <xf numFmtId="3" fontId="14" fillId="21" borderId="7" xfId="26" applyNumberFormat="1" applyFont="1" applyFill="1" applyBorder="1"/>
    <xf numFmtId="3" fontId="15" fillId="21" borderId="7" xfId="26" applyNumberFormat="1" applyFont="1" applyFill="1" applyBorder="1"/>
    <xf numFmtId="3" fontId="15" fillId="21" borderId="10" xfId="26" applyNumberFormat="1" applyFont="1" applyFill="1" applyBorder="1"/>
    <xf numFmtId="3" fontId="14" fillId="0" borderId="14" xfId="26" applyNumberFormat="1" applyFont="1" applyBorder="1"/>
    <xf numFmtId="3" fontId="14" fillId="21" borderId="16" xfId="26" applyNumberFormat="1" applyFont="1" applyFill="1" applyBorder="1"/>
    <xf numFmtId="0" fontId="144" fillId="21" borderId="35" xfId="26" applyFont="1" applyFill="1" applyBorder="1" applyAlignment="1">
      <alignment horizontal="center" wrapText="1"/>
    </xf>
    <xf numFmtId="0" fontId="144" fillId="21" borderId="37" xfId="26" applyFont="1" applyFill="1" applyBorder="1" applyAlignment="1">
      <alignment horizontal="center" wrapText="1"/>
    </xf>
    <xf numFmtId="177" fontId="6" fillId="10" borderId="7" xfId="11" applyNumberFormat="1" applyFont="1" applyBorder="1" applyAlignment="1" applyProtection="1">
      <alignment vertical="center"/>
    </xf>
    <xf numFmtId="172" fontId="8" fillId="0" borderId="0" xfId="0" applyNumberFormat="1" applyFont="1"/>
    <xf numFmtId="3" fontId="0" fillId="13" borderId="2" xfId="0" applyNumberFormat="1" applyFill="1" applyBorder="1"/>
    <xf numFmtId="3" fontId="28" fillId="13" borderId="2" xfId="0" applyNumberFormat="1" applyFont="1" applyFill="1" applyBorder="1"/>
    <xf numFmtId="3" fontId="0" fillId="44" borderId="15" xfId="0" applyNumberFormat="1" applyFill="1" applyBorder="1"/>
    <xf numFmtId="3" fontId="0" fillId="25" borderId="15" xfId="0" applyNumberFormat="1" applyFill="1" applyBorder="1"/>
    <xf numFmtId="3" fontId="0" fillId="44" borderId="2" xfId="0" applyNumberFormat="1" applyFill="1" applyBorder="1"/>
    <xf numFmtId="3" fontId="0" fillId="25" borderId="2" xfId="0" applyNumberFormat="1" applyFill="1" applyBorder="1"/>
    <xf numFmtId="3" fontId="0" fillId="44" borderId="54" xfId="0" applyNumberFormat="1" applyFill="1" applyBorder="1"/>
    <xf numFmtId="3" fontId="0" fillId="25" borderId="54" xfId="0" applyNumberFormat="1" applyFill="1" applyBorder="1"/>
    <xf numFmtId="0" fontId="6" fillId="13" borderId="31" xfId="0" applyFont="1" applyFill="1" applyBorder="1" applyAlignment="1">
      <alignment horizontal="center"/>
    </xf>
    <xf numFmtId="0" fontId="15" fillId="15" borderId="6" xfId="0" applyFont="1" applyFill="1" applyBorder="1" applyAlignment="1">
      <alignment horizontal="center" vertical="center" wrapText="1"/>
    </xf>
    <xf numFmtId="0" fontId="147" fillId="15" borderId="2" xfId="0" applyFont="1" applyFill="1" applyBorder="1" applyAlignment="1">
      <alignment horizontal="center" vertical="center" wrapText="1"/>
    </xf>
    <xf numFmtId="172" fontId="147" fillId="15" borderId="2" xfId="31" applyNumberFormat="1" applyFont="1" applyFill="1" applyBorder="1" applyAlignment="1">
      <alignment horizontal="center" vertical="center" wrapText="1"/>
    </xf>
    <xf numFmtId="9" fontId="5" fillId="21" borderId="20" xfId="13" applyFont="1" applyFill="1" applyBorder="1" applyAlignment="1">
      <alignment horizontal="center"/>
    </xf>
    <xf numFmtId="177" fontId="6" fillId="10" borderId="7" xfId="11" applyNumberFormat="1" applyFont="1" applyBorder="1" applyAlignment="1" applyProtection="1">
      <alignment horizontal="right" vertical="center" wrapText="1"/>
    </xf>
    <xf numFmtId="177" fontId="6" fillId="10" borderId="16" xfId="11" applyNumberFormat="1" applyFont="1" applyBorder="1" applyAlignment="1" applyProtection="1">
      <alignment vertical="center"/>
    </xf>
    <xf numFmtId="3" fontId="15" fillId="4" borderId="28" xfId="5" applyNumberFormat="1" applyFont="1" applyBorder="1"/>
    <xf numFmtId="9" fontId="8" fillId="0" borderId="0" xfId="13" applyFont="1" applyAlignment="1">
      <alignment horizontal="center"/>
    </xf>
    <xf numFmtId="9" fontId="0" fillId="0" borderId="0" xfId="0" applyNumberFormat="1"/>
    <xf numFmtId="177" fontId="15" fillId="0" borderId="2" xfId="13" applyNumberFormat="1" applyFont="1" applyFill="1" applyBorder="1"/>
    <xf numFmtId="9" fontId="15" fillId="21" borderId="2" xfId="13" applyFont="1" applyFill="1" applyBorder="1"/>
    <xf numFmtId="0" fontId="141" fillId="0" borderId="59" xfId="0" applyFont="1" applyBorder="1" applyAlignment="1">
      <alignment horizontal="center" wrapText="1"/>
    </xf>
    <xf numFmtId="0" fontId="74" fillId="21" borderId="61" xfId="22" applyFont="1" applyFill="1" applyBorder="1" applyAlignment="1">
      <alignment horizontal="center" wrapText="1"/>
    </xf>
    <xf numFmtId="0" fontId="15" fillId="48" borderId="100" xfId="30" applyFont="1" applyBorder="1" applyAlignment="1">
      <alignment horizontal="center" wrapText="1"/>
    </xf>
    <xf numFmtId="170" fontId="5" fillId="21" borderId="23" xfId="1" applyNumberFormat="1" applyFont="1" applyFill="1" applyBorder="1"/>
    <xf numFmtId="170" fontId="5" fillId="21" borderId="24" xfId="1" applyNumberFormat="1" applyFont="1" applyFill="1" applyBorder="1"/>
    <xf numFmtId="3" fontId="6" fillId="4" borderId="28" xfId="5" applyNumberFormat="1" applyFont="1" applyBorder="1" applyProtection="1"/>
    <xf numFmtId="170" fontId="15" fillId="48" borderId="101" xfId="30" applyNumberFormat="1" applyFont="1" applyBorder="1"/>
    <xf numFmtId="9" fontId="3" fillId="21" borderId="19" xfId="13" applyFont="1" applyFill="1" applyBorder="1" applyAlignment="1">
      <alignment horizontal="center"/>
    </xf>
    <xf numFmtId="0" fontId="74" fillId="21" borderId="43" xfId="22" applyFont="1" applyFill="1" applyBorder="1" applyAlignment="1">
      <alignment horizontal="center" wrapText="1"/>
    </xf>
    <xf numFmtId="3" fontId="3" fillId="21" borderId="28" xfId="1" applyNumberFormat="1" applyFont="1" applyFill="1" applyBorder="1"/>
    <xf numFmtId="3" fontId="3" fillId="21" borderId="12" xfId="1" applyNumberFormat="1" applyFont="1" applyFill="1" applyBorder="1"/>
    <xf numFmtId="3" fontId="14" fillId="21" borderId="12" xfId="1" applyNumberFormat="1" applyFont="1" applyFill="1" applyBorder="1"/>
    <xf numFmtId="170" fontId="6" fillId="21" borderId="13" xfId="1" applyNumberFormat="1" applyFont="1" applyFill="1" applyBorder="1"/>
    <xf numFmtId="0" fontId="72" fillId="13" borderId="62" xfId="22" applyFont="1" applyFill="1" applyBorder="1" applyAlignment="1">
      <alignment horizontal="center" wrapText="1"/>
    </xf>
    <xf numFmtId="170" fontId="15" fillId="48" borderId="95" xfId="30" applyNumberFormat="1" applyFont="1"/>
    <xf numFmtId="170" fontId="15" fillId="21" borderId="24" xfId="1" applyNumberFormat="1" applyFont="1" applyFill="1" applyBorder="1"/>
    <xf numFmtId="170" fontId="15" fillId="21" borderId="22" xfId="1" applyNumberFormat="1" applyFont="1" applyFill="1" applyBorder="1"/>
    <xf numFmtId="9" fontId="3" fillId="21" borderId="12" xfId="13" applyFont="1" applyFill="1" applyBorder="1"/>
    <xf numFmtId="9" fontId="3" fillId="24" borderId="12" xfId="13" applyFont="1" applyFill="1" applyBorder="1"/>
    <xf numFmtId="9" fontId="6" fillId="21" borderId="12" xfId="13" applyFont="1" applyFill="1" applyBorder="1"/>
    <xf numFmtId="170" fontId="6" fillId="21" borderId="12" xfId="1" applyNumberFormat="1" applyFont="1" applyFill="1" applyBorder="1"/>
    <xf numFmtId="3" fontId="3" fillId="21" borderId="14" xfId="1" applyNumberFormat="1" applyFont="1" applyFill="1" applyBorder="1"/>
    <xf numFmtId="9" fontId="3" fillId="21" borderId="16" xfId="13" applyFont="1" applyFill="1" applyBorder="1" applyAlignment="1">
      <alignment horizontal="center"/>
    </xf>
    <xf numFmtId="3" fontId="3" fillId="21" borderId="6" xfId="1" applyNumberFormat="1" applyFont="1" applyFill="1" applyBorder="1"/>
    <xf numFmtId="9" fontId="3" fillId="21" borderId="7" xfId="13" applyFont="1" applyFill="1" applyBorder="1" applyAlignment="1">
      <alignment horizontal="center"/>
    </xf>
    <xf numFmtId="3" fontId="15" fillId="21" borderId="6" xfId="1" applyNumberFormat="1" applyFont="1" applyFill="1" applyBorder="1"/>
    <xf numFmtId="9" fontId="15" fillId="21" borderId="7" xfId="13" applyFont="1" applyFill="1" applyBorder="1" applyAlignment="1">
      <alignment horizontal="center"/>
    </xf>
    <xf numFmtId="3" fontId="14" fillId="21" borderId="6" xfId="1" applyNumberFormat="1" applyFont="1" applyFill="1" applyBorder="1"/>
    <xf numFmtId="9" fontId="14" fillId="21" borderId="7" xfId="13" applyFont="1" applyFill="1" applyBorder="1" applyAlignment="1">
      <alignment horizontal="center"/>
    </xf>
    <xf numFmtId="170" fontId="6" fillId="21" borderId="8" xfId="1" applyNumberFormat="1" applyFont="1" applyFill="1" applyBorder="1"/>
    <xf numFmtId="9" fontId="6" fillId="21" borderId="10" xfId="1" applyNumberFormat="1" applyFont="1" applyFill="1" applyBorder="1"/>
    <xf numFmtId="0" fontId="100" fillId="0" borderId="2" xfId="0" applyFont="1" applyBorder="1" applyAlignment="1">
      <alignment horizontal="center"/>
    </xf>
    <xf numFmtId="9" fontId="5" fillId="0" borderId="2" xfId="0" applyNumberFormat="1" applyFont="1" applyBorder="1"/>
    <xf numFmtId="9" fontId="5" fillId="0" borderId="7" xfId="0" applyNumberFormat="1" applyFont="1" applyBorder="1"/>
    <xf numFmtId="9" fontId="5" fillId="0" borderId="12" xfId="0" applyNumberFormat="1" applyFont="1" applyBorder="1"/>
    <xf numFmtId="0" fontId="0" fillId="0" borderId="90" xfId="0" applyBorder="1" applyAlignment="1">
      <alignment horizontal="center"/>
    </xf>
    <xf numFmtId="0" fontId="6" fillId="0" borderId="21" xfId="0" applyFont="1" applyBorder="1" applyAlignment="1">
      <alignment horizontal="center"/>
    </xf>
    <xf numFmtId="0" fontId="6" fillId="0" borderId="11" xfId="0" applyFont="1" applyBorder="1" applyAlignment="1">
      <alignment horizontal="center"/>
    </xf>
    <xf numFmtId="0" fontId="6" fillId="0" borderId="5" xfId="0" applyFont="1" applyBorder="1" applyAlignment="1">
      <alignment horizontal="center"/>
    </xf>
    <xf numFmtId="0" fontId="5" fillId="0" borderId="11" xfId="0" applyFont="1" applyBorder="1" applyAlignment="1">
      <alignment horizontal="center"/>
    </xf>
    <xf numFmtId="0" fontId="5" fillId="0" borderId="33" xfId="0" applyFont="1" applyBorder="1" applyAlignment="1">
      <alignment horizontal="center"/>
    </xf>
    <xf numFmtId="0" fontId="5" fillId="0" borderId="5" xfId="0" applyFont="1" applyBorder="1" applyAlignment="1">
      <alignment horizontal="center"/>
    </xf>
    <xf numFmtId="0" fontId="14" fillId="27" borderId="2" xfId="18" applyFont="1" applyBorder="1" applyAlignment="1" applyProtection="1">
      <alignment horizontal="left" vertical="top" wrapText="1"/>
      <protection locked="0"/>
    </xf>
    <xf numFmtId="0" fontId="59" fillId="38" borderId="0" xfId="22"/>
    <xf numFmtId="0" fontId="150" fillId="38" borderId="0" xfId="22" applyFont="1"/>
    <xf numFmtId="3" fontId="59" fillId="38" borderId="0" xfId="22" applyNumberFormat="1"/>
    <xf numFmtId="3" fontId="38" fillId="27" borderId="0" xfId="18" applyNumberFormat="1"/>
    <xf numFmtId="3" fontId="60" fillId="39" borderId="0" xfId="23" applyNumberFormat="1"/>
    <xf numFmtId="0" fontId="41" fillId="27" borderId="6" xfId="18" applyFont="1" applyBorder="1"/>
    <xf numFmtId="0" fontId="151" fillId="0" borderId="20" xfId="0" quotePrefix="1" applyFont="1" applyBorder="1"/>
    <xf numFmtId="177" fontId="38" fillId="27" borderId="2" xfId="13" applyNumberFormat="1" applyFont="1" applyFill="1" applyBorder="1"/>
    <xf numFmtId="0" fontId="152" fillId="38" borderId="0" xfId="22" applyFont="1"/>
    <xf numFmtId="0" fontId="15" fillId="0" borderId="24" xfId="26" applyFont="1" applyBorder="1" applyAlignment="1">
      <alignment horizontal="center"/>
    </xf>
    <xf numFmtId="9" fontId="15" fillId="0" borderId="49" xfId="13" applyFont="1" applyBorder="1" applyAlignment="1">
      <alignment horizontal="center"/>
    </xf>
    <xf numFmtId="3" fontId="15" fillId="0" borderId="0" xfId="26" applyNumberFormat="1" applyFont="1"/>
    <xf numFmtId="3" fontId="6" fillId="21" borderId="12" xfId="1" applyNumberFormat="1" applyFont="1" applyFill="1" applyBorder="1"/>
    <xf numFmtId="9" fontId="6" fillId="21" borderId="7" xfId="13" applyFont="1" applyFill="1" applyBorder="1" applyAlignment="1">
      <alignment horizontal="center"/>
    </xf>
    <xf numFmtId="170" fontId="146" fillId="0" borderId="2" xfId="1" applyNumberFormat="1" applyFont="1" applyBorder="1" applyAlignment="1" applyProtection="1">
      <alignment horizontal="center" vertical="center" wrapText="1"/>
    </xf>
    <xf numFmtId="174" fontId="0" fillId="0" borderId="0" xfId="31" applyNumberFormat="1" applyFont="1" applyAlignment="1">
      <alignment horizontal="center"/>
    </xf>
    <xf numFmtId="0" fontId="99" fillId="2" borderId="2" xfId="3" applyFont="1" applyBorder="1" applyAlignment="1">
      <alignment vertical="center" wrapText="1"/>
    </xf>
    <xf numFmtId="0" fontId="5" fillId="7" borderId="2" xfId="8" applyFont="1" applyBorder="1" applyProtection="1">
      <protection locked="0"/>
    </xf>
    <xf numFmtId="0" fontId="7" fillId="25" borderId="4" xfId="0" applyFont="1" applyFill="1" applyBorder="1" applyAlignment="1" applyProtection="1">
      <alignment horizontal="center" vertical="center"/>
      <protection locked="0"/>
    </xf>
    <xf numFmtId="0" fontId="0" fillId="25" borderId="4" xfId="0" applyFill="1" applyBorder="1" applyAlignment="1" applyProtection="1">
      <alignment horizontal="left" vertical="center"/>
      <protection locked="0"/>
    </xf>
    <xf numFmtId="0" fontId="0" fillId="25" borderId="5" xfId="0" applyFill="1" applyBorder="1" applyAlignment="1" applyProtection="1">
      <alignment horizontal="left" vertical="center"/>
      <protection locked="0"/>
    </xf>
    <xf numFmtId="0" fontId="0" fillId="25" borderId="31" xfId="0" applyFill="1" applyBorder="1" applyAlignment="1" applyProtection="1">
      <alignment horizontal="left"/>
      <protection locked="0"/>
    </xf>
    <xf numFmtId="0" fontId="0" fillId="25" borderId="50" xfId="0" applyFill="1" applyBorder="1" applyAlignment="1" applyProtection="1">
      <alignment horizontal="left"/>
      <protection locked="0"/>
    </xf>
    <xf numFmtId="0" fontId="0" fillId="25" borderId="103" xfId="0" applyFill="1" applyBorder="1" applyAlignment="1" applyProtection="1">
      <alignment horizontal="left"/>
      <protection locked="0"/>
    </xf>
    <xf numFmtId="0" fontId="7" fillId="25" borderId="7" xfId="0" applyFont="1" applyFill="1" applyBorder="1" applyAlignment="1" applyProtection="1">
      <alignment horizontal="center" vertical="center"/>
      <protection locked="0"/>
    </xf>
    <xf numFmtId="3" fontId="9" fillId="25" borderId="9" xfId="0" applyNumberFormat="1" applyFont="1" applyFill="1" applyBorder="1" applyAlignment="1" applyProtection="1">
      <alignment horizontal="center" vertical="center"/>
      <protection locked="0"/>
    </xf>
    <xf numFmtId="0" fontId="7" fillId="25" borderId="9" xfId="0" applyFont="1" applyFill="1" applyBorder="1" applyAlignment="1" applyProtection="1">
      <alignment horizontal="center" vertical="center"/>
      <protection locked="0"/>
    </xf>
    <xf numFmtId="0" fontId="5" fillId="25" borderId="8" xfId="0" applyFont="1" applyFill="1" applyBorder="1" applyAlignment="1" applyProtection="1">
      <alignment horizontal="center" vertical="center"/>
      <protection locked="0"/>
    </xf>
    <xf numFmtId="0" fontId="0" fillId="25" borderId="9" xfId="0" applyFill="1" applyBorder="1" applyAlignment="1" applyProtection="1">
      <alignment horizontal="center" vertical="center"/>
      <protection locked="0"/>
    </xf>
    <xf numFmtId="3" fontId="0" fillId="25" borderId="9" xfId="0" applyNumberFormat="1" applyFill="1" applyBorder="1" applyAlignment="1" applyProtection="1">
      <alignment horizontal="center" vertical="center"/>
      <protection locked="0"/>
    </xf>
    <xf numFmtId="3" fontId="5" fillId="25" borderId="10" xfId="0" applyNumberFormat="1" applyFont="1" applyFill="1" applyBorder="1" applyAlignment="1" applyProtection="1">
      <alignment horizontal="center" vertical="center"/>
      <protection locked="0"/>
    </xf>
    <xf numFmtId="3" fontId="8" fillId="25" borderId="9" xfId="0" applyNumberFormat="1" applyFont="1" applyFill="1" applyBorder="1" applyAlignment="1" applyProtection="1">
      <alignment horizontal="center" vertical="center"/>
      <protection locked="0"/>
    </xf>
    <xf numFmtId="172" fontId="147" fillId="19" borderId="2" xfId="31" applyNumberFormat="1" applyFont="1" applyFill="1" applyBorder="1" applyAlignment="1">
      <alignment horizontal="center" vertical="center" wrapText="1"/>
    </xf>
    <xf numFmtId="170" fontId="59" fillId="38" borderId="2" xfId="22" applyNumberFormat="1" applyBorder="1" applyAlignment="1">
      <alignment horizontal="center" vertical="center" wrapText="1"/>
    </xf>
    <xf numFmtId="170" fontId="59" fillId="38" borderId="2" xfId="22" applyNumberFormat="1" applyBorder="1" applyAlignment="1" applyProtection="1">
      <alignment horizontal="center" vertical="center" wrapText="1"/>
    </xf>
    <xf numFmtId="0" fontId="59" fillId="38" borderId="2" xfId="22" applyBorder="1" applyAlignment="1" applyProtection="1">
      <alignment horizontal="center" vertical="center" wrapText="1"/>
      <protection locked="0"/>
    </xf>
    <xf numFmtId="172" fontId="59" fillId="38" borderId="2" xfId="22" applyNumberFormat="1" applyBorder="1" applyAlignment="1">
      <alignment horizontal="center" vertical="center" wrapText="1"/>
    </xf>
    <xf numFmtId="0" fontId="5" fillId="0" borderId="0" xfId="0" applyFont="1" applyAlignment="1">
      <alignment horizontal="left" vertical="center"/>
    </xf>
    <xf numFmtId="170" fontId="156" fillId="0" borderId="2" xfId="1" applyNumberFormat="1" applyFont="1" applyBorder="1" applyAlignment="1">
      <alignment horizontal="center" vertical="center" wrapText="1"/>
    </xf>
    <xf numFmtId="170" fontId="156" fillId="0" borderId="2" xfId="1" applyNumberFormat="1" applyFont="1" applyBorder="1" applyAlignment="1" applyProtection="1">
      <alignment horizontal="center" vertical="center" wrapText="1"/>
    </xf>
    <xf numFmtId="0" fontId="7" fillId="0" borderId="0" xfId="0" applyFont="1" applyAlignment="1">
      <alignment horizontal="left" vertical="center"/>
    </xf>
    <xf numFmtId="0" fontId="155" fillId="0" borderId="2" xfId="0" applyFont="1" applyBorder="1" applyAlignment="1">
      <alignment horizontal="center" vertical="center" wrapText="1"/>
    </xf>
    <xf numFmtId="172" fontId="154" fillId="19" borderId="2" xfId="31" applyNumberFormat="1" applyFont="1" applyFill="1" applyBorder="1" applyAlignment="1">
      <alignment horizontal="center" vertical="center" wrapText="1"/>
    </xf>
    <xf numFmtId="172" fontId="128" fillId="19" borderId="2" xfId="31" applyNumberFormat="1" applyFont="1" applyFill="1" applyBorder="1" applyAlignment="1">
      <alignment horizontal="center" vertical="center" wrapText="1"/>
    </xf>
    <xf numFmtId="172" fontId="153" fillId="19" borderId="2" xfId="31" applyNumberFormat="1" applyFont="1" applyFill="1" applyBorder="1" applyAlignment="1">
      <alignment horizontal="center" vertical="center" wrapText="1"/>
    </xf>
    <xf numFmtId="0" fontId="156" fillId="0" borderId="2" xfId="0" applyFont="1" applyBorder="1" applyAlignment="1">
      <alignment horizontal="center" vertical="center" wrapText="1"/>
    </xf>
    <xf numFmtId="9" fontId="154" fillId="19" borderId="7" xfId="13" applyFont="1" applyFill="1" applyBorder="1" applyAlignment="1">
      <alignment horizontal="center" vertical="center" wrapText="1"/>
    </xf>
    <xf numFmtId="0" fontId="99" fillId="0" borderId="2" xfId="0" applyFont="1" applyBorder="1"/>
    <xf numFmtId="0" fontId="0" fillId="0" borderId="80" xfId="0" applyBorder="1" applyAlignment="1">
      <alignment horizontal="center"/>
    </xf>
    <xf numFmtId="170" fontId="7" fillId="48" borderId="102" xfId="30" applyNumberFormat="1" applyFont="1" applyBorder="1"/>
    <xf numFmtId="0" fontId="157" fillId="56" borderId="104" xfId="0" applyFont="1" applyFill="1" applyBorder="1" applyAlignment="1">
      <alignment horizontal="center" vertical="center" wrapText="1"/>
    </xf>
    <xf numFmtId="0" fontId="157" fillId="57" borderId="104" xfId="0" applyFont="1" applyFill="1" applyBorder="1" applyAlignment="1">
      <alignment horizontal="center" vertical="center" wrapText="1"/>
    </xf>
    <xf numFmtId="0" fontId="53" fillId="57" borderId="104" xfId="21" applyFill="1" applyBorder="1" applyAlignment="1">
      <alignment horizontal="center" vertical="center" wrapText="1"/>
    </xf>
    <xf numFmtId="0" fontId="158" fillId="58" borderId="104" xfId="0" applyFont="1" applyFill="1" applyBorder="1" applyAlignment="1">
      <alignment vertical="center" wrapText="1"/>
    </xf>
    <xf numFmtId="0" fontId="158" fillId="58" borderId="104" xfId="0" applyFont="1" applyFill="1" applyBorder="1" applyAlignment="1">
      <alignment horizontal="right" vertical="center" wrapText="1"/>
    </xf>
    <xf numFmtId="0" fontId="158" fillId="40" borderId="104" xfId="0" applyFont="1" applyFill="1" applyBorder="1" applyAlignment="1">
      <alignment vertical="center" wrapText="1"/>
    </xf>
    <xf numFmtId="0" fontId="158" fillId="40" borderId="104" xfId="0" applyFont="1" applyFill="1" applyBorder="1" applyAlignment="1">
      <alignment horizontal="right" vertical="center" wrapText="1"/>
    </xf>
    <xf numFmtId="3" fontId="0" fillId="0" borderId="49" xfId="0" applyNumberFormat="1" applyBorder="1"/>
    <xf numFmtId="3" fontId="0" fillId="0" borderId="50" xfId="0" applyNumberFormat="1" applyBorder="1"/>
    <xf numFmtId="3" fontId="0" fillId="0" borderId="48" xfId="0" applyNumberFormat="1" applyBorder="1"/>
    <xf numFmtId="3" fontId="6" fillId="13" borderId="49" xfId="0" applyNumberFormat="1" applyFont="1" applyFill="1" applyBorder="1"/>
    <xf numFmtId="0" fontId="6" fillId="13" borderId="49" xfId="0" applyFont="1" applyFill="1" applyBorder="1" applyAlignment="1">
      <alignment horizontal="right"/>
    </xf>
    <xf numFmtId="0" fontId="6" fillId="13" borderId="0" xfId="0" applyFont="1" applyFill="1" applyAlignment="1">
      <alignment horizontal="right"/>
    </xf>
    <xf numFmtId="0" fontId="158" fillId="58" borderId="2" xfId="0" applyFont="1" applyFill="1" applyBorder="1" applyAlignment="1">
      <alignment horizontal="right" vertical="center" wrapText="1"/>
    </xf>
    <xf numFmtId="3" fontId="158" fillId="58" borderId="2" xfId="0" applyNumberFormat="1" applyFont="1" applyFill="1" applyBorder="1" applyAlignment="1">
      <alignment horizontal="right" vertical="center" wrapText="1"/>
    </xf>
    <xf numFmtId="3" fontId="158" fillId="40" borderId="2" xfId="0" applyNumberFormat="1" applyFont="1" applyFill="1" applyBorder="1" applyAlignment="1">
      <alignment horizontal="right" vertical="center" wrapText="1"/>
    </xf>
    <xf numFmtId="9" fontId="0" fillId="0" borderId="49" xfId="13" applyFont="1" applyBorder="1" applyAlignment="1">
      <alignment horizontal="center"/>
    </xf>
    <xf numFmtId="170" fontId="0" fillId="0" borderId="2" xfId="1" applyNumberFormat="1" applyFont="1" applyBorder="1" applyAlignment="1">
      <alignment horizontal="center" wrapText="1"/>
    </xf>
    <xf numFmtId="170" fontId="0" fillId="0" borderId="2" xfId="1" applyNumberFormat="1" applyFont="1" applyBorder="1" applyAlignment="1">
      <alignment horizontal="center"/>
    </xf>
    <xf numFmtId="9" fontId="0" fillId="0" borderId="2" xfId="13" applyFont="1" applyBorder="1" applyAlignment="1">
      <alignment horizontal="center"/>
    </xf>
    <xf numFmtId="170" fontId="0" fillId="0" borderId="15" xfId="1" applyNumberFormat="1" applyFont="1" applyBorder="1" applyAlignment="1">
      <alignment horizontal="center"/>
    </xf>
    <xf numFmtId="170" fontId="0" fillId="0" borderId="15" xfId="1" applyNumberFormat="1" applyFont="1" applyBorder="1" applyAlignment="1">
      <alignment horizontal="center" wrapText="1"/>
    </xf>
    <xf numFmtId="9" fontId="0" fillId="0" borderId="15" xfId="13" applyFont="1" applyBorder="1" applyAlignment="1">
      <alignment horizontal="center"/>
    </xf>
    <xf numFmtId="170" fontId="0" fillId="0" borderId="36" xfId="1" applyNumberFormat="1" applyFont="1" applyBorder="1" applyAlignment="1">
      <alignment horizontal="center" wrapText="1"/>
    </xf>
    <xf numFmtId="0" fontId="57" fillId="59" borderId="36" xfId="0" applyFont="1" applyFill="1" applyBorder="1" applyAlignment="1">
      <alignment horizontal="center" wrapText="1"/>
    </xf>
    <xf numFmtId="0" fontId="57" fillId="59" borderId="37" xfId="0" applyFont="1" applyFill="1" applyBorder="1" applyAlignment="1">
      <alignment horizontal="center" wrapText="1"/>
    </xf>
    <xf numFmtId="0" fontId="0" fillId="0" borderId="54" xfId="0" applyBorder="1" applyAlignment="1">
      <alignment horizontal="center"/>
    </xf>
    <xf numFmtId="170" fontId="0" fillId="0" borderId="54" xfId="1" applyNumberFormat="1" applyFont="1" applyBorder="1" applyAlignment="1">
      <alignment horizontal="center"/>
    </xf>
    <xf numFmtId="170" fontId="0" fillId="0" borderId="54" xfId="1" applyNumberFormat="1" applyFont="1" applyBorder="1" applyAlignment="1">
      <alignment horizontal="center" wrapText="1"/>
    </xf>
    <xf numFmtId="170" fontId="0" fillId="0" borderId="54" xfId="1" applyNumberFormat="1" applyFont="1" applyBorder="1"/>
    <xf numFmtId="170" fontId="0" fillId="0" borderId="54" xfId="0" applyNumberFormat="1" applyBorder="1"/>
    <xf numFmtId="9" fontId="0" fillId="0" borderId="54" xfId="13" applyFont="1" applyBorder="1" applyAlignment="1">
      <alignment horizontal="center"/>
    </xf>
    <xf numFmtId="9" fontId="0" fillId="0" borderId="36" xfId="0" applyNumberFormat="1" applyBorder="1" applyAlignment="1">
      <alignment horizontal="center"/>
    </xf>
    <xf numFmtId="9" fontId="0" fillId="0" borderId="37" xfId="0" applyNumberFormat="1" applyBorder="1" applyAlignment="1">
      <alignment horizontal="center"/>
    </xf>
    <xf numFmtId="177" fontId="28" fillId="13" borderId="2" xfId="13" applyNumberFormat="1" applyFont="1" applyFill="1" applyBorder="1"/>
    <xf numFmtId="3" fontId="28" fillId="3" borderId="28" xfId="4" applyNumberFormat="1" applyFont="1" applyBorder="1"/>
    <xf numFmtId="3" fontId="28" fillId="4" borderId="28" xfId="5" applyNumberFormat="1" applyFont="1" applyBorder="1"/>
    <xf numFmtId="170" fontId="87" fillId="0" borderId="2" xfId="1" applyNumberFormat="1" applyFont="1" applyBorder="1" applyAlignment="1">
      <alignment horizontal="center" vertical="center" wrapText="1"/>
    </xf>
    <xf numFmtId="170" fontId="0" fillId="0" borderId="0" xfId="0" applyNumberFormat="1"/>
    <xf numFmtId="177" fontId="8" fillId="0" borderId="0" xfId="13" applyNumberFormat="1" applyFont="1"/>
    <xf numFmtId="3" fontId="159" fillId="40" borderId="0" xfId="0" applyNumberFormat="1" applyFont="1" applyFill="1" applyAlignment="1">
      <alignment horizontal="right" vertical="center" wrapText="1"/>
    </xf>
    <xf numFmtId="0" fontId="122" fillId="0" borderId="2" xfId="0" applyFont="1" applyBorder="1" applyAlignment="1">
      <alignment horizontal="center" vertical="center" wrapText="1"/>
    </xf>
    <xf numFmtId="0" fontId="132" fillId="0" borderId="2" xfId="0" applyFont="1" applyBorder="1" applyAlignment="1">
      <alignment horizontal="center" vertical="center" wrapText="1"/>
    </xf>
    <xf numFmtId="170" fontId="5" fillId="13" borderId="2" xfId="22" applyNumberFormat="1" applyFont="1" applyFill="1" applyBorder="1" applyAlignment="1">
      <alignment horizontal="center" vertical="center" wrapText="1"/>
    </xf>
    <xf numFmtId="170" fontId="87" fillId="13" borderId="2" xfId="1" applyNumberFormat="1" applyFont="1" applyFill="1" applyBorder="1" applyAlignment="1">
      <alignment horizontal="center" vertical="center" wrapText="1"/>
    </xf>
    <xf numFmtId="0" fontId="5" fillId="13" borderId="2" xfId="22" applyFont="1" applyFill="1" applyBorder="1" applyAlignment="1" applyProtection="1">
      <alignment horizontal="center" vertical="center" wrapText="1"/>
      <protection locked="0"/>
    </xf>
    <xf numFmtId="170" fontId="156" fillId="0" borderId="15" xfId="1" applyNumberFormat="1" applyFont="1" applyBorder="1" applyAlignment="1">
      <alignment horizontal="center" vertical="center" wrapText="1"/>
    </xf>
    <xf numFmtId="3" fontId="159" fillId="0" borderId="0" xfId="0" applyNumberFormat="1" applyFont="1" applyAlignment="1">
      <alignment horizontal="right" vertical="center" wrapText="1"/>
    </xf>
    <xf numFmtId="0" fontId="159" fillId="0" borderId="0" xfId="0" applyFont="1" applyAlignment="1">
      <alignment horizontal="right" vertical="center" wrapText="1"/>
    </xf>
    <xf numFmtId="0" fontId="159" fillId="60" borderId="0" xfId="0" applyFont="1" applyFill="1" applyAlignment="1">
      <alignment horizontal="right" vertical="center" wrapText="1"/>
    </xf>
    <xf numFmtId="177" fontId="135" fillId="15" borderId="5" xfId="13" applyNumberFormat="1" applyFont="1" applyFill="1" applyBorder="1" applyAlignment="1">
      <alignment horizontal="center" vertical="center" wrapText="1"/>
    </xf>
    <xf numFmtId="177" fontId="135" fillId="15" borderId="7" xfId="13" applyNumberFormat="1" applyFont="1" applyFill="1" applyBorder="1" applyAlignment="1">
      <alignment horizontal="center" vertical="center" wrapText="1"/>
    </xf>
    <xf numFmtId="177" fontId="147" fillId="15" borderId="7" xfId="13" applyNumberFormat="1" applyFont="1" applyFill="1" applyBorder="1" applyAlignment="1">
      <alignment horizontal="center" vertical="center" wrapText="1"/>
    </xf>
    <xf numFmtId="177" fontId="128" fillId="15" borderId="7" xfId="13" applyNumberFormat="1" applyFont="1" applyFill="1" applyBorder="1" applyAlignment="1">
      <alignment horizontal="center" vertical="center" wrapText="1"/>
    </xf>
    <xf numFmtId="0" fontId="0" fillId="13" borderId="2" xfId="0" applyFill="1" applyBorder="1" applyAlignment="1">
      <alignment horizontal="center"/>
    </xf>
    <xf numFmtId="170" fontId="15" fillId="13" borderId="95" xfId="30" applyNumberFormat="1" applyFont="1" applyFill="1"/>
    <xf numFmtId="170" fontId="28" fillId="13" borderId="24" xfId="1" applyNumberFormat="1" applyFont="1" applyFill="1" applyBorder="1"/>
    <xf numFmtId="3" fontId="15" fillId="13" borderId="2" xfId="26" applyNumberFormat="1" applyFont="1" applyFill="1" applyBorder="1"/>
    <xf numFmtId="172" fontId="147" fillId="19" borderId="4" xfId="31" applyNumberFormat="1" applyFont="1" applyFill="1" applyBorder="1" applyAlignment="1">
      <alignment horizontal="center" vertical="center" wrapText="1"/>
    </xf>
    <xf numFmtId="9" fontId="147" fillId="19" borderId="5" xfId="13" applyFont="1" applyFill="1" applyBorder="1" applyAlignment="1">
      <alignment horizontal="center" vertical="center" wrapText="1"/>
    </xf>
    <xf numFmtId="3" fontId="7" fillId="21" borderId="6" xfId="1" applyNumberFormat="1" applyFont="1" applyFill="1" applyBorder="1"/>
    <xf numFmtId="9" fontId="7" fillId="21" borderId="7" xfId="13" applyFont="1" applyFill="1" applyBorder="1" applyAlignment="1">
      <alignment horizontal="center"/>
    </xf>
    <xf numFmtId="9" fontId="5" fillId="21" borderId="7" xfId="13" applyFont="1" applyFill="1" applyBorder="1" applyAlignment="1">
      <alignment horizontal="center"/>
    </xf>
    <xf numFmtId="3" fontId="14" fillId="13" borderId="2" xfId="26" applyNumberFormat="1" applyFont="1" applyFill="1" applyBorder="1"/>
    <xf numFmtId="3" fontId="14" fillId="13" borderId="9" xfId="26" applyNumberFormat="1" applyFont="1" applyFill="1" applyBorder="1"/>
    <xf numFmtId="9" fontId="7" fillId="21" borderId="2" xfId="13" applyFont="1" applyFill="1" applyBorder="1" applyAlignment="1">
      <alignment horizontal="center"/>
    </xf>
    <xf numFmtId="170" fontId="7" fillId="0" borderId="2" xfId="1" applyNumberFormat="1" applyFont="1" applyFill="1" applyBorder="1"/>
    <xf numFmtId="3" fontId="7" fillId="0" borderId="20" xfId="26" applyNumberFormat="1" applyFont="1" applyBorder="1"/>
    <xf numFmtId="3" fontId="7" fillId="15" borderId="2" xfId="26" applyNumberFormat="1" applyFont="1" applyFill="1" applyBorder="1"/>
    <xf numFmtId="0" fontId="0" fillId="0" borderId="59" xfId="0" applyBorder="1" applyAlignment="1">
      <alignment horizontal="center"/>
    </xf>
    <xf numFmtId="9" fontId="57" fillId="21" borderId="2" xfId="13" applyFont="1" applyFill="1" applyBorder="1"/>
    <xf numFmtId="9" fontId="28" fillId="53" borderId="24" xfId="26" applyNumberFormat="1" applyFont="1" applyFill="1" applyBorder="1" applyAlignment="1">
      <alignment horizontal="center"/>
    </xf>
    <xf numFmtId="9" fontId="28" fillId="15" borderId="2" xfId="26" applyNumberFormat="1" applyFont="1" applyFill="1" applyBorder="1" applyAlignment="1">
      <alignment horizontal="center" wrapText="1"/>
    </xf>
    <xf numFmtId="9" fontId="57" fillId="53" borderId="24" xfId="26" applyNumberFormat="1" applyFont="1" applyFill="1" applyBorder="1" applyAlignment="1">
      <alignment horizontal="center"/>
    </xf>
    <xf numFmtId="9" fontId="57" fillId="53" borderId="22" xfId="26" applyNumberFormat="1" applyFont="1" applyFill="1" applyBorder="1" applyAlignment="1">
      <alignment horizontal="center"/>
    </xf>
    <xf numFmtId="9" fontId="28" fillId="15" borderId="9" xfId="26" applyNumberFormat="1" applyFont="1" applyFill="1" applyBorder="1" applyAlignment="1">
      <alignment horizontal="center" wrapText="1"/>
    </xf>
    <xf numFmtId="9" fontId="28" fillId="15" borderId="38" xfId="26" applyNumberFormat="1" applyFont="1" applyFill="1" applyBorder="1" applyAlignment="1">
      <alignment horizontal="center" wrapText="1"/>
    </xf>
    <xf numFmtId="170" fontId="7" fillId="21" borderId="24" xfId="1" applyNumberFormat="1" applyFont="1" applyFill="1" applyBorder="1"/>
    <xf numFmtId="3" fontId="3" fillId="61" borderId="0" xfId="26" applyNumberFormat="1" applyFill="1" applyAlignment="1">
      <alignment horizontal="center"/>
    </xf>
    <xf numFmtId="0" fontId="3" fillId="61" borderId="0" xfId="26" applyFill="1"/>
    <xf numFmtId="170" fontId="3" fillId="0" borderId="0" xfId="1" applyNumberFormat="1" applyFont="1"/>
    <xf numFmtId="177" fontId="3" fillId="0" borderId="0" xfId="13" applyNumberFormat="1" applyFont="1"/>
    <xf numFmtId="0" fontId="160" fillId="0" borderId="20" xfId="0" applyFont="1" applyBorder="1" applyAlignment="1">
      <alignment horizontal="left"/>
    </xf>
    <xf numFmtId="9" fontId="0" fillId="0" borderId="6" xfId="13" applyFont="1" applyBorder="1" applyAlignment="1">
      <alignment horizontal="center"/>
    </xf>
    <xf numFmtId="9" fontId="0" fillId="0" borderId="8" xfId="13" applyFont="1" applyBorder="1" applyAlignment="1">
      <alignment horizontal="center"/>
    </xf>
    <xf numFmtId="9" fontId="0" fillId="0" borderId="14" xfId="13" applyFont="1" applyBorder="1" applyAlignment="1">
      <alignment horizontal="center"/>
    </xf>
    <xf numFmtId="0" fontId="158" fillId="58" borderId="15" xfId="0" applyFont="1" applyFill="1" applyBorder="1" applyAlignment="1">
      <alignment horizontal="right" vertical="center" wrapText="1"/>
    </xf>
    <xf numFmtId="172" fontId="153" fillId="25" borderId="2" xfId="31" applyNumberFormat="1" applyFont="1" applyFill="1" applyBorder="1" applyAlignment="1">
      <alignment horizontal="center" vertical="center" wrapText="1"/>
    </xf>
    <xf numFmtId="177" fontId="153" fillId="25" borderId="2" xfId="13" applyNumberFormat="1" applyFont="1" applyFill="1" applyBorder="1" applyAlignment="1">
      <alignment horizontal="center" vertical="center" wrapText="1"/>
    </xf>
    <xf numFmtId="177" fontId="153" fillId="25" borderId="7" xfId="13" applyNumberFormat="1" applyFont="1" applyFill="1" applyBorder="1" applyAlignment="1">
      <alignment horizontal="center" vertical="center" wrapText="1"/>
    </xf>
    <xf numFmtId="172" fontId="132" fillId="25" borderId="2" xfId="31" applyNumberFormat="1" applyFont="1" applyFill="1" applyBorder="1" applyAlignment="1">
      <alignment horizontal="center" vertical="center" wrapText="1"/>
    </xf>
    <xf numFmtId="177" fontId="132" fillId="25" borderId="7" xfId="13" applyNumberFormat="1" applyFont="1" applyFill="1" applyBorder="1" applyAlignment="1">
      <alignment horizontal="center" vertical="center" wrapText="1"/>
    </xf>
    <xf numFmtId="172" fontId="148" fillId="25" borderId="2" xfId="31" applyNumberFormat="1" applyFont="1" applyFill="1" applyBorder="1" applyAlignment="1">
      <alignment horizontal="center" vertical="center" wrapText="1"/>
    </xf>
    <xf numFmtId="177" fontId="148" fillId="25" borderId="7" xfId="13" applyNumberFormat="1" applyFont="1" applyFill="1" applyBorder="1" applyAlignment="1">
      <alignment horizontal="center" vertical="center" wrapText="1"/>
    </xf>
    <xf numFmtId="172" fontId="135" fillId="25" borderId="9" xfId="31" applyNumberFormat="1" applyFont="1" applyFill="1" applyBorder="1" applyAlignment="1">
      <alignment horizontal="center" vertical="center" wrapText="1"/>
    </xf>
    <xf numFmtId="177" fontId="135" fillId="25" borderId="10" xfId="13" applyNumberFormat="1" applyFont="1" applyFill="1" applyBorder="1" applyAlignment="1">
      <alignment horizontal="center" vertical="center" wrapText="1"/>
    </xf>
    <xf numFmtId="3" fontId="153" fillId="25" borderId="2" xfId="0" applyNumberFormat="1" applyFont="1" applyFill="1" applyBorder="1" applyAlignment="1">
      <alignment horizontal="center" vertical="center" wrapText="1"/>
    </xf>
    <xf numFmtId="177" fontId="132" fillId="25" borderId="2" xfId="13" applyNumberFormat="1" applyFont="1" applyFill="1" applyBorder="1" applyAlignment="1">
      <alignment horizontal="center" vertical="center" wrapText="1"/>
    </xf>
    <xf numFmtId="3" fontId="132" fillId="25" borderId="2" xfId="0" applyNumberFormat="1" applyFont="1" applyFill="1" applyBorder="1" applyAlignment="1">
      <alignment horizontal="center" vertical="center" wrapText="1"/>
    </xf>
    <xf numFmtId="0" fontId="14" fillId="25" borderId="2" xfId="0" applyFont="1" applyFill="1" applyBorder="1" applyAlignment="1">
      <alignment horizontal="center" vertical="center" wrapText="1"/>
    </xf>
    <xf numFmtId="0" fontId="135" fillId="25" borderId="2" xfId="0" applyFont="1" applyFill="1" applyBorder="1" applyAlignment="1">
      <alignment horizontal="center" vertical="center" wrapText="1"/>
    </xf>
    <xf numFmtId="0" fontId="14" fillId="25" borderId="6" xfId="0" applyFont="1" applyFill="1" applyBorder="1" applyAlignment="1">
      <alignment horizontal="center" vertical="center" wrapText="1"/>
    </xf>
    <xf numFmtId="0" fontId="15" fillId="25" borderId="6" xfId="0" applyFont="1" applyFill="1" applyBorder="1" applyAlignment="1">
      <alignment horizontal="center" vertical="center" wrapText="1"/>
    </xf>
    <xf numFmtId="0" fontId="15" fillId="25" borderId="2" xfId="0" applyFont="1" applyFill="1" applyBorder="1" applyAlignment="1">
      <alignment horizontal="center" vertical="center" wrapText="1"/>
    </xf>
    <xf numFmtId="0" fontId="147" fillId="25" borderId="2" xfId="0" applyFont="1" applyFill="1" applyBorder="1" applyAlignment="1">
      <alignment horizontal="center" vertical="center" wrapText="1"/>
    </xf>
    <xf numFmtId="180" fontId="0" fillId="25" borderId="7" xfId="0" applyNumberFormat="1" applyFill="1" applyBorder="1" applyAlignment="1">
      <alignment horizontal="center"/>
    </xf>
    <xf numFmtId="3" fontId="5" fillId="21" borderId="9" xfId="26" applyNumberFormat="1" applyFont="1" applyFill="1" applyBorder="1"/>
    <xf numFmtId="3" fontId="5" fillId="53" borderId="2" xfId="26" applyNumberFormat="1" applyFont="1" applyFill="1" applyBorder="1"/>
    <xf numFmtId="3" fontId="0" fillId="0" borderId="62" xfId="0" applyNumberFormat="1" applyBorder="1"/>
    <xf numFmtId="3" fontId="6" fillId="0" borderId="62" xfId="0" applyNumberFormat="1" applyFont="1" applyBorder="1"/>
    <xf numFmtId="0" fontId="0" fillId="0" borderId="62" xfId="0" applyBorder="1" applyAlignment="1">
      <alignment horizontal="center" wrapText="1"/>
    </xf>
    <xf numFmtId="0" fontId="0" fillId="0" borderId="60" xfId="0" applyBorder="1" applyAlignment="1">
      <alignment horizontal="center"/>
    </xf>
    <xf numFmtId="0" fontId="0" fillId="0" borderId="26" xfId="0" applyBorder="1" applyAlignment="1">
      <alignment horizontal="center" vertical="center" wrapText="1"/>
    </xf>
    <xf numFmtId="0" fontId="0" fillId="0" borderId="61" xfId="0" applyBorder="1" applyAlignment="1">
      <alignment horizontal="center" wrapText="1"/>
    </xf>
    <xf numFmtId="0" fontId="0" fillId="0" borderId="2" xfId="0" applyBorder="1" applyAlignment="1">
      <alignment horizontal="center" wrapText="1"/>
    </xf>
    <xf numFmtId="0" fontId="0" fillId="0" borderId="29" xfId="0" applyBorder="1" applyAlignment="1">
      <alignment horizontal="center" vertical="center" wrapText="1"/>
    </xf>
    <xf numFmtId="0" fontId="0" fillId="0" borderId="27" xfId="0" applyBorder="1" applyAlignment="1">
      <alignment horizontal="center" vertical="center" wrapText="1"/>
    </xf>
    <xf numFmtId="3" fontId="14" fillId="25" borderId="16" xfId="0" applyNumberFormat="1" applyFont="1" applyFill="1" applyBorder="1"/>
    <xf numFmtId="3" fontId="15" fillId="25" borderId="16" xfId="0" applyNumberFormat="1" applyFont="1" applyFill="1" applyBorder="1"/>
    <xf numFmtId="0" fontId="0" fillId="0" borderId="21" xfId="0" applyBorder="1" applyAlignment="1">
      <alignment horizontal="center" vertical="center" wrapText="1"/>
    </xf>
    <xf numFmtId="0" fontId="0" fillId="0" borderId="22" xfId="0" applyBorder="1" applyAlignment="1">
      <alignment horizontal="center" vertical="center" wrapText="1"/>
    </xf>
    <xf numFmtId="0" fontId="0" fillId="0" borderId="26" xfId="0" pivotButton="1" applyBorder="1" applyAlignment="1">
      <alignment horizontal="center" wrapText="1"/>
    </xf>
    <xf numFmtId="0" fontId="141" fillId="0" borderId="62" xfId="0" applyFont="1" applyBorder="1" applyAlignment="1">
      <alignment horizontal="center" wrapText="1"/>
    </xf>
    <xf numFmtId="0" fontId="141" fillId="0" borderId="37" xfId="0" applyFont="1" applyBorder="1" applyAlignment="1">
      <alignment horizontal="center" wrapText="1"/>
    </xf>
    <xf numFmtId="0" fontId="138" fillId="43" borderId="53" xfId="0" applyFont="1" applyFill="1" applyBorder="1" applyAlignment="1">
      <alignment vertical="center"/>
    </xf>
    <xf numFmtId="0" fontId="138" fillId="43" borderId="59" xfId="0" applyFont="1" applyFill="1" applyBorder="1" applyAlignment="1">
      <alignment vertical="center"/>
    </xf>
    <xf numFmtId="0" fontId="138" fillId="43" borderId="52" xfId="0" applyFont="1" applyFill="1" applyBorder="1" applyAlignment="1">
      <alignment vertical="center"/>
    </xf>
    <xf numFmtId="0" fontId="138" fillId="43" borderId="25" xfId="0" applyFont="1" applyFill="1" applyBorder="1" applyAlignment="1">
      <alignment vertical="center"/>
    </xf>
    <xf numFmtId="0" fontId="6" fillId="13" borderId="63" xfId="0" applyFont="1" applyFill="1" applyBorder="1" applyAlignment="1">
      <alignment horizontal="right"/>
    </xf>
    <xf numFmtId="3" fontId="0" fillId="21" borderId="45" xfId="0" applyNumberFormat="1" applyFill="1" applyBorder="1"/>
    <xf numFmtId="3" fontId="0" fillId="25" borderId="47" xfId="0" applyNumberFormat="1" applyFill="1" applyBorder="1"/>
    <xf numFmtId="3" fontId="0" fillId="13" borderId="35" xfId="0" applyNumberFormat="1" applyFill="1" applyBorder="1"/>
    <xf numFmtId="3" fontId="0" fillId="13" borderId="36" xfId="0" applyNumberFormat="1" applyFill="1" applyBorder="1"/>
    <xf numFmtId="177" fontId="0" fillId="13" borderId="37" xfId="13" applyNumberFormat="1" applyFont="1" applyFill="1" applyBorder="1" applyAlignment="1">
      <alignment horizontal="center"/>
    </xf>
    <xf numFmtId="177" fontId="128" fillId="15" borderId="2" xfId="13" applyNumberFormat="1" applyFont="1" applyFill="1" applyBorder="1" applyAlignment="1">
      <alignment horizontal="center" vertical="center" wrapText="1"/>
    </xf>
    <xf numFmtId="172" fontId="132" fillId="19" borderId="2" xfId="31" applyNumberFormat="1" applyFont="1" applyFill="1" applyBorder="1" applyAlignment="1">
      <alignment horizontal="center" vertical="center" wrapText="1"/>
    </xf>
    <xf numFmtId="0" fontId="7" fillId="0" borderId="0" xfId="0" applyFont="1" applyAlignment="1">
      <alignment vertical="center"/>
    </xf>
    <xf numFmtId="177" fontId="161" fillId="0" borderId="2" xfId="13" applyNumberFormat="1" applyFont="1" applyBorder="1" applyAlignment="1">
      <alignment horizontal="center" vertical="center"/>
    </xf>
    <xf numFmtId="177" fontId="134" fillId="0" borderId="2" xfId="13" applyNumberFormat="1" applyFont="1" applyBorder="1" applyAlignment="1">
      <alignment horizontal="center" vertical="center"/>
    </xf>
    <xf numFmtId="172" fontId="128" fillId="52" borderId="4" xfId="31" applyNumberFormat="1" applyFont="1" applyFill="1" applyBorder="1" applyAlignment="1">
      <alignment horizontal="center" vertical="center" wrapText="1"/>
    </xf>
    <xf numFmtId="0" fontId="0" fillId="0" borderId="93" xfId="0" applyBorder="1" applyAlignment="1">
      <alignment horizontal="center" wrapText="1"/>
    </xf>
    <xf numFmtId="0" fontId="0" fillId="0" borderId="91" xfId="0" applyBorder="1" applyAlignment="1">
      <alignment horizontal="center" wrapText="1"/>
    </xf>
    <xf numFmtId="3" fontId="0" fillId="25" borderId="20" xfId="0" applyNumberFormat="1" applyFill="1" applyBorder="1"/>
    <xf numFmtId="3" fontId="0" fillId="25" borderId="8" xfId="0" applyNumberFormat="1" applyFill="1" applyBorder="1"/>
    <xf numFmtId="0" fontId="6" fillId="25" borderId="60" xfId="0" applyFont="1" applyFill="1" applyBorder="1" applyAlignment="1">
      <alignment horizontal="center"/>
    </xf>
    <xf numFmtId="0" fontId="6" fillId="25" borderId="35" xfId="0" applyFont="1" applyFill="1" applyBorder="1" applyAlignment="1">
      <alignment horizontal="center"/>
    </xf>
    <xf numFmtId="0" fontId="6" fillId="25" borderId="37" xfId="0" applyFont="1" applyFill="1" applyBorder="1" applyAlignment="1">
      <alignment horizontal="center"/>
    </xf>
    <xf numFmtId="0" fontId="0" fillId="0" borderId="64" xfId="0" applyBorder="1" applyAlignment="1">
      <alignment horizontal="center"/>
    </xf>
    <xf numFmtId="3" fontId="0" fillId="0" borderId="51" xfId="0" applyNumberFormat="1" applyBorder="1"/>
    <xf numFmtId="3" fontId="0" fillId="0" borderId="54" xfId="0" applyNumberFormat="1" applyBorder="1"/>
    <xf numFmtId="0" fontId="0" fillId="25" borderId="60" xfId="0" applyFill="1" applyBorder="1" applyAlignment="1">
      <alignment horizontal="center"/>
    </xf>
    <xf numFmtId="3" fontId="0" fillId="25" borderId="35" xfId="0" applyNumberFormat="1" applyFill="1" applyBorder="1"/>
    <xf numFmtId="3" fontId="0" fillId="25" borderId="36" xfId="0" applyNumberFormat="1" applyFill="1" applyBorder="1"/>
    <xf numFmtId="0" fontId="6" fillId="25" borderId="62" xfId="0" applyFont="1" applyFill="1" applyBorder="1" applyAlignment="1">
      <alignment horizontal="center"/>
    </xf>
    <xf numFmtId="0" fontId="0" fillId="0" borderId="23" xfId="0" applyBorder="1" applyAlignment="1">
      <alignment horizontal="center"/>
    </xf>
    <xf numFmtId="9" fontId="0" fillId="0" borderId="55" xfId="13" applyFont="1" applyBorder="1" applyAlignment="1">
      <alignment horizontal="center"/>
    </xf>
    <xf numFmtId="0" fontId="0" fillId="25" borderId="62" xfId="0" applyFill="1" applyBorder="1" applyAlignment="1">
      <alignment horizontal="center"/>
    </xf>
    <xf numFmtId="9" fontId="0" fillId="25" borderId="37" xfId="13" applyFont="1" applyFill="1" applyBorder="1" applyAlignment="1">
      <alignment horizontal="center"/>
    </xf>
    <xf numFmtId="3" fontId="0" fillId="25" borderId="7" xfId="0" applyNumberFormat="1" applyFill="1" applyBorder="1"/>
    <xf numFmtId="3" fontId="0" fillId="25" borderId="55" xfId="0" applyNumberFormat="1" applyFill="1" applyBorder="1"/>
    <xf numFmtId="3" fontId="0" fillId="25" borderId="37" xfId="0" applyNumberFormat="1" applyFill="1" applyBorder="1"/>
    <xf numFmtId="0" fontId="6" fillId="25" borderId="67" xfId="0" applyFont="1" applyFill="1" applyBorder="1" applyAlignment="1">
      <alignment horizontal="center"/>
    </xf>
    <xf numFmtId="3" fontId="0" fillId="25" borderId="81" xfId="0" applyNumberFormat="1" applyFill="1" applyBorder="1"/>
    <xf numFmtId="3" fontId="0" fillId="25" borderId="67" xfId="0" applyNumberFormat="1" applyFill="1" applyBorder="1"/>
    <xf numFmtId="9" fontId="0" fillId="0" borderId="51" xfId="13" applyFont="1" applyBorder="1" applyAlignment="1">
      <alignment horizontal="center"/>
    </xf>
    <xf numFmtId="9" fontId="0" fillId="25" borderId="35" xfId="13" applyFont="1" applyFill="1" applyBorder="1" applyAlignment="1">
      <alignment horizontal="center"/>
    </xf>
    <xf numFmtId="3" fontId="0" fillId="0" borderId="0" xfId="0" applyNumberFormat="1" applyAlignment="1">
      <alignment horizontal="right" vertical="center"/>
    </xf>
    <xf numFmtId="0" fontId="0" fillId="0" borderId="0" xfId="0" applyAlignment="1">
      <alignment horizontal="right" vertical="center"/>
    </xf>
    <xf numFmtId="3" fontId="0" fillId="25" borderId="0" xfId="0" applyNumberFormat="1" applyFill="1"/>
    <xf numFmtId="9" fontId="0" fillId="25" borderId="0" xfId="13" applyFont="1" applyFill="1" applyBorder="1" applyAlignment="1">
      <alignment horizontal="center"/>
    </xf>
    <xf numFmtId="9" fontId="0" fillId="25" borderId="0" xfId="13" applyFont="1" applyFill="1" applyBorder="1"/>
    <xf numFmtId="9" fontId="0" fillId="25" borderId="36" xfId="13" applyFont="1" applyFill="1" applyBorder="1" applyAlignment="1">
      <alignment horizontal="center"/>
    </xf>
    <xf numFmtId="9" fontId="0" fillId="0" borderId="2" xfId="13" applyFont="1" applyBorder="1" applyAlignment="1">
      <alignment horizontal="center" vertical="center"/>
    </xf>
    <xf numFmtId="0" fontId="0" fillId="21" borderId="35" xfId="0" applyFill="1" applyBorder="1" applyAlignment="1">
      <alignment horizontal="center"/>
    </xf>
    <xf numFmtId="0" fontId="0" fillId="25" borderId="37" xfId="0" applyFill="1" applyBorder="1" applyAlignment="1">
      <alignment horizontal="center"/>
    </xf>
    <xf numFmtId="3" fontId="0" fillId="55" borderId="28" xfId="0" applyNumberFormat="1" applyFill="1" applyBorder="1"/>
    <xf numFmtId="3" fontId="0" fillId="55" borderId="96" xfId="0" applyNumberFormat="1" applyFill="1" applyBorder="1"/>
    <xf numFmtId="3" fontId="0" fillId="13" borderId="38" xfId="0" applyNumberFormat="1" applyFill="1" applyBorder="1"/>
    <xf numFmtId="9" fontId="0" fillId="13" borderId="38" xfId="13" applyFont="1" applyFill="1" applyBorder="1"/>
    <xf numFmtId="0" fontId="6" fillId="55" borderId="43" xfId="0" applyFont="1" applyFill="1" applyBorder="1" applyAlignment="1">
      <alignment horizontal="center"/>
    </xf>
    <xf numFmtId="0" fontId="0" fillId="21" borderId="59" xfId="0" applyFill="1" applyBorder="1" applyAlignment="1">
      <alignment horizontal="center"/>
    </xf>
    <xf numFmtId="3" fontId="0" fillId="21" borderId="49" xfId="0" applyNumberFormat="1" applyFill="1" applyBorder="1"/>
    <xf numFmtId="3" fontId="0" fillId="21" borderId="0" xfId="0" applyNumberFormat="1" applyFill="1"/>
    <xf numFmtId="3" fontId="0" fillId="25" borderId="6" xfId="0" applyNumberFormat="1" applyFill="1" applyBorder="1"/>
    <xf numFmtId="9" fontId="0" fillId="24" borderId="7" xfId="13" applyFont="1" applyFill="1" applyBorder="1"/>
    <xf numFmtId="9" fontId="0" fillId="24" borderId="10" xfId="13" applyFont="1" applyFill="1" applyBorder="1"/>
    <xf numFmtId="0" fontId="6" fillId="0" borderId="40" xfId="0" applyFont="1" applyBorder="1" applyAlignment="1">
      <alignment horizontal="center" vertical="center" wrapText="1"/>
    </xf>
    <xf numFmtId="3" fontId="0" fillId="25" borderId="14" xfId="0" applyNumberFormat="1" applyFill="1" applyBorder="1"/>
    <xf numFmtId="9" fontId="0" fillId="24" borderId="16" xfId="13" applyFont="1" applyFill="1" applyBorder="1"/>
    <xf numFmtId="0" fontId="0" fillId="25" borderId="35" xfId="0" applyFill="1" applyBorder="1" applyAlignment="1">
      <alignment horizontal="center"/>
    </xf>
    <xf numFmtId="0" fontId="0" fillId="24" borderId="37" xfId="0" applyFill="1" applyBorder="1" applyAlignment="1">
      <alignment horizontal="center"/>
    </xf>
    <xf numFmtId="170" fontId="14" fillId="13" borderId="7" xfId="13" applyNumberFormat="1" applyFont="1" applyFill="1" applyBorder="1" applyAlignment="1">
      <alignment horizontal="center"/>
    </xf>
    <xf numFmtId="177" fontId="5" fillId="21" borderId="2" xfId="13" applyNumberFormat="1" applyFont="1" applyFill="1" applyBorder="1"/>
    <xf numFmtId="177" fontId="7" fillId="21" borderId="2" xfId="13" applyNumberFormat="1" applyFont="1" applyFill="1" applyBorder="1"/>
    <xf numFmtId="3" fontId="162" fillId="0" borderId="2" xfId="26" applyNumberFormat="1" applyFont="1" applyBorder="1"/>
    <xf numFmtId="0" fontId="0" fillId="0" borderId="3" xfId="0" applyBorder="1" applyAlignment="1">
      <alignment horizontal="center"/>
    </xf>
    <xf numFmtId="177" fontId="57" fillId="21" borderId="2" xfId="13" applyNumberFormat="1" applyFont="1" applyFill="1" applyBorder="1"/>
    <xf numFmtId="177" fontId="28" fillId="21" borderId="2" xfId="13" applyNumberFormat="1" applyFont="1" applyFill="1" applyBorder="1"/>
    <xf numFmtId="0" fontId="0" fillId="0" borderId="60" xfId="0" applyBorder="1" applyAlignment="1">
      <alignment horizontal="center" vertical="center"/>
    </xf>
    <xf numFmtId="0" fontId="42" fillId="0" borderId="97" xfId="0" applyFont="1" applyBorder="1" applyAlignment="1">
      <alignment horizontal="centerContinuous"/>
    </xf>
    <xf numFmtId="170" fontId="0" fillId="0" borderId="0" xfId="1" applyNumberFormat="1" applyFont="1" applyFill="1" applyBorder="1" applyAlignment="1"/>
    <xf numFmtId="170" fontId="0" fillId="0" borderId="92" xfId="1" applyNumberFormat="1" applyFont="1" applyFill="1" applyBorder="1" applyAlignment="1"/>
    <xf numFmtId="0" fontId="0" fillId="0" borderId="57" xfId="0" applyBorder="1" applyAlignment="1">
      <alignment horizontal="center"/>
    </xf>
    <xf numFmtId="3" fontId="0" fillId="25" borderId="94" xfId="0" applyNumberFormat="1" applyFill="1" applyBorder="1"/>
    <xf numFmtId="3" fontId="0" fillId="25" borderId="44" xfId="0" applyNumberFormat="1" applyFill="1" applyBorder="1"/>
    <xf numFmtId="9" fontId="0" fillId="24" borderId="41" xfId="13" applyFont="1" applyFill="1" applyBorder="1"/>
    <xf numFmtId="3" fontId="0" fillId="44" borderId="46" xfId="0" applyNumberFormat="1" applyFill="1" applyBorder="1"/>
    <xf numFmtId="3" fontId="0" fillId="25" borderId="46" xfId="0" applyNumberFormat="1" applyFill="1" applyBorder="1"/>
    <xf numFmtId="177" fontId="0" fillId="0" borderId="47" xfId="13" applyNumberFormat="1" applyFont="1" applyBorder="1" applyAlignment="1">
      <alignment horizontal="center"/>
    </xf>
    <xf numFmtId="3" fontId="0" fillId="0" borderId="45" xfId="0" applyNumberFormat="1" applyBorder="1"/>
    <xf numFmtId="9" fontId="0" fillId="0" borderId="47" xfId="13" applyFont="1" applyBorder="1" applyAlignment="1">
      <alignment horizontal="center"/>
    </xf>
    <xf numFmtId="0" fontId="0" fillId="0" borderId="4" xfId="0" applyBorder="1"/>
    <xf numFmtId="0" fontId="0" fillId="0" borderId="17" xfId="0" applyBorder="1"/>
    <xf numFmtId="3" fontId="0" fillId="0" borderId="20" xfId="0" applyNumberFormat="1" applyBorder="1"/>
    <xf numFmtId="170" fontId="0" fillId="21" borderId="6" xfId="1" applyNumberFormat="1" applyFont="1" applyFill="1" applyBorder="1"/>
    <xf numFmtId="0" fontId="0" fillId="21" borderId="7" xfId="0" applyFill="1" applyBorder="1"/>
    <xf numFmtId="170" fontId="0" fillId="21" borderId="8" xfId="1" applyNumberFormat="1" applyFont="1" applyFill="1" applyBorder="1"/>
    <xf numFmtId="0" fontId="0" fillId="21" borderId="10" xfId="0" applyFill="1" applyBorder="1"/>
    <xf numFmtId="0" fontId="0" fillId="21" borderId="3" xfId="0" applyFill="1" applyBorder="1" applyAlignment="1">
      <alignment horizontal="center"/>
    </xf>
    <xf numFmtId="0" fontId="0" fillId="21" borderId="5" xfId="0" applyFill="1" applyBorder="1" applyAlignment="1">
      <alignment horizontal="center"/>
    </xf>
    <xf numFmtId="0" fontId="57" fillId="13" borderId="6" xfId="0" applyFont="1" applyFill="1" applyBorder="1" applyAlignment="1">
      <alignment horizontal="center"/>
    </xf>
    <xf numFmtId="0" fontId="57" fillId="13" borderId="8" xfId="0" applyFont="1" applyFill="1" applyBorder="1" applyAlignment="1">
      <alignment horizontal="center"/>
    </xf>
    <xf numFmtId="3" fontId="57" fillId="13" borderId="2" xfId="0" applyNumberFormat="1" applyFont="1" applyFill="1" applyBorder="1"/>
    <xf numFmtId="3" fontId="57" fillId="13" borderId="9" xfId="0" applyNumberFormat="1" applyFont="1" applyFill="1" applyBorder="1"/>
    <xf numFmtId="9" fontId="57" fillId="13" borderId="2" xfId="13" applyFont="1" applyFill="1" applyBorder="1"/>
    <xf numFmtId="3" fontId="57" fillId="13" borderId="20" xfId="0" applyNumberFormat="1" applyFont="1" applyFill="1" applyBorder="1"/>
    <xf numFmtId="9" fontId="57" fillId="13" borderId="9" xfId="13" applyFont="1" applyFill="1" applyBorder="1"/>
    <xf numFmtId="3" fontId="57" fillId="13" borderId="18" xfId="0" applyNumberFormat="1" applyFont="1" applyFill="1" applyBorder="1"/>
    <xf numFmtId="3" fontId="0" fillId="0" borderId="18" xfId="0" applyNumberFormat="1" applyBorder="1" applyAlignment="1">
      <alignment vertical="center" wrapText="1"/>
    </xf>
    <xf numFmtId="3" fontId="0" fillId="0" borderId="9" xfId="0" applyNumberFormat="1" applyBorder="1" applyAlignment="1">
      <alignment horizontal="right" vertical="center"/>
    </xf>
    <xf numFmtId="3" fontId="0" fillId="0" borderId="8" xfId="0" applyNumberFormat="1" applyBorder="1" applyAlignment="1">
      <alignment horizontal="right" vertical="center"/>
    </xf>
    <xf numFmtId="167" fontId="0" fillId="0" borderId="18" xfId="0" applyNumberFormat="1" applyBorder="1" applyAlignment="1">
      <alignment horizontal="center" vertical="center" wrapText="1"/>
    </xf>
    <xf numFmtId="0" fontId="0" fillId="0" borderId="9" xfId="0" applyBorder="1" applyAlignment="1">
      <alignment horizontal="center" vertical="center"/>
    </xf>
    <xf numFmtId="0" fontId="0" fillId="0" borderId="13" xfId="0" applyBorder="1" applyAlignment="1">
      <alignment horizontal="center" vertical="center"/>
    </xf>
    <xf numFmtId="9" fontId="0" fillId="0" borderId="105" xfId="13" applyFont="1" applyBorder="1" applyAlignment="1">
      <alignment horizontal="center" vertical="center"/>
    </xf>
    <xf numFmtId="3" fontId="0" fillId="0" borderId="10" xfId="0" applyNumberFormat="1" applyBorder="1" applyAlignment="1">
      <alignment horizontal="center" vertical="center"/>
    </xf>
    <xf numFmtId="3" fontId="0" fillId="0" borderId="18" xfId="0" applyNumberFormat="1" applyBorder="1" applyAlignment="1">
      <alignment horizontal="center" vertical="center"/>
    </xf>
    <xf numFmtId="14" fontId="0" fillId="0" borderId="30" xfId="0" applyNumberFormat="1" applyBorder="1" applyAlignment="1">
      <alignment vertical="center"/>
    </xf>
    <xf numFmtId="3" fontId="0" fillId="0" borderId="20" xfId="0" applyNumberFormat="1" applyBorder="1" applyAlignment="1">
      <alignment vertical="center" wrapText="1"/>
    </xf>
    <xf numFmtId="3" fontId="0" fillId="0" borderId="6" xfId="0" applyNumberFormat="1" applyBorder="1" applyAlignment="1">
      <alignment horizontal="right" vertical="center"/>
    </xf>
    <xf numFmtId="167" fontId="0" fillId="0" borderId="20" xfId="0" applyNumberFormat="1" applyBorder="1" applyAlignment="1">
      <alignment horizontal="center" vertical="center" wrapText="1"/>
    </xf>
    <xf numFmtId="0" fontId="0" fillId="0" borderId="12" xfId="0" applyBorder="1" applyAlignment="1">
      <alignment horizontal="center" vertical="center"/>
    </xf>
    <xf numFmtId="9" fontId="0" fillId="0" borderId="103" xfId="13" applyFont="1" applyBorder="1" applyAlignment="1">
      <alignment horizontal="center" vertical="center"/>
    </xf>
    <xf numFmtId="3" fontId="0" fillId="0" borderId="7" xfId="0" applyNumberFormat="1" applyBorder="1" applyAlignment="1">
      <alignment horizontal="center" vertical="center"/>
    </xf>
    <xf numFmtId="3" fontId="0" fillId="0" borderId="20" xfId="0" applyNumberFormat="1" applyBorder="1" applyAlignment="1">
      <alignment horizontal="center" vertical="center"/>
    </xf>
    <xf numFmtId="0" fontId="0" fillId="0" borderId="31" xfId="0" applyBorder="1" applyAlignment="1">
      <alignment vertical="center"/>
    </xf>
    <xf numFmtId="14" fontId="0" fillId="0" borderId="31" xfId="0" applyNumberFormat="1" applyBorder="1" applyAlignment="1">
      <alignment vertical="center"/>
    </xf>
    <xf numFmtId="3" fontId="0" fillId="0" borderId="19" xfId="0" applyNumberFormat="1" applyBorder="1" applyAlignment="1">
      <alignment vertical="center" wrapText="1"/>
    </xf>
    <xf numFmtId="3" fontId="0" fillId="0" borderId="15" xfId="0" applyNumberFormat="1" applyBorder="1" applyAlignment="1">
      <alignment horizontal="right" vertical="center" wrapText="1"/>
    </xf>
    <xf numFmtId="3" fontId="0" fillId="0" borderId="14" xfId="0" applyNumberFormat="1" applyBorder="1" applyAlignment="1">
      <alignment horizontal="right" vertical="center" wrapText="1"/>
    </xf>
    <xf numFmtId="167" fontId="0" fillId="0" borderId="19" xfId="0" applyNumberFormat="1" applyBorder="1" applyAlignment="1">
      <alignment horizontal="center" vertical="center" wrapText="1"/>
    </xf>
    <xf numFmtId="0" fontId="0" fillId="0" borderId="28" xfId="0" applyBorder="1" applyAlignment="1">
      <alignment horizontal="center" vertical="center"/>
    </xf>
    <xf numFmtId="9" fontId="0" fillId="0" borderId="106" xfId="13" applyFont="1" applyBorder="1" applyAlignment="1">
      <alignment horizontal="center" vertical="center"/>
    </xf>
    <xf numFmtId="3" fontId="0" fillId="0" borderId="16" xfId="0" applyNumberFormat="1" applyBorder="1" applyAlignment="1">
      <alignment horizontal="center" vertical="center"/>
    </xf>
    <xf numFmtId="3" fontId="0" fillId="0" borderId="19" xfId="0" applyNumberFormat="1" applyBorder="1" applyAlignment="1">
      <alignment horizontal="center" vertical="center"/>
    </xf>
    <xf numFmtId="0" fontId="0" fillId="0" borderId="80" xfId="0" applyBorder="1" applyAlignment="1">
      <alignment vertical="center"/>
    </xf>
    <xf numFmtId="0" fontId="0" fillId="55" borderId="67" xfId="0" applyFill="1" applyBorder="1" applyAlignment="1">
      <alignment horizontal="center" vertical="center" wrapText="1"/>
    </xf>
    <xf numFmtId="0" fontId="0" fillId="15" borderId="36" xfId="0" applyFill="1" applyBorder="1" applyAlignment="1">
      <alignment horizontal="center" vertical="center" wrapText="1"/>
    </xf>
    <xf numFmtId="0" fontId="0" fillId="15" borderId="35" xfId="0" applyFill="1" applyBorder="1" applyAlignment="1">
      <alignment horizontal="center" vertical="center" wrapText="1"/>
    </xf>
    <xf numFmtId="0" fontId="0" fillId="44" borderId="67" xfId="0" applyFill="1" applyBorder="1" applyAlignment="1">
      <alignment horizontal="center" vertical="center" wrapText="1"/>
    </xf>
    <xf numFmtId="0" fontId="0" fillId="21" borderId="36" xfId="0" applyFill="1" applyBorder="1" applyAlignment="1">
      <alignment horizontal="center" vertical="center" wrapText="1"/>
    </xf>
    <xf numFmtId="0" fontId="0" fillId="21" borderId="43" xfId="0" applyFill="1" applyBorder="1" applyAlignment="1">
      <alignment horizontal="center" vertical="center" wrapText="1"/>
    </xf>
    <xf numFmtId="0" fontId="0" fillId="0" borderId="61" xfId="0" applyBorder="1" applyAlignment="1">
      <alignment horizontal="center" vertical="center" wrapText="1"/>
    </xf>
    <xf numFmtId="0" fontId="0" fillId="0" borderId="37" xfId="0" applyBorder="1" applyAlignment="1">
      <alignment horizontal="center" vertical="center" wrapText="1"/>
    </xf>
    <xf numFmtId="0" fontId="0" fillId="0" borderId="35" xfId="0" applyBorder="1" applyAlignment="1">
      <alignment horizontal="center" vertical="center" wrapText="1"/>
    </xf>
    <xf numFmtId="0" fontId="0" fillId="0" borderId="67" xfId="0" applyBorder="1" applyAlignment="1">
      <alignment horizontal="center" vertical="center" wrapText="1"/>
    </xf>
    <xf numFmtId="0" fontId="0" fillId="0" borderId="35" xfId="0" applyBorder="1" applyAlignment="1">
      <alignment horizontal="center" vertical="center"/>
    </xf>
    <xf numFmtId="3" fontId="0" fillId="0" borderId="41" xfId="0" applyNumberFormat="1" applyBorder="1" applyAlignment="1">
      <alignment vertical="center" wrapText="1"/>
    </xf>
    <xf numFmtId="3" fontId="0" fillId="0" borderId="38" xfId="0" applyNumberFormat="1" applyBorder="1" applyAlignment="1">
      <alignment horizontal="right" vertical="center" wrapText="1"/>
    </xf>
    <xf numFmtId="3" fontId="0" fillId="0" borderId="39" xfId="0" applyNumberFormat="1" applyBorder="1" applyAlignment="1">
      <alignment horizontal="right" vertical="center" wrapText="1"/>
    </xf>
    <xf numFmtId="167" fontId="0" fillId="0" borderId="41" xfId="0" applyNumberFormat="1" applyBorder="1" applyAlignment="1">
      <alignment horizontal="center" vertical="center" wrapText="1"/>
    </xf>
    <xf numFmtId="0" fontId="0" fillId="0" borderId="38" xfId="0" applyBorder="1" applyAlignment="1">
      <alignment horizontal="center" vertical="center"/>
    </xf>
    <xf numFmtId="0" fontId="0" fillId="0" borderId="44" xfId="0" applyBorder="1" applyAlignment="1">
      <alignment horizontal="center" vertical="center"/>
    </xf>
    <xf numFmtId="9" fontId="0" fillId="0" borderId="93" xfId="13" applyFont="1" applyBorder="1" applyAlignment="1">
      <alignment horizontal="center" vertical="center"/>
    </xf>
    <xf numFmtId="0" fontId="7" fillId="0" borderId="10" xfId="0" applyFont="1" applyBorder="1" applyAlignment="1">
      <alignment horizontal="center" vertical="center"/>
    </xf>
    <xf numFmtId="0" fontId="7" fillId="0" borderId="18" xfId="0" applyFont="1" applyBorder="1" applyAlignment="1">
      <alignment horizontal="center" vertical="center"/>
    </xf>
    <xf numFmtId="0" fontId="0" fillId="0" borderId="58" xfId="0" applyBorder="1" applyAlignment="1">
      <alignment vertical="center"/>
    </xf>
    <xf numFmtId="0" fontId="5" fillId="0" borderId="7" xfId="0" applyFont="1" applyBorder="1" applyAlignment="1">
      <alignment horizontal="center" vertical="center"/>
    </xf>
    <xf numFmtId="0" fontId="0" fillId="0" borderId="20" xfId="0" applyBorder="1" applyAlignment="1">
      <alignment horizontal="center" vertical="center"/>
    </xf>
    <xf numFmtId="0" fontId="5" fillId="0" borderId="16" xfId="0" applyFont="1" applyBorder="1" applyAlignment="1">
      <alignment horizontal="center" vertical="center"/>
    </xf>
    <xf numFmtId="0" fontId="0" fillId="0" borderId="19" xfId="0" applyBorder="1" applyAlignment="1">
      <alignment horizontal="center" vertical="center"/>
    </xf>
    <xf numFmtId="9" fontId="0" fillId="0" borderId="106" xfId="0" applyNumberFormat="1" applyBorder="1" applyAlignment="1">
      <alignment horizontal="center" vertical="center" wrapText="1"/>
    </xf>
    <xf numFmtId="9" fontId="0" fillId="0" borderId="93" xfId="0" applyNumberFormat="1" applyBorder="1" applyAlignment="1">
      <alignment horizontal="center" vertical="center" wrapText="1"/>
    </xf>
    <xf numFmtId="9" fontId="0" fillId="0" borderId="6" xfId="0" applyNumberFormat="1" applyBorder="1" applyAlignment="1">
      <alignment horizontal="center" vertical="center" wrapText="1"/>
    </xf>
    <xf numFmtId="9" fontId="0" fillId="0" borderId="8" xfId="0" applyNumberFormat="1" applyBorder="1" applyAlignment="1">
      <alignment horizontal="center" vertical="center" wrapText="1"/>
    </xf>
    <xf numFmtId="9" fontId="0" fillId="0" borderId="14" xfId="0" applyNumberFormat="1" applyBorder="1" applyAlignment="1">
      <alignment horizontal="center" vertical="center" wrapText="1"/>
    </xf>
    <xf numFmtId="9" fontId="0" fillId="0" borderId="103" xfId="0" applyNumberFormat="1" applyBorder="1" applyAlignment="1">
      <alignment horizontal="center" vertical="center" wrapText="1"/>
    </xf>
    <xf numFmtId="9" fontId="0" fillId="0" borderId="105" xfId="0" applyNumberFormat="1" applyBorder="1" applyAlignment="1">
      <alignment horizontal="center" vertical="center" wrapText="1"/>
    </xf>
    <xf numFmtId="177" fontId="59" fillId="38" borderId="36" xfId="22" applyNumberFormat="1" applyBorder="1" applyAlignment="1">
      <alignment horizontal="center" vertical="center" wrapText="1"/>
    </xf>
    <xf numFmtId="3" fontId="59" fillId="38" borderId="37" xfId="22" applyNumberFormat="1" applyBorder="1" applyAlignment="1">
      <alignment horizontal="center" vertical="center"/>
    </xf>
    <xf numFmtId="3" fontId="7" fillId="4" borderId="10" xfId="5" applyNumberFormat="1" applyFont="1" applyBorder="1" applyAlignment="1" applyProtection="1">
      <alignment vertical="center"/>
    </xf>
    <xf numFmtId="177" fontId="41" fillId="55" borderId="36" xfId="18" applyNumberFormat="1" applyFont="1" applyFill="1" applyBorder="1" applyAlignment="1">
      <alignment horizontal="center" vertical="center" wrapText="1"/>
    </xf>
    <xf numFmtId="3" fontId="41" fillId="55" borderId="36" xfId="1" applyNumberFormat="1" applyFont="1" applyFill="1" applyBorder="1" applyAlignment="1">
      <alignment horizontal="center" vertical="center"/>
    </xf>
    <xf numFmtId="177" fontId="59" fillId="55" borderId="36" xfId="22" applyNumberFormat="1" applyFill="1" applyBorder="1" applyAlignment="1">
      <alignment horizontal="center" vertical="center" wrapText="1"/>
    </xf>
    <xf numFmtId="3" fontId="59" fillId="55" borderId="36" xfId="22" applyNumberFormat="1" applyFill="1" applyBorder="1" applyAlignment="1">
      <alignment horizontal="center" vertical="center"/>
    </xf>
    <xf numFmtId="0" fontId="6" fillId="2" borderId="36" xfId="3" applyFont="1" applyBorder="1" applyAlignment="1" applyProtection="1">
      <alignment horizontal="center" vertical="center" wrapText="1"/>
    </xf>
    <xf numFmtId="170" fontId="15" fillId="63" borderId="3" xfId="1" applyNumberFormat="1" applyFont="1" applyFill="1" applyBorder="1" applyAlignment="1">
      <alignment vertical="center"/>
    </xf>
    <xf numFmtId="170" fontId="15" fillId="63" borderId="8" xfId="1" applyNumberFormat="1" applyFont="1" applyFill="1" applyBorder="1" applyAlignment="1">
      <alignment vertical="center"/>
    </xf>
    <xf numFmtId="0" fontId="57" fillId="0" borderId="3" xfId="0" applyFont="1" applyBorder="1" applyAlignment="1">
      <alignment horizontal="right"/>
    </xf>
    <xf numFmtId="0" fontId="57" fillId="0" borderId="8" xfId="0" applyFont="1" applyBorder="1" applyAlignment="1">
      <alignment horizontal="right"/>
    </xf>
    <xf numFmtId="170" fontId="28" fillId="0" borderId="10" xfId="1" applyNumberFormat="1" applyFont="1" applyBorder="1" applyAlignment="1">
      <alignment vertical="center"/>
    </xf>
    <xf numFmtId="3" fontId="28" fillId="2" borderId="53" xfId="3" applyNumberFormat="1" applyFont="1" applyBorder="1" applyAlignment="1" applyProtection="1">
      <alignment horizontal="center" vertical="center"/>
    </xf>
    <xf numFmtId="170" fontId="28" fillId="0" borderId="16" xfId="1" applyNumberFormat="1" applyFont="1" applyBorder="1" applyAlignment="1">
      <alignment vertical="center"/>
    </xf>
    <xf numFmtId="9" fontId="57" fillId="0" borderId="2" xfId="13" applyFont="1" applyBorder="1" applyAlignment="1">
      <alignment horizontal="center" vertical="center"/>
    </xf>
    <xf numFmtId="0" fontId="57" fillId="63" borderId="3" xfId="0" applyFont="1" applyFill="1" applyBorder="1" applyAlignment="1">
      <alignment horizontal="right"/>
    </xf>
    <xf numFmtId="170" fontId="57" fillId="63" borderId="5" xfId="1" applyNumberFormat="1" applyFont="1" applyFill="1" applyBorder="1" applyAlignment="1">
      <alignment vertical="center"/>
    </xf>
    <xf numFmtId="0" fontId="57" fillId="63" borderId="8" xfId="0" applyFont="1" applyFill="1" applyBorder="1" applyAlignment="1">
      <alignment horizontal="right"/>
    </xf>
    <xf numFmtId="170" fontId="57" fillId="63" borderId="10" xfId="1" applyNumberFormat="1" applyFont="1" applyFill="1" applyBorder="1" applyAlignment="1">
      <alignment vertical="center"/>
    </xf>
    <xf numFmtId="0" fontId="6" fillId="19" borderId="6" xfId="0" applyFont="1" applyFill="1" applyBorder="1" applyAlignment="1">
      <alignment horizontal="center"/>
    </xf>
    <xf numFmtId="0" fontId="6" fillId="15" borderId="6" xfId="0" applyFont="1" applyFill="1" applyBorder="1" applyAlignment="1">
      <alignment horizontal="center"/>
    </xf>
    <xf numFmtId="0" fontId="6" fillId="0" borderId="4" xfId="0" applyFont="1" applyBorder="1" applyAlignment="1">
      <alignment horizontal="right"/>
    </xf>
    <xf numFmtId="0" fontId="6" fillId="13" borderId="4" xfId="0" applyFont="1" applyFill="1" applyBorder="1" applyAlignment="1">
      <alignment horizontal="right"/>
    </xf>
    <xf numFmtId="177" fontId="0" fillId="0" borderId="2" xfId="13" applyNumberFormat="1" applyFont="1" applyBorder="1"/>
    <xf numFmtId="0" fontId="5" fillId="0" borderId="2" xfId="0" applyFont="1" applyBorder="1" applyAlignment="1">
      <alignment horizontal="center"/>
    </xf>
    <xf numFmtId="177" fontId="0" fillId="0" borderId="12" xfId="13" applyNumberFormat="1" applyFont="1" applyBorder="1"/>
    <xf numFmtId="3" fontId="0" fillId="0" borderId="24" xfId="0" applyNumberFormat="1" applyBorder="1"/>
    <xf numFmtId="3" fontId="0" fillId="0" borderId="22" xfId="0" applyNumberFormat="1" applyBorder="1"/>
    <xf numFmtId="0" fontId="0" fillId="0" borderId="15" xfId="0" applyBorder="1"/>
    <xf numFmtId="0" fontId="0" fillId="13" borderId="9" xfId="0" applyFill="1" applyBorder="1" applyAlignment="1">
      <alignment horizontal="center"/>
    </xf>
    <xf numFmtId="0" fontId="0" fillId="13" borderId="10" xfId="0" applyFill="1" applyBorder="1" applyAlignment="1">
      <alignment horizontal="center"/>
    </xf>
    <xf numFmtId="3" fontId="0" fillId="0" borderId="23" xfId="0" applyNumberFormat="1" applyBorder="1"/>
    <xf numFmtId="177" fontId="0" fillId="0" borderId="28" xfId="13" applyNumberFormat="1" applyFont="1" applyBorder="1"/>
    <xf numFmtId="9" fontId="15" fillId="13" borderId="2" xfId="13" applyFont="1" applyFill="1" applyBorder="1"/>
    <xf numFmtId="9" fontId="15" fillId="0" borderId="2" xfId="13" applyFont="1" applyBorder="1"/>
    <xf numFmtId="9" fontId="14" fillId="0" borderId="9" xfId="13" applyFont="1" applyBorder="1"/>
    <xf numFmtId="9" fontId="5" fillId="0" borderId="2" xfId="13" applyFont="1" applyBorder="1"/>
    <xf numFmtId="0" fontId="14" fillId="0" borderId="36" xfId="0" applyFont="1" applyBorder="1" applyAlignment="1">
      <alignment horizontal="center" wrapText="1"/>
    </xf>
    <xf numFmtId="9" fontId="14" fillId="0" borderId="15" xfId="13" applyFont="1" applyBorder="1"/>
    <xf numFmtId="9" fontId="107" fillId="0" borderId="2" xfId="13" applyFont="1" applyBorder="1"/>
    <xf numFmtId="9" fontId="60" fillId="39" borderId="2" xfId="23" applyNumberFormat="1" applyBorder="1"/>
    <xf numFmtId="174" fontId="0" fillId="0" borderId="2" xfId="31" applyNumberFormat="1" applyFont="1" applyBorder="1"/>
    <xf numFmtId="0" fontId="0" fillId="25" borderId="32" xfId="0" applyFill="1" applyBorder="1" applyAlignment="1">
      <alignment horizontal="center" wrapText="1"/>
    </xf>
    <xf numFmtId="0" fontId="0" fillId="25" borderId="34" xfId="0" applyFill="1" applyBorder="1" applyAlignment="1">
      <alignment horizontal="center" wrapText="1"/>
    </xf>
    <xf numFmtId="170" fontId="59" fillId="38" borderId="6" xfId="22" applyNumberFormat="1" applyBorder="1"/>
    <xf numFmtId="170" fontId="59" fillId="38" borderId="8" xfId="22" applyNumberFormat="1" applyBorder="1"/>
    <xf numFmtId="177" fontId="0" fillId="0" borderId="10" xfId="13" applyNumberFormat="1" applyFont="1" applyBorder="1"/>
    <xf numFmtId="0" fontId="0" fillId="13" borderId="32" xfId="0" applyFill="1" applyBorder="1" applyAlignment="1">
      <alignment horizontal="center" wrapText="1"/>
    </xf>
    <xf numFmtId="0" fontId="0" fillId="13" borderId="33" xfId="0" applyFill="1" applyBorder="1" applyAlignment="1">
      <alignment horizontal="center" wrapText="1"/>
    </xf>
    <xf numFmtId="0" fontId="0" fillId="13" borderId="34" xfId="0" applyFill="1" applyBorder="1" applyAlignment="1">
      <alignment horizontal="center" wrapText="1"/>
    </xf>
    <xf numFmtId="174" fontId="59" fillId="38" borderId="7" xfId="22" applyNumberFormat="1" applyBorder="1"/>
    <xf numFmtId="174" fontId="0" fillId="0" borderId="9" xfId="31" applyNumberFormat="1" applyFont="1" applyBorder="1"/>
    <xf numFmtId="9" fontId="0" fillId="0" borderId="9" xfId="13" applyFont="1" applyBorder="1"/>
    <xf numFmtId="174" fontId="59" fillId="38" borderId="10" xfId="22" applyNumberFormat="1" applyBorder="1"/>
    <xf numFmtId="170" fontId="59" fillId="24" borderId="6" xfId="22" applyNumberFormat="1" applyFill="1" applyBorder="1" applyAlignment="1">
      <alignment horizontal="center"/>
    </xf>
    <xf numFmtId="0" fontId="6" fillId="13" borderId="33" xfId="0" applyFont="1" applyFill="1" applyBorder="1" applyAlignment="1">
      <alignment horizontal="center" wrapText="1"/>
    </xf>
    <xf numFmtId="0" fontId="6" fillId="0" borderId="2" xfId="0" applyFont="1" applyBorder="1" applyAlignment="1">
      <alignment horizontal="center"/>
    </xf>
    <xf numFmtId="0" fontId="6" fillId="0" borderId="9" xfId="0" applyFont="1" applyBorder="1" applyAlignment="1">
      <alignment horizontal="center"/>
    </xf>
    <xf numFmtId="174" fontId="62" fillId="38" borderId="7" xfId="22" applyNumberFormat="1" applyFont="1" applyBorder="1"/>
    <xf numFmtId="0" fontId="60" fillId="39" borderId="33" xfId="23" applyBorder="1" applyAlignment="1">
      <alignment horizontal="center" wrapText="1"/>
    </xf>
    <xf numFmtId="3" fontId="60" fillId="39" borderId="33" xfId="23" applyNumberFormat="1" applyBorder="1" applyAlignment="1">
      <alignment horizontal="center" wrapText="1"/>
    </xf>
    <xf numFmtId="174" fontId="60" fillId="39" borderId="2" xfId="23" applyNumberFormat="1" applyBorder="1"/>
    <xf numFmtId="174" fontId="60" fillId="39" borderId="9" xfId="23" applyNumberFormat="1" applyBorder="1"/>
    <xf numFmtId="174" fontId="0" fillId="0" borderId="20" xfId="31" applyNumberFormat="1" applyFont="1" applyBorder="1"/>
    <xf numFmtId="174" fontId="0" fillId="0" borderId="18" xfId="31" applyNumberFormat="1" applyFont="1" applyBorder="1"/>
    <xf numFmtId="177" fontId="0" fillId="0" borderId="54" xfId="13" applyNumberFormat="1" applyFont="1" applyBorder="1"/>
    <xf numFmtId="174" fontId="59" fillId="38" borderId="2" xfId="22" applyNumberFormat="1" applyBorder="1"/>
    <xf numFmtId="174" fontId="59" fillId="38" borderId="9" xfId="22" applyNumberFormat="1" applyBorder="1"/>
    <xf numFmtId="9" fontId="59" fillId="38" borderId="2" xfId="22" applyNumberFormat="1" applyBorder="1"/>
    <xf numFmtId="9" fontId="59" fillId="38" borderId="9" xfId="22" applyNumberFormat="1" applyBorder="1"/>
    <xf numFmtId="177" fontId="0" fillId="0" borderId="54" xfId="13" applyNumberFormat="1" applyFont="1" applyBorder="1" applyAlignment="1">
      <alignment horizontal="center"/>
    </xf>
    <xf numFmtId="3" fontId="163" fillId="15" borderId="2" xfId="0" applyNumberFormat="1" applyFont="1" applyFill="1" applyBorder="1"/>
    <xf numFmtId="0" fontId="6" fillId="25" borderId="33" xfId="0" applyFont="1" applyFill="1" applyBorder="1" applyAlignment="1">
      <alignment horizontal="center" wrapText="1"/>
    </xf>
    <xf numFmtId="9" fontId="0" fillId="25" borderId="2" xfId="13" applyFont="1" applyFill="1" applyBorder="1"/>
    <xf numFmtId="177" fontId="6" fillId="0" borderId="2" xfId="13" applyNumberFormat="1" applyFont="1" applyBorder="1"/>
    <xf numFmtId="177" fontId="6" fillId="25" borderId="2" xfId="13" applyNumberFormat="1" applyFont="1" applyFill="1" applyBorder="1"/>
    <xf numFmtId="177" fontId="6" fillId="0" borderId="9" xfId="13" applyNumberFormat="1" applyFont="1" applyBorder="1"/>
    <xf numFmtId="177" fontId="57" fillId="25" borderId="2" xfId="13" applyNumberFormat="1" applyFont="1" applyFill="1" applyBorder="1" applyAlignment="1">
      <alignment horizontal="center"/>
    </xf>
    <xf numFmtId="3" fontId="0" fillId="62" borderId="2" xfId="0" applyNumberFormat="1" applyFill="1" applyBorder="1"/>
    <xf numFmtId="3" fontId="0" fillId="20" borderId="2" xfId="0" applyNumberFormat="1" applyFill="1" applyBorder="1"/>
    <xf numFmtId="3" fontId="0" fillId="0" borderId="2" xfId="31" applyNumberFormat="1" applyFont="1" applyBorder="1"/>
    <xf numFmtId="3" fontId="0" fillId="0" borderId="9" xfId="31" applyNumberFormat="1" applyFont="1" applyBorder="1"/>
    <xf numFmtId="0" fontId="0" fillId="0" borderId="59" xfId="0" applyBorder="1" applyAlignment="1">
      <alignment horizontal="right"/>
    </xf>
    <xf numFmtId="0" fontId="0" fillId="0" borderId="24" xfId="0" applyBorder="1" applyAlignment="1">
      <alignment horizontal="center" vertical="center" wrapText="1"/>
    </xf>
    <xf numFmtId="3" fontId="163" fillId="64" borderId="2" xfId="0" applyNumberFormat="1" applyFont="1" applyFill="1" applyBorder="1"/>
    <xf numFmtId="3" fontId="163" fillId="65" borderId="2" xfId="0" applyNumberFormat="1" applyFont="1" applyFill="1" applyBorder="1"/>
    <xf numFmtId="3" fontId="0" fillId="13" borderId="24" xfId="0" applyNumberFormat="1" applyFill="1" applyBorder="1"/>
    <xf numFmtId="0" fontId="0" fillId="0" borderId="2" xfId="0" pivotButton="1" applyBorder="1" applyAlignment="1">
      <alignment horizontal="center"/>
    </xf>
    <xf numFmtId="3" fontId="146" fillId="0" borderId="0" xfId="28" applyNumberFormat="1" applyFont="1" applyAlignment="1">
      <alignment horizontal="right" wrapText="1"/>
    </xf>
    <xf numFmtId="3" fontId="146" fillId="0" borderId="92" xfId="28" applyNumberFormat="1" applyFont="1" applyBorder="1" applyAlignment="1">
      <alignment horizontal="right" wrapText="1"/>
    </xf>
    <xf numFmtId="9" fontId="77" fillId="0" borderId="52" xfId="28" applyNumberFormat="1" applyBorder="1" applyAlignment="1">
      <alignment horizontal="center" vertical="center" wrapText="1"/>
    </xf>
    <xf numFmtId="9" fontId="77" fillId="0" borderId="0" xfId="28" applyNumberFormat="1" applyAlignment="1">
      <alignment horizontal="center" vertical="center" wrapText="1"/>
    </xf>
    <xf numFmtId="9" fontId="77" fillId="0" borderId="0" xfId="27" applyFont="1" applyFill="1" applyBorder="1" applyAlignment="1">
      <alignment horizontal="center"/>
    </xf>
    <xf numFmtId="9" fontId="77" fillId="0" borderId="92" xfId="27" applyFont="1" applyFill="1" applyBorder="1" applyAlignment="1">
      <alignment horizontal="center"/>
    </xf>
    <xf numFmtId="0" fontId="28" fillId="13" borderId="0" xfId="0" applyFont="1" applyFill="1"/>
    <xf numFmtId="3" fontId="86" fillId="0" borderId="52" xfId="28" applyNumberFormat="1" applyFont="1" applyBorder="1" applyAlignment="1">
      <alignment horizontal="right" wrapText="1"/>
    </xf>
    <xf numFmtId="3" fontId="146" fillId="0" borderId="52" xfId="28" applyNumberFormat="1" applyFont="1" applyBorder="1" applyAlignment="1">
      <alignment horizontal="right" wrapText="1"/>
    </xf>
    <xf numFmtId="9" fontId="77" fillId="0" borderId="52" xfId="27" applyFont="1" applyFill="1" applyBorder="1" applyAlignment="1">
      <alignment horizontal="center"/>
    </xf>
    <xf numFmtId="9" fontId="3" fillId="0" borderId="0" xfId="13" applyAlignment="1">
      <alignment horizontal="center"/>
    </xf>
    <xf numFmtId="3" fontId="0" fillId="0" borderId="60" xfId="0" applyNumberFormat="1" applyBorder="1" applyAlignment="1">
      <alignment horizontal="right"/>
    </xf>
    <xf numFmtId="3" fontId="0" fillId="0" borderId="59" xfId="0" applyNumberFormat="1" applyBorder="1" applyAlignment="1">
      <alignment horizontal="right"/>
    </xf>
    <xf numFmtId="0" fontId="0" fillId="0" borderId="61" xfId="0" applyBorder="1" applyAlignment="1">
      <alignment horizontal="right"/>
    </xf>
    <xf numFmtId="0" fontId="9" fillId="0" borderId="60" xfId="0" applyFont="1" applyBorder="1" applyAlignment="1">
      <alignment horizontal="center" wrapText="1"/>
    </xf>
    <xf numFmtId="0" fontId="9" fillId="0" borderId="59" xfId="0" applyFont="1" applyBorder="1" applyAlignment="1">
      <alignment horizontal="center" wrapText="1"/>
    </xf>
    <xf numFmtId="0" fontId="0" fillId="0" borderId="26" xfId="0" applyBorder="1" applyAlignment="1">
      <alignment vertical="center"/>
    </xf>
    <xf numFmtId="0" fontId="0" fillId="0" borderId="29" xfId="0" applyBorder="1" applyAlignment="1">
      <alignment vertical="center"/>
    </xf>
    <xf numFmtId="0" fontId="0" fillId="0" borderId="27" xfId="0" applyBorder="1" applyAlignment="1">
      <alignment vertical="center"/>
    </xf>
    <xf numFmtId="0" fontId="0" fillId="0" borderId="5" xfId="0" applyBorder="1" applyAlignment="1">
      <alignment horizontal="center" vertical="center" wrapText="1"/>
    </xf>
    <xf numFmtId="0" fontId="0" fillId="0" borderId="7" xfId="0" applyBorder="1" applyAlignment="1">
      <alignment horizontal="center" vertical="center" wrapText="1"/>
    </xf>
    <xf numFmtId="0" fontId="0" fillId="0" borderId="10" xfId="0" applyBorder="1" applyAlignment="1">
      <alignment horizontal="center" vertical="center" wrapText="1"/>
    </xf>
    <xf numFmtId="3" fontId="7" fillId="0" borderId="2" xfId="0" applyNumberFormat="1" applyFont="1" applyBorder="1"/>
    <xf numFmtId="0" fontId="6" fillId="13" borderId="3" xfId="0" applyFont="1" applyFill="1" applyBorder="1" applyAlignment="1">
      <alignment horizontal="center"/>
    </xf>
    <xf numFmtId="0" fontId="6" fillId="13" borderId="4" xfId="0" applyFont="1" applyFill="1" applyBorder="1"/>
    <xf numFmtId="3" fontId="7" fillId="0" borderId="7" xfId="0" applyNumberFormat="1" applyFont="1" applyBorder="1"/>
    <xf numFmtId="3" fontId="7" fillId="0" borderId="9" xfId="0" applyNumberFormat="1" applyFont="1" applyBorder="1"/>
    <xf numFmtId="3" fontId="7" fillId="0" borderId="10" xfId="0" applyNumberFormat="1" applyFont="1" applyBorder="1"/>
    <xf numFmtId="3" fontId="76" fillId="0" borderId="2" xfId="0" applyNumberFormat="1" applyFont="1" applyBorder="1"/>
    <xf numFmtId="3" fontId="76" fillId="0" borderId="9" xfId="0" applyNumberFormat="1" applyFont="1" applyBorder="1"/>
    <xf numFmtId="0" fontId="98" fillId="0" borderId="0" xfId="0" applyFont="1" applyAlignment="1">
      <alignment horizontal="center"/>
    </xf>
    <xf numFmtId="0" fontId="14" fillId="0" borderId="0" xfId="0" applyFont="1" applyAlignment="1">
      <alignment horizontal="center"/>
    </xf>
    <xf numFmtId="0" fontId="6" fillId="0" borderId="9" xfId="0" applyFont="1" applyBorder="1" applyAlignment="1">
      <alignment horizontal="center" vertical="top"/>
    </xf>
    <xf numFmtId="0" fontId="6" fillId="0" borderId="9" xfId="0" applyFont="1" applyBorder="1" applyAlignment="1">
      <alignment horizontal="center" vertical="center" wrapText="1"/>
    </xf>
    <xf numFmtId="0" fontId="14" fillId="0" borderId="2" xfId="0" applyFont="1" applyBorder="1" applyAlignment="1">
      <alignment horizontal="center" vertical="center" wrapText="1"/>
    </xf>
    <xf numFmtId="0" fontId="0" fillId="0" borderId="2" xfId="0" applyBorder="1" applyAlignment="1">
      <alignment horizontal="center" vertical="center" wrapText="1"/>
    </xf>
    <xf numFmtId="177" fontId="14" fillId="0" borderId="54" xfId="13" applyNumberFormat="1" applyFont="1" applyFill="1" applyBorder="1"/>
    <xf numFmtId="177" fontId="60" fillId="39" borderId="3" xfId="23" applyNumberFormat="1" applyBorder="1" applyAlignment="1">
      <alignment horizontal="right"/>
    </xf>
    <xf numFmtId="177" fontId="60" fillId="39" borderId="8" xfId="23" applyNumberFormat="1" applyBorder="1" applyAlignment="1">
      <alignment horizontal="right"/>
    </xf>
    <xf numFmtId="177" fontId="7" fillId="13" borderId="9" xfId="13" applyNumberFormat="1" applyFont="1" applyFill="1" applyBorder="1"/>
    <xf numFmtId="0" fontId="164" fillId="0" borderId="24" xfId="0" applyFont="1" applyBorder="1" applyAlignment="1">
      <alignment horizontal="left" vertical="top"/>
    </xf>
    <xf numFmtId="0" fontId="164" fillId="0" borderId="22" xfId="0" applyFont="1" applyBorder="1" applyAlignment="1">
      <alignment horizontal="left" vertical="top"/>
    </xf>
    <xf numFmtId="0" fontId="59" fillId="38" borderId="24" xfId="22" applyBorder="1" applyAlignment="1">
      <alignment horizontal="left"/>
    </xf>
    <xf numFmtId="176" fontId="74" fillId="47" borderId="43" xfId="28" applyNumberFormat="1" applyFont="1" applyFill="1" applyBorder="1" applyAlignment="1">
      <alignment horizontal="center" vertical="center" wrapText="1"/>
    </xf>
    <xf numFmtId="3" fontId="74" fillId="0" borderId="37" xfId="28" applyNumberFormat="1" applyFont="1" applyBorder="1" applyAlignment="1">
      <alignment horizontal="center" vertical="center" wrapText="1"/>
    </xf>
    <xf numFmtId="0" fontId="70" fillId="0" borderId="53" xfId="28" applyFont="1" applyBorder="1" applyAlignment="1">
      <alignment horizontal="center"/>
    </xf>
    <xf numFmtId="0" fontId="77" fillId="0" borderId="52" xfId="28" applyBorder="1" applyAlignment="1">
      <alignment horizontal="center"/>
    </xf>
    <xf numFmtId="0" fontId="77" fillId="0" borderId="53" xfId="28" applyBorder="1"/>
    <xf numFmtId="0" fontId="84" fillId="0" borderId="52" xfId="28" applyFont="1" applyBorder="1" applyAlignment="1">
      <alignment horizontal="center"/>
    </xf>
    <xf numFmtId="0" fontId="71" fillId="0" borderId="25" xfId="28" applyFont="1" applyBorder="1" applyAlignment="1">
      <alignment horizontal="center"/>
    </xf>
    <xf numFmtId="3" fontId="59" fillId="38" borderId="26" xfId="22" applyNumberFormat="1" applyBorder="1"/>
    <xf numFmtId="3" fontId="59" fillId="38" borderId="29" xfId="22" applyNumberFormat="1" applyBorder="1"/>
    <xf numFmtId="3" fontId="59" fillId="38" borderId="27" xfId="22" applyNumberFormat="1" applyBorder="1"/>
    <xf numFmtId="0" fontId="72" fillId="22" borderId="52" xfId="28" applyFont="1" applyFill="1" applyBorder="1" applyAlignment="1">
      <alignment horizontal="center"/>
    </xf>
    <xf numFmtId="0" fontId="72" fillId="22" borderId="0" xfId="28" applyFont="1" applyFill="1" applyAlignment="1">
      <alignment horizontal="center"/>
    </xf>
    <xf numFmtId="0" fontId="72" fillId="22" borderId="92" xfId="28" applyFont="1" applyFill="1" applyBorder="1" applyAlignment="1">
      <alignment horizontal="center"/>
    </xf>
    <xf numFmtId="0" fontId="70" fillId="0" borderId="52" xfId="28" applyFont="1" applyBorder="1" applyAlignment="1">
      <alignment horizontal="center"/>
    </xf>
    <xf numFmtId="0" fontId="70" fillId="0" borderId="92" xfId="28" applyFont="1" applyBorder="1" applyAlignment="1">
      <alignment horizontal="center"/>
    </xf>
    <xf numFmtId="0" fontId="70" fillId="13" borderId="53" xfId="28" applyFont="1" applyFill="1" applyBorder="1" applyAlignment="1">
      <alignment horizontal="center"/>
    </xf>
    <xf numFmtId="3" fontId="77" fillId="0" borderId="52" xfId="28" applyNumberFormat="1" applyBorder="1" applyAlignment="1">
      <alignment horizontal="center" vertical="center" wrapText="1"/>
    </xf>
    <xf numFmtId="177" fontId="88" fillId="0" borderId="21" xfId="28" applyNumberFormat="1" applyFont="1" applyBorder="1"/>
    <xf numFmtId="177" fontId="92" fillId="0" borderId="24" xfId="28" applyNumberFormat="1" applyFont="1" applyBorder="1"/>
    <xf numFmtId="177" fontId="88" fillId="0" borderId="24" xfId="28" applyNumberFormat="1" applyFont="1" applyBorder="1"/>
    <xf numFmtId="177" fontId="88" fillId="0" borderId="22" xfId="28" applyNumberFormat="1" applyFont="1" applyBorder="1"/>
    <xf numFmtId="177" fontId="88" fillId="0" borderId="3" xfId="28" applyNumberFormat="1" applyFont="1" applyBorder="1"/>
    <xf numFmtId="172" fontId="77" fillId="13" borderId="5" xfId="29" applyNumberFormat="1" applyFont="1" applyFill="1" applyBorder="1"/>
    <xf numFmtId="177" fontId="92" fillId="0" borderId="6" xfId="27" applyNumberFormat="1" applyFont="1" applyBorder="1"/>
    <xf numFmtId="172" fontId="77" fillId="13" borderId="7" xfId="29" applyNumberFormat="1" applyFont="1" applyFill="1" applyBorder="1"/>
    <xf numFmtId="177" fontId="88" fillId="0" borderId="6" xfId="28" applyNumberFormat="1" applyFont="1" applyBorder="1"/>
    <xf numFmtId="177" fontId="88" fillId="0" borderId="8" xfId="28" applyNumberFormat="1" applyFont="1" applyBorder="1"/>
    <xf numFmtId="172" fontId="77" fillId="13" borderId="10" xfId="29" applyNumberFormat="1" applyFont="1" applyFill="1" applyBorder="1"/>
    <xf numFmtId="3" fontId="40" fillId="41" borderId="5" xfId="24" applyNumberFormat="1" applyFont="1" applyBorder="1" applyAlignment="1">
      <alignment horizontal="right" vertical="center" wrapText="1"/>
    </xf>
    <xf numFmtId="3" fontId="40" fillId="41" borderId="7" xfId="24" applyNumberFormat="1" applyFont="1" applyBorder="1" applyAlignment="1">
      <alignment horizontal="right" vertical="center" wrapText="1"/>
    </xf>
    <xf numFmtId="3" fontId="40" fillId="41" borderId="10" xfId="24" applyNumberFormat="1" applyFont="1" applyBorder="1" applyAlignment="1">
      <alignment horizontal="right" vertical="center" wrapText="1"/>
    </xf>
    <xf numFmtId="177" fontId="79" fillId="0" borderId="21" xfId="28" applyNumberFormat="1" applyFont="1" applyBorder="1"/>
    <xf numFmtId="177" fontId="79" fillId="0" borderId="24" xfId="28" applyNumberFormat="1" applyFont="1" applyBorder="1"/>
    <xf numFmtId="177" fontId="79" fillId="0" borderId="3" xfId="27" applyNumberFormat="1" applyFont="1" applyBorder="1"/>
    <xf numFmtId="177" fontId="79" fillId="0" borderId="6" xfId="27" applyNumberFormat="1" applyFont="1" applyBorder="1"/>
    <xf numFmtId="177" fontId="73" fillId="22" borderId="3" xfId="28" applyNumberFormat="1" applyFont="1" applyFill="1" applyBorder="1"/>
    <xf numFmtId="177" fontId="73" fillId="22" borderId="6" xfId="28" applyNumberFormat="1" applyFont="1" applyFill="1" applyBorder="1"/>
    <xf numFmtId="177" fontId="88" fillId="22" borderId="6" xfId="28" applyNumberFormat="1" applyFont="1" applyFill="1" applyBorder="1"/>
    <xf numFmtId="177" fontId="88" fillId="22" borderId="8" xfId="28" applyNumberFormat="1" applyFont="1" applyFill="1" applyBorder="1"/>
    <xf numFmtId="177" fontId="73" fillId="0" borderId="21" xfId="28" applyNumberFormat="1" applyFont="1" applyBorder="1"/>
    <xf numFmtId="177" fontId="73" fillId="0" borderId="24" xfId="28" applyNumberFormat="1" applyFont="1" applyBorder="1"/>
    <xf numFmtId="177" fontId="73" fillId="0" borderId="22" xfId="28" applyNumberFormat="1" applyFont="1" applyBorder="1"/>
    <xf numFmtId="177" fontId="73" fillId="22" borderId="8" xfId="28" applyNumberFormat="1" applyFont="1" applyFill="1" applyBorder="1"/>
    <xf numFmtId="0" fontId="74" fillId="24" borderId="43" xfId="26" applyFont="1" applyFill="1" applyBorder="1" applyAlignment="1">
      <alignment horizontal="center" wrapText="1"/>
    </xf>
    <xf numFmtId="3" fontId="14" fillId="24" borderId="28" xfId="26" applyNumberFormat="1" applyFont="1" applyFill="1" applyBorder="1"/>
    <xf numFmtId="3" fontId="15" fillId="24" borderId="28" xfId="26" applyNumberFormat="1" applyFont="1" applyFill="1" applyBorder="1"/>
    <xf numFmtId="0" fontId="74" fillId="13" borderId="35" xfId="26" applyFont="1" applyFill="1" applyBorder="1" applyAlignment="1">
      <alignment horizontal="center" wrapText="1"/>
    </xf>
    <xf numFmtId="0" fontId="74" fillId="13" borderId="37" xfId="26" applyFont="1" applyFill="1" applyBorder="1" applyAlignment="1">
      <alignment horizontal="center" wrapText="1"/>
    </xf>
    <xf numFmtId="3" fontId="14" fillId="13" borderId="14" xfId="26" applyNumberFormat="1" applyFont="1" applyFill="1" applyBorder="1"/>
    <xf numFmtId="3" fontId="14" fillId="13" borderId="16" xfId="26" applyNumberFormat="1" applyFont="1" applyFill="1" applyBorder="1"/>
    <xf numFmtId="3" fontId="14" fillId="13" borderId="6" xfId="26" applyNumberFormat="1" applyFont="1" applyFill="1" applyBorder="1"/>
    <xf numFmtId="3" fontId="14" fillId="13" borderId="7" xfId="26" applyNumberFormat="1" applyFont="1" applyFill="1" applyBorder="1"/>
    <xf numFmtId="3" fontId="15" fillId="13" borderId="7" xfId="26" applyNumberFormat="1" applyFont="1" applyFill="1" applyBorder="1"/>
    <xf numFmtId="3" fontId="7" fillId="13" borderId="6" xfId="26" applyNumberFormat="1" applyFont="1" applyFill="1" applyBorder="1"/>
    <xf numFmtId="3" fontId="15" fillId="13" borderId="6" xfId="26" applyNumberFormat="1" applyFont="1" applyFill="1" applyBorder="1"/>
    <xf numFmtId="3" fontId="14" fillId="13" borderId="8" xfId="26" applyNumberFormat="1" applyFont="1" applyFill="1" applyBorder="1"/>
    <xf numFmtId="3" fontId="14" fillId="13" borderId="10" xfId="26" applyNumberFormat="1" applyFont="1" applyFill="1" applyBorder="1"/>
    <xf numFmtId="3" fontId="6" fillId="13" borderId="39" xfId="26" applyNumberFormat="1" applyFont="1" applyFill="1" applyBorder="1"/>
    <xf numFmtId="3" fontId="3" fillId="13" borderId="56" xfId="26" applyNumberFormat="1" applyFill="1" applyBorder="1"/>
    <xf numFmtId="0" fontId="74" fillId="13" borderId="37" xfId="22" applyFont="1" applyFill="1" applyBorder="1" applyAlignment="1">
      <alignment horizontal="center" wrapText="1"/>
    </xf>
    <xf numFmtId="170" fontId="14" fillId="13" borderId="7" xfId="1" applyNumberFormat="1" applyFont="1" applyFill="1" applyBorder="1" applyAlignment="1">
      <alignment horizontal="right"/>
    </xf>
    <xf numFmtId="170" fontId="14" fillId="13" borderId="10" xfId="13" applyNumberFormat="1" applyFont="1" applyFill="1" applyBorder="1" applyAlignment="1">
      <alignment horizontal="center"/>
    </xf>
    <xf numFmtId="3" fontId="162" fillId="13" borderId="2" xfId="26" applyNumberFormat="1" applyFont="1" applyFill="1" applyBorder="1"/>
    <xf numFmtId="170" fontId="14" fillId="13" borderId="55" xfId="13" applyNumberFormat="1" applyFont="1" applyFill="1" applyBorder="1" applyAlignment="1">
      <alignment horizontal="center"/>
    </xf>
    <xf numFmtId="3" fontId="14" fillId="13" borderId="54" xfId="26" applyNumberFormat="1" applyFont="1" applyFill="1" applyBorder="1"/>
    <xf numFmtId="3" fontId="15" fillId="13" borderId="4" xfId="23" applyNumberFormat="1" applyFont="1" applyFill="1" applyBorder="1"/>
    <xf numFmtId="170" fontId="14" fillId="13" borderId="5" xfId="23" applyNumberFormat="1" applyFont="1" applyFill="1" applyBorder="1" applyAlignment="1">
      <alignment horizontal="center"/>
    </xf>
    <xf numFmtId="3" fontId="15" fillId="13" borderId="9" xfId="23" applyNumberFormat="1" applyFont="1" applyFill="1" applyBorder="1"/>
    <xf numFmtId="170" fontId="14" fillId="13" borderId="10" xfId="23" applyNumberFormat="1" applyFont="1" applyFill="1" applyBorder="1" applyAlignment="1">
      <alignment horizontal="center"/>
    </xf>
    <xf numFmtId="172" fontId="135" fillId="25" borderId="46" xfId="31" applyNumberFormat="1" applyFont="1" applyFill="1" applyBorder="1" applyAlignment="1">
      <alignment horizontal="center" vertical="center" wrapText="1"/>
    </xf>
    <xf numFmtId="177" fontId="135" fillId="25" borderId="47" xfId="13" applyNumberFormat="1" applyFont="1" applyFill="1" applyBorder="1" applyAlignment="1">
      <alignment horizontal="center" vertical="center" wrapText="1"/>
    </xf>
    <xf numFmtId="0" fontId="14" fillId="15" borderId="14" xfId="0" applyFont="1" applyFill="1" applyBorder="1" applyAlignment="1">
      <alignment horizontal="center" vertical="center" wrapText="1"/>
    </xf>
    <xf numFmtId="0" fontId="14" fillId="15" borderId="15" xfId="0" applyFont="1" applyFill="1" applyBorder="1" applyAlignment="1">
      <alignment horizontal="center" vertical="center" wrapText="1"/>
    </xf>
    <xf numFmtId="0" fontId="135" fillId="15" borderId="15" xfId="0" applyFont="1" applyFill="1" applyBorder="1" applyAlignment="1">
      <alignment horizontal="center" vertical="center" wrapText="1"/>
    </xf>
    <xf numFmtId="170" fontId="146" fillId="0" borderId="15" xfId="1" applyNumberFormat="1" applyFont="1" applyBorder="1" applyAlignment="1">
      <alignment horizontal="center" vertical="center" wrapText="1"/>
    </xf>
    <xf numFmtId="170" fontId="59" fillId="38" borderId="15" xfId="22" applyNumberFormat="1" applyBorder="1" applyAlignment="1">
      <alignment horizontal="center" vertical="center" wrapText="1"/>
    </xf>
    <xf numFmtId="177" fontId="126" fillId="15" borderId="15" xfId="13" applyNumberFormat="1" applyFont="1" applyFill="1" applyBorder="1" applyAlignment="1">
      <alignment horizontal="center" vertical="center" wrapText="1"/>
    </xf>
    <xf numFmtId="172" fontId="128" fillId="15" borderId="15" xfId="31" applyNumberFormat="1" applyFont="1" applyFill="1" applyBorder="1" applyAlignment="1">
      <alignment horizontal="center" vertical="center" wrapText="1"/>
    </xf>
    <xf numFmtId="0" fontId="126" fillId="0" borderId="15" xfId="0" applyFont="1" applyBorder="1" applyAlignment="1" applyProtection="1">
      <alignment horizontal="center" vertical="center" wrapText="1"/>
      <protection locked="0"/>
    </xf>
    <xf numFmtId="177" fontId="135" fillId="25" borderId="2" xfId="13" applyNumberFormat="1" applyFont="1" applyFill="1" applyBorder="1" applyAlignment="1">
      <alignment horizontal="center" vertical="center" wrapText="1"/>
    </xf>
    <xf numFmtId="3" fontId="135" fillId="25" borderId="2" xfId="0" applyNumberFormat="1" applyFont="1" applyFill="1" applyBorder="1" applyAlignment="1">
      <alignment horizontal="center" vertical="center" wrapText="1"/>
    </xf>
    <xf numFmtId="0" fontId="145" fillId="0" borderId="2" xfId="0" applyFont="1" applyBorder="1" applyAlignment="1" applyProtection="1">
      <alignment horizontal="center" vertical="center" wrapText="1"/>
      <protection locked="0"/>
    </xf>
    <xf numFmtId="172" fontId="135" fillId="25" borderId="2" xfId="31" applyNumberFormat="1" applyFont="1" applyFill="1" applyBorder="1" applyAlignment="1">
      <alignment horizontal="center" vertical="center" wrapText="1"/>
    </xf>
    <xf numFmtId="172" fontId="135" fillId="15" borderId="46" xfId="31" applyNumberFormat="1" applyFont="1" applyFill="1" applyBorder="1" applyAlignment="1">
      <alignment horizontal="center" vertical="center" wrapText="1"/>
    </xf>
    <xf numFmtId="9" fontId="135" fillId="15" borderId="47" xfId="13" applyFont="1" applyFill="1" applyBorder="1" applyAlignment="1">
      <alignment horizontal="center" vertical="center" wrapText="1"/>
    </xf>
    <xf numFmtId="0" fontId="15" fillId="19" borderId="14" xfId="0" applyFont="1" applyFill="1" applyBorder="1" applyAlignment="1">
      <alignment horizontal="center" vertical="center" wrapText="1"/>
    </xf>
    <xf numFmtId="0" fontId="15" fillId="19" borderId="15" xfId="0" applyFont="1" applyFill="1" applyBorder="1" applyAlignment="1">
      <alignment horizontal="center" vertical="center" wrapText="1"/>
    </xf>
    <xf numFmtId="177" fontId="128" fillId="19" borderId="15" xfId="13" applyNumberFormat="1" applyFont="1" applyFill="1" applyBorder="1" applyAlignment="1">
      <alignment horizontal="center" vertical="center" wrapText="1"/>
    </xf>
    <xf numFmtId="172" fontId="128" fillId="19" borderId="15" xfId="31" applyNumberFormat="1" applyFont="1" applyFill="1" applyBorder="1" applyAlignment="1">
      <alignment horizontal="center" vertical="center" wrapText="1"/>
    </xf>
    <xf numFmtId="0" fontId="128" fillId="0" borderId="15" xfId="0" applyFont="1" applyBorder="1" applyAlignment="1" applyProtection="1">
      <alignment horizontal="center" vertical="center" wrapText="1"/>
      <protection locked="0"/>
    </xf>
    <xf numFmtId="0" fontId="156" fillId="0" borderId="15" xfId="0" applyFont="1" applyBorder="1" applyAlignment="1">
      <alignment horizontal="center" vertical="center" wrapText="1"/>
    </xf>
    <xf numFmtId="172" fontId="153" fillId="19" borderId="15" xfId="31" applyNumberFormat="1" applyFont="1" applyFill="1" applyBorder="1" applyAlignment="1">
      <alignment horizontal="center" vertical="center" wrapText="1"/>
    </xf>
    <xf numFmtId="172" fontId="132" fillId="19" borderId="15" xfId="31" applyNumberFormat="1" applyFont="1" applyFill="1" applyBorder="1" applyAlignment="1">
      <alignment horizontal="center" vertical="center" wrapText="1"/>
    </xf>
    <xf numFmtId="176" fontId="28" fillId="13" borderId="10" xfId="0" applyNumberFormat="1" applyFont="1" applyFill="1" applyBorder="1" applyAlignment="1">
      <alignment horizontal="center"/>
    </xf>
    <xf numFmtId="176" fontId="0" fillId="13" borderId="0" xfId="0" applyNumberFormat="1" applyFill="1" applyAlignment="1">
      <alignment horizontal="center"/>
    </xf>
    <xf numFmtId="0" fontId="165" fillId="0" borderId="107" xfId="0" applyFont="1" applyBorder="1" applyAlignment="1">
      <alignment horizontal="left" vertical="center" wrapText="1"/>
    </xf>
    <xf numFmtId="0" fontId="165" fillId="0" borderId="107" xfId="0" applyFont="1" applyBorder="1" applyAlignment="1">
      <alignment horizontal="left" vertical="center"/>
    </xf>
    <xf numFmtId="0" fontId="165" fillId="66" borderId="107" xfId="0" applyFont="1" applyFill="1" applyBorder="1" applyAlignment="1">
      <alignment horizontal="right" vertical="center"/>
    </xf>
    <xf numFmtId="0" fontId="166" fillId="0" borderId="107" xfId="0" applyFont="1" applyBorder="1" applyAlignment="1">
      <alignment horizontal="right" vertical="center"/>
    </xf>
    <xf numFmtId="0" fontId="167" fillId="0" borderId="108" xfId="0" applyFont="1" applyBorder="1" applyAlignment="1">
      <alignment horizontal="left" vertical="center" wrapText="1"/>
    </xf>
    <xf numFmtId="170" fontId="166" fillId="0" borderId="107" xfId="1" applyNumberFormat="1" applyFont="1" applyBorder="1" applyAlignment="1">
      <alignment horizontal="right" vertical="center"/>
    </xf>
    <xf numFmtId="3" fontId="15" fillId="13" borderId="20" xfId="26" applyNumberFormat="1" applyFont="1" applyFill="1" applyBorder="1"/>
    <xf numFmtId="3" fontId="2" fillId="32" borderId="6" xfId="6" applyNumberFormat="1" applyFont="1" applyFill="1" applyBorder="1" applyProtection="1">
      <protection locked="0"/>
    </xf>
    <xf numFmtId="3" fontId="2" fillId="32" borderId="2" xfId="6" applyNumberFormat="1" applyFont="1" applyFill="1" applyBorder="1" applyProtection="1">
      <protection locked="0"/>
    </xf>
    <xf numFmtId="168" fontId="2" fillId="32" borderId="2" xfId="6" applyNumberFormat="1" applyFont="1" applyFill="1" applyBorder="1" applyProtection="1">
      <protection locked="0"/>
    </xf>
    <xf numFmtId="172" fontId="2" fillId="32" borderId="2" xfId="6" applyNumberFormat="1" applyFont="1" applyFill="1" applyBorder="1" applyProtection="1">
      <protection locked="0"/>
    </xf>
    <xf numFmtId="168" fontId="2" fillId="34" borderId="2" xfId="7" applyNumberFormat="1" applyFont="1" applyFill="1" applyBorder="1" applyProtection="1">
      <protection locked="0"/>
    </xf>
    <xf numFmtId="164" fontId="2" fillId="36" borderId="28" xfId="15" applyNumberFormat="1" applyFont="1" applyFill="1" applyBorder="1" applyAlignment="1" applyProtection="1">
      <alignment horizontal="center" vertical="center"/>
      <protection locked="0"/>
    </xf>
    <xf numFmtId="171" fontId="2" fillId="36" borderId="15" xfId="15" applyNumberFormat="1" applyFont="1" applyFill="1" applyBorder="1" applyAlignment="1" applyProtection="1">
      <alignment horizontal="center" vertical="center"/>
      <protection locked="0"/>
    </xf>
    <xf numFmtId="164" fontId="2" fillId="36" borderId="15" xfId="15" applyNumberFormat="1" applyFont="1" applyFill="1" applyBorder="1" applyAlignment="1" applyProtection="1">
      <alignment horizontal="center" vertical="center"/>
      <protection locked="0"/>
    </xf>
    <xf numFmtId="1" fontId="2" fillId="36" borderId="15" xfId="15" applyNumberFormat="1" applyFont="1" applyFill="1" applyBorder="1" applyAlignment="1" applyProtection="1">
      <alignment horizontal="center" vertical="center"/>
      <protection locked="0"/>
    </xf>
    <xf numFmtId="167" fontId="2" fillId="36" borderId="19" xfId="15" applyNumberFormat="1" applyFont="1" applyFill="1" applyBorder="1" applyAlignment="1" applyProtection="1">
      <alignment horizontal="center" vertical="center"/>
      <protection locked="0"/>
    </xf>
    <xf numFmtId="0" fontId="2" fillId="36" borderId="16" xfId="15" applyFont="1" applyFill="1" applyBorder="1" applyAlignment="1" applyProtection="1">
      <alignment horizontal="left" vertical="center"/>
      <protection locked="0"/>
    </xf>
    <xf numFmtId="171" fontId="2" fillId="36" borderId="2" xfId="15" applyNumberFormat="1" applyFont="1" applyFill="1" applyBorder="1" applyAlignment="1" applyProtection="1">
      <alignment horizontal="center" vertical="center"/>
      <protection locked="0"/>
    </xf>
    <xf numFmtId="164" fontId="2" fillId="36" borderId="2" xfId="15" applyNumberFormat="1" applyFont="1" applyFill="1" applyBorder="1" applyAlignment="1" applyProtection="1">
      <alignment horizontal="center" vertical="center"/>
      <protection locked="0"/>
    </xf>
    <xf numFmtId="1" fontId="2" fillId="36" borderId="2" xfId="15" applyNumberFormat="1" applyFont="1" applyFill="1" applyBorder="1" applyAlignment="1" applyProtection="1">
      <alignment horizontal="center" vertical="center"/>
      <protection locked="0"/>
    </xf>
    <xf numFmtId="167" fontId="2" fillId="36" borderId="20" xfId="15" applyNumberFormat="1" applyFont="1" applyFill="1" applyBorder="1" applyAlignment="1" applyProtection="1">
      <alignment horizontal="center" vertical="center"/>
      <protection locked="0"/>
    </xf>
    <xf numFmtId="0" fontId="2" fillId="36" borderId="7" xfId="15" applyFont="1" applyFill="1" applyBorder="1" applyAlignment="1" applyProtection="1">
      <alignment horizontal="left" vertical="center"/>
      <protection locked="0"/>
    </xf>
    <xf numFmtId="0" fontId="2" fillId="32" borderId="7" xfId="6" applyFont="1" applyFill="1" applyBorder="1" applyProtection="1">
      <protection locked="0"/>
    </xf>
    <xf numFmtId="164" fontId="2" fillId="36" borderId="12" xfId="15" applyNumberFormat="1" applyFont="1" applyFill="1" applyBorder="1" applyAlignment="1" applyProtection="1">
      <alignment horizontal="center" vertical="center"/>
      <protection locked="0"/>
    </xf>
    <xf numFmtId="0" fontId="2" fillId="31" borderId="7" xfId="4" applyFont="1" applyFill="1" applyBorder="1" applyProtection="1">
      <protection locked="0"/>
    </xf>
    <xf numFmtId="0" fontId="2" fillId="36" borderId="20" xfId="15" applyFont="1" applyFill="1" applyBorder="1" applyAlignment="1" applyProtection="1">
      <alignment horizontal="center" vertical="center"/>
      <protection locked="0"/>
    </xf>
    <xf numFmtId="3" fontId="2" fillId="32" borderId="51" xfId="6" applyNumberFormat="1" applyFont="1" applyFill="1" applyBorder="1" applyProtection="1">
      <protection locked="0"/>
    </xf>
    <xf numFmtId="3" fontId="2" fillId="32" borderId="54" xfId="6" applyNumberFormat="1" applyFont="1" applyFill="1" applyBorder="1" applyProtection="1">
      <protection locked="0"/>
    </xf>
    <xf numFmtId="168" fontId="2" fillId="32" borderId="54" xfId="6" applyNumberFormat="1" applyFont="1" applyFill="1" applyBorder="1" applyProtection="1">
      <protection locked="0"/>
    </xf>
    <xf numFmtId="172" fontId="2" fillId="32" borderId="54" xfId="6" applyNumberFormat="1" applyFont="1" applyFill="1" applyBorder="1" applyProtection="1">
      <protection locked="0"/>
    </xf>
    <xf numFmtId="168" fontId="2" fillId="34" borderId="54" xfId="7" applyNumberFormat="1" applyFont="1" applyFill="1" applyBorder="1" applyProtection="1">
      <protection locked="0"/>
    </xf>
    <xf numFmtId="164" fontId="2" fillId="36" borderId="71" xfId="15" applyNumberFormat="1" applyFont="1" applyFill="1" applyBorder="1" applyAlignment="1" applyProtection="1">
      <alignment horizontal="center" vertical="center"/>
      <protection locked="0"/>
    </xf>
    <xf numFmtId="171" fontId="2" fillId="36" borderId="54" xfId="15" applyNumberFormat="1" applyFont="1" applyFill="1" applyBorder="1" applyAlignment="1" applyProtection="1">
      <alignment horizontal="center" vertical="center"/>
      <protection locked="0"/>
    </xf>
    <xf numFmtId="164" fontId="2" fillId="36" borderId="54" xfId="15" applyNumberFormat="1" applyFont="1" applyFill="1" applyBorder="1" applyAlignment="1" applyProtection="1">
      <alignment horizontal="center" vertical="center"/>
      <protection locked="0"/>
    </xf>
    <xf numFmtId="1" fontId="2" fillId="36" borderId="54" xfId="15" applyNumberFormat="1" applyFont="1" applyFill="1" applyBorder="1" applyAlignment="1" applyProtection="1">
      <alignment horizontal="center" vertical="center"/>
      <protection locked="0"/>
    </xf>
    <xf numFmtId="0" fontId="2" fillId="36" borderId="18" xfId="15" applyFont="1" applyFill="1" applyBorder="1" applyAlignment="1" applyProtection="1">
      <alignment horizontal="center" vertical="center"/>
      <protection locked="0"/>
    </xf>
    <xf numFmtId="0" fontId="2" fillId="36" borderId="10" xfId="15" applyFont="1" applyFill="1" applyBorder="1" applyAlignment="1" applyProtection="1">
      <alignment horizontal="left" vertical="center"/>
      <protection locked="0"/>
    </xf>
    <xf numFmtId="0" fontId="74" fillId="44" borderId="36" xfId="26" applyFont="1" applyFill="1" applyBorder="1" applyAlignment="1">
      <alignment horizontal="center" wrapText="1"/>
    </xf>
    <xf numFmtId="3" fontId="14" fillId="44" borderId="15" xfId="26" applyNumberFormat="1" applyFont="1" applyFill="1" applyBorder="1"/>
    <xf numFmtId="3" fontId="14" fillId="44" borderId="2" xfId="26" applyNumberFormat="1" applyFont="1" applyFill="1" applyBorder="1"/>
    <xf numFmtId="3" fontId="15" fillId="44" borderId="2" xfId="26" applyNumberFormat="1" applyFont="1" applyFill="1" applyBorder="1"/>
    <xf numFmtId="174" fontId="14" fillId="44" borderId="2" xfId="26" applyNumberFormat="1" applyFont="1" applyFill="1" applyBorder="1"/>
    <xf numFmtId="174" fontId="15" fillId="44" borderId="2" xfId="26" applyNumberFormat="1" applyFont="1" applyFill="1" applyBorder="1"/>
    <xf numFmtId="172" fontId="14" fillId="44" borderId="2" xfId="26" applyNumberFormat="1" applyFont="1" applyFill="1" applyBorder="1"/>
    <xf numFmtId="174" fontId="14" fillId="44" borderId="9" xfId="26" applyNumberFormat="1" applyFont="1" applyFill="1" applyBorder="1"/>
    <xf numFmtId="174" fontId="40" fillId="44" borderId="38" xfId="26" applyNumberFormat="1" applyFont="1" applyFill="1" applyBorder="1"/>
    <xf numFmtId="0" fontId="77" fillId="44" borderId="15" xfId="26" applyFont="1" applyFill="1" applyBorder="1" applyAlignment="1">
      <alignment horizontal="center" wrapText="1"/>
    </xf>
    <xf numFmtId="0" fontId="77" fillId="44" borderId="2" xfId="26" applyFont="1" applyFill="1" applyBorder="1" applyAlignment="1">
      <alignment horizontal="center" wrapText="1"/>
    </xf>
    <xf numFmtId="3" fontId="14" fillId="44" borderId="9" xfId="26" applyNumberFormat="1" applyFont="1" applyFill="1" applyBorder="1"/>
    <xf numFmtId="0" fontId="168" fillId="0" borderId="109" xfId="0" applyFont="1" applyBorder="1" applyAlignment="1">
      <alignment horizontal="right"/>
    </xf>
    <xf numFmtId="3" fontId="168" fillId="0" borderId="109" xfId="0" applyNumberFormat="1" applyFont="1" applyBorder="1" applyAlignment="1">
      <alignment horizontal="right"/>
    </xf>
    <xf numFmtId="172" fontId="28" fillId="0" borderId="7" xfId="0" applyNumberFormat="1" applyFont="1" applyBorder="1" applyAlignment="1"/>
    <xf numFmtId="172" fontId="0" fillId="0" borderId="12" xfId="0" applyNumberFormat="1" applyBorder="1"/>
    <xf numFmtId="172" fontId="28" fillId="0" borderId="12" xfId="0" applyNumberFormat="1" applyFont="1" applyBorder="1" applyAlignment="1">
      <alignment horizontal="center"/>
    </xf>
    <xf numFmtId="0" fontId="0" fillId="0" borderId="26" xfId="0" pivotButton="1" applyBorder="1"/>
    <xf numFmtId="0" fontId="57" fillId="0" borderId="26" xfId="0" pivotButton="1" applyFont="1" applyBorder="1"/>
    <xf numFmtId="0" fontId="0" fillId="0" borderId="58" xfId="0" applyBorder="1"/>
    <xf numFmtId="0" fontId="61" fillId="39" borderId="5" xfId="0" applyFont="1" applyFill="1" applyBorder="1" applyAlignment="1">
      <alignment horizontal="center"/>
    </xf>
    <xf numFmtId="0" fontId="61" fillId="39" borderId="7" xfId="0" applyFont="1" applyFill="1" applyBorder="1" applyAlignment="1">
      <alignment horizontal="center"/>
    </xf>
    <xf numFmtId="0" fontId="61" fillId="39" borderId="10" xfId="0" applyFont="1" applyFill="1" applyBorder="1" applyAlignment="1">
      <alignment horizontal="center"/>
    </xf>
    <xf numFmtId="0" fontId="0" fillId="0" borderId="26" xfId="0" applyFill="1" applyBorder="1"/>
    <xf numFmtId="0" fontId="0" fillId="0" borderId="3" xfId="0" applyFill="1" applyBorder="1" applyAlignment="1">
      <alignment horizontal="center"/>
    </xf>
    <xf numFmtId="0" fontId="0" fillId="0" borderId="6" xfId="0" applyFill="1" applyBorder="1" applyAlignment="1">
      <alignment horizontal="center"/>
    </xf>
    <xf numFmtId="3" fontId="6" fillId="42" borderId="59" xfId="25" applyNumberFormat="1" applyFont="1" applyBorder="1" applyAlignment="1">
      <alignment horizontal="center" vertical="center" wrapText="1"/>
    </xf>
    <xf numFmtId="0" fontId="0" fillId="0" borderId="60" xfId="0" applyBorder="1" applyAlignment="1">
      <alignment horizontal="center"/>
    </xf>
    <xf numFmtId="3" fontId="40" fillId="41" borderId="0" xfId="24" applyNumberFormat="1" applyFont="1" applyBorder="1" applyAlignment="1">
      <alignment horizontal="center" vertical="center" wrapText="1"/>
    </xf>
    <xf numFmtId="172" fontId="77" fillId="13" borderId="0" xfId="29" applyNumberFormat="1" applyFont="1" applyFill="1" applyBorder="1" applyAlignment="1">
      <alignment horizontal="center"/>
    </xf>
    <xf numFmtId="176" fontId="77" fillId="0" borderId="0" xfId="28" applyNumberFormat="1" applyAlignment="1">
      <alignment horizontal="center"/>
    </xf>
    <xf numFmtId="3" fontId="40" fillId="67" borderId="29" xfId="24" applyNumberFormat="1" applyFont="1" applyFill="1" applyBorder="1" applyAlignment="1">
      <alignment horizontal="right" vertical="center" wrapText="1"/>
    </xf>
    <xf numFmtId="3" fontId="40" fillId="67" borderId="0" xfId="24" applyNumberFormat="1" applyFont="1" applyFill="1" applyBorder="1" applyAlignment="1">
      <alignment horizontal="center" vertical="center" wrapText="1"/>
    </xf>
    <xf numFmtId="177" fontId="88" fillId="0" borderId="0" xfId="0" applyNumberFormat="1" applyFont="1"/>
    <xf numFmtId="177" fontId="79" fillId="0" borderId="0" xfId="0" applyNumberFormat="1" applyFont="1"/>
    <xf numFmtId="0" fontId="5" fillId="27" borderId="0" xfId="18" applyFont="1"/>
    <xf numFmtId="177" fontId="38" fillId="27" borderId="24" xfId="13" applyNumberFormat="1" applyFont="1" applyFill="1" applyBorder="1" applyAlignment="1">
      <alignment horizontal="right"/>
    </xf>
    <xf numFmtId="0" fontId="0" fillId="0" borderId="0" xfId="0" applyBorder="1"/>
    <xf numFmtId="0" fontId="0" fillId="0" borderId="27" xfId="0" applyBorder="1" applyAlignment="1">
      <alignment horizontal="center"/>
    </xf>
    <xf numFmtId="0" fontId="77" fillId="0" borderId="2" xfId="0" applyFont="1" applyFill="1" applyBorder="1" applyAlignment="1">
      <alignment horizontal="center" vertical="center"/>
    </xf>
    <xf numFmtId="10" fontId="96" fillId="0" borderId="2" xfId="0" applyNumberFormat="1" applyFont="1" applyFill="1" applyBorder="1" applyAlignment="1">
      <alignment horizontal="right" vertical="center"/>
    </xf>
    <xf numFmtId="10" fontId="77" fillId="0" borderId="2" xfId="0" applyNumberFormat="1" applyFont="1" applyFill="1" applyBorder="1" applyAlignment="1">
      <alignment horizontal="right" vertical="center"/>
    </xf>
    <xf numFmtId="3" fontId="0" fillId="0" borderId="2" xfId="0" applyNumberFormat="1" applyBorder="1" applyAlignment="1"/>
    <xf numFmtId="3" fontId="0" fillId="13" borderId="2" xfId="0" applyNumberFormat="1" applyFill="1" applyBorder="1" applyAlignment="1"/>
    <xf numFmtId="3" fontId="0" fillId="0" borderId="59" xfId="0" applyNumberFormat="1" applyBorder="1" applyAlignment="1"/>
    <xf numFmtId="0" fontId="0" fillId="0" borderId="2" xfId="0" applyBorder="1" applyAlignment="1">
      <alignment horizontal="right"/>
    </xf>
    <xf numFmtId="3" fontId="0" fillId="0" borderId="26" xfId="0" applyNumberFormat="1" applyBorder="1" applyAlignment="1">
      <alignment horizontal="center"/>
    </xf>
    <xf numFmtId="3" fontId="0" fillId="0" borderId="12" xfId="0" applyNumberFormat="1" applyBorder="1"/>
    <xf numFmtId="0" fontId="0" fillId="13" borderId="8" xfId="0" applyFill="1" applyBorder="1" applyAlignment="1">
      <alignment horizontal="center"/>
    </xf>
    <xf numFmtId="3" fontId="60" fillId="39" borderId="38" xfId="23" applyNumberFormat="1" applyBorder="1"/>
    <xf numFmtId="0" fontId="145" fillId="0" borderId="2" xfId="0" quotePrefix="1" applyFont="1" applyBorder="1" applyAlignment="1" applyProtection="1">
      <alignment horizontal="center" vertical="center" wrapText="1"/>
      <protection locked="0"/>
    </xf>
    <xf numFmtId="0" fontId="0" fillId="13" borderId="3" xfId="0" applyFill="1" applyBorder="1" applyAlignment="1">
      <alignment horizontal="center"/>
    </xf>
    <xf numFmtId="0" fontId="0" fillId="13" borderId="4" xfId="0" applyFill="1" applyBorder="1" applyAlignment="1">
      <alignment horizontal="center"/>
    </xf>
    <xf numFmtId="0" fontId="0" fillId="0" borderId="5" xfId="0" applyBorder="1" applyAlignment="1">
      <alignment horizontal="center"/>
    </xf>
    <xf numFmtId="0" fontId="53" fillId="0" borderId="7" xfId="21" applyBorder="1"/>
    <xf numFmtId="0" fontId="0" fillId="0" borderId="97" xfId="0" applyBorder="1" applyAlignment="1">
      <alignment horizontal="center"/>
    </xf>
    <xf numFmtId="177" fontId="0" fillId="0" borderId="50" xfId="0" applyNumberFormat="1" applyBorder="1"/>
    <xf numFmtId="177" fontId="0" fillId="0" borderId="48" xfId="0" applyNumberFormat="1" applyBorder="1"/>
    <xf numFmtId="177" fontId="6" fillId="0" borderId="2" xfId="0" applyNumberFormat="1" applyFont="1" applyBorder="1"/>
    <xf numFmtId="177" fontId="6" fillId="0" borderId="7" xfId="0" applyNumberFormat="1" applyFont="1" applyBorder="1"/>
    <xf numFmtId="0" fontId="0" fillId="0" borderId="51" xfId="0" applyBorder="1" applyAlignment="1">
      <alignment horizontal="center"/>
    </xf>
    <xf numFmtId="177" fontId="0" fillId="0" borderId="54" xfId="0" applyNumberFormat="1" applyBorder="1"/>
    <xf numFmtId="177" fontId="0" fillId="0" borderId="55" xfId="0" applyNumberFormat="1" applyBorder="1"/>
    <xf numFmtId="177" fontId="0" fillId="0" borderId="79" xfId="0" applyNumberFormat="1" applyBorder="1"/>
    <xf numFmtId="0" fontId="0" fillId="0" borderId="55" xfId="0" applyBorder="1"/>
    <xf numFmtId="0" fontId="0" fillId="0" borderId="0" xfId="0" applyAlignment="1">
      <alignment horizontal="left" vertical="top" wrapText="1"/>
    </xf>
    <xf numFmtId="0" fontId="17" fillId="2" borderId="60" xfId="3" applyFont="1" applyBorder="1" applyAlignment="1">
      <alignment horizontal="center" vertical="center" wrapText="1"/>
    </xf>
    <xf numFmtId="0" fontId="17" fillId="2" borderId="59" xfId="3" applyFont="1" applyBorder="1" applyAlignment="1">
      <alignment horizontal="center" vertical="center" wrapText="1"/>
    </xf>
    <xf numFmtId="0" fontId="17" fillId="2" borderId="61" xfId="3" applyFont="1" applyBorder="1" applyAlignment="1">
      <alignment horizontal="center" vertical="center" wrapText="1"/>
    </xf>
    <xf numFmtId="14" fontId="16" fillId="22" borderId="53" xfId="2" applyNumberFormat="1" applyFont="1" applyFill="1" applyBorder="1" applyAlignment="1">
      <alignment horizontal="center" vertical="center" wrapText="1"/>
    </xf>
    <xf numFmtId="14" fontId="16" fillId="22" borderId="57" xfId="2" applyNumberFormat="1" applyFont="1" applyFill="1" applyBorder="1" applyAlignment="1">
      <alignment horizontal="center" vertical="center" wrapText="1"/>
    </xf>
    <xf numFmtId="14" fontId="16" fillId="20" borderId="3" xfId="2" applyNumberFormat="1" applyFont="1" applyFill="1" applyBorder="1" applyAlignment="1">
      <alignment horizontal="center" vertical="center" wrapText="1"/>
    </xf>
    <xf numFmtId="14" fontId="16" fillId="20" borderId="6" xfId="2" applyNumberFormat="1" applyFont="1" applyFill="1" applyBorder="1" applyAlignment="1">
      <alignment horizontal="center" vertical="center" wrapText="1"/>
    </xf>
    <xf numFmtId="14" fontId="16" fillId="20" borderId="8" xfId="2" applyNumberFormat="1" applyFont="1" applyFill="1" applyBorder="1" applyAlignment="1">
      <alignment horizontal="center" vertical="center" wrapText="1"/>
    </xf>
    <xf numFmtId="14" fontId="16" fillId="20" borderId="53" xfId="2" applyNumberFormat="1" applyFont="1" applyFill="1" applyBorder="1" applyAlignment="1">
      <alignment horizontal="center" vertical="center" wrapText="1"/>
    </xf>
    <xf numFmtId="14" fontId="16" fillId="20" borderId="57" xfId="2" applyNumberFormat="1" applyFont="1" applyFill="1" applyBorder="1" applyAlignment="1">
      <alignment horizontal="center" vertical="center" wrapText="1"/>
    </xf>
    <xf numFmtId="14" fontId="16" fillId="20" borderId="58" xfId="2" applyNumberFormat="1" applyFont="1" applyFill="1" applyBorder="1" applyAlignment="1">
      <alignment horizontal="center" vertical="center" wrapText="1"/>
    </xf>
    <xf numFmtId="0" fontId="21" fillId="23" borderId="26" xfId="5" applyFont="1" applyFill="1" applyBorder="1" applyAlignment="1">
      <alignment horizontal="center" vertical="top" wrapText="1"/>
    </xf>
    <xf numFmtId="0" fontId="21" fillId="23" borderId="29" xfId="5" applyFont="1" applyFill="1" applyBorder="1" applyAlignment="1">
      <alignment horizontal="center" vertical="top" wrapText="1"/>
    </xf>
    <xf numFmtId="0" fontId="21" fillId="23" borderId="27" xfId="5" applyFont="1" applyFill="1" applyBorder="1" applyAlignment="1">
      <alignment horizontal="center" vertical="top" wrapText="1"/>
    </xf>
    <xf numFmtId="0" fontId="16" fillId="19" borderId="63" xfId="2" applyFont="1" applyFill="1" applyBorder="1" applyAlignment="1">
      <alignment horizontal="center" vertical="center" wrapText="1"/>
    </xf>
    <xf numFmtId="0" fontId="16" fillId="19" borderId="31" xfId="2" applyFont="1" applyFill="1" applyBorder="1" applyAlignment="1">
      <alignment horizontal="center" vertical="center" wrapText="1"/>
    </xf>
    <xf numFmtId="0" fontId="16" fillId="19" borderId="30" xfId="2" applyFont="1" applyFill="1" applyBorder="1" applyAlignment="1">
      <alignment horizontal="center" vertical="center" wrapText="1"/>
    </xf>
    <xf numFmtId="0" fontId="16" fillId="21" borderId="63" xfId="2" applyFont="1" applyFill="1" applyBorder="1" applyAlignment="1">
      <alignment horizontal="center" vertical="center" wrapText="1"/>
    </xf>
    <xf numFmtId="0" fontId="16" fillId="21" borderId="31" xfId="2" applyFont="1" applyFill="1" applyBorder="1" applyAlignment="1">
      <alignment horizontal="center" vertical="center" wrapText="1"/>
    </xf>
    <xf numFmtId="0" fontId="16" fillId="21" borderId="30" xfId="2" applyFont="1" applyFill="1" applyBorder="1" applyAlignment="1">
      <alignment horizontal="center" vertical="center" wrapText="1"/>
    </xf>
    <xf numFmtId="0" fontId="16" fillId="15" borderId="63" xfId="2" applyFont="1" applyFill="1" applyBorder="1" applyAlignment="1">
      <alignment horizontal="center" vertical="center" wrapText="1"/>
    </xf>
    <xf numFmtId="0" fontId="16" fillId="15" borderId="57" xfId="2" applyFont="1" applyFill="1" applyBorder="1" applyAlignment="1">
      <alignment horizontal="center" vertical="center" wrapText="1"/>
    </xf>
    <xf numFmtId="0" fontId="16" fillId="15" borderId="30" xfId="2" applyFont="1" applyFill="1" applyBorder="1" applyAlignment="1">
      <alignment horizontal="center" vertical="center" wrapText="1"/>
    </xf>
    <xf numFmtId="0" fontId="19" fillId="3" borderId="63" xfId="4" applyFont="1" applyBorder="1" applyAlignment="1">
      <alignment horizontal="center" vertical="top" wrapText="1"/>
    </xf>
    <xf numFmtId="0" fontId="19" fillId="3" borderId="31" xfId="4" applyFont="1" applyBorder="1" applyAlignment="1">
      <alignment horizontal="center" vertical="top" wrapText="1"/>
    </xf>
    <xf numFmtId="0" fontId="19" fillId="3" borderId="64" xfId="4" applyFont="1" applyBorder="1" applyAlignment="1">
      <alignment horizontal="center" vertical="top" wrapText="1"/>
    </xf>
    <xf numFmtId="0" fontId="19" fillId="3" borderId="30" xfId="4" applyFont="1" applyBorder="1" applyAlignment="1">
      <alignment horizontal="center" vertical="top" wrapText="1"/>
    </xf>
    <xf numFmtId="0" fontId="16" fillId="15" borderId="31" xfId="2" applyFont="1" applyFill="1" applyBorder="1" applyAlignment="1">
      <alignment horizontal="center" vertical="center" wrapText="1"/>
    </xf>
    <xf numFmtId="14" fontId="16" fillId="22" borderId="63" xfId="2" applyNumberFormat="1" applyFont="1" applyFill="1" applyBorder="1" applyAlignment="1">
      <alignment horizontal="center" vertical="center" wrapText="1"/>
    </xf>
    <xf numFmtId="14" fontId="16" fillId="22" borderId="30" xfId="2" applyNumberFormat="1" applyFont="1" applyFill="1" applyBorder="1" applyAlignment="1">
      <alignment horizontal="center" vertical="center" wrapText="1"/>
    </xf>
    <xf numFmtId="0" fontId="16" fillId="21" borderId="53" xfId="2" applyFont="1" applyFill="1" applyBorder="1" applyAlignment="1">
      <alignment horizontal="center" vertical="center" wrapText="1"/>
    </xf>
    <xf numFmtId="0" fontId="16" fillId="21" borderId="57" xfId="2" applyFont="1" applyFill="1" applyBorder="1" applyAlignment="1">
      <alignment horizontal="center" vertical="center" wrapText="1"/>
    </xf>
    <xf numFmtId="0" fontId="16" fillId="21" borderId="58" xfId="2" applyFont="1" applyFill="1" applyBorder="1" applyAlignment="1">
      <alignment horizontal="center" vertical="center" wrapText="1"/>
    </xf>
    <xf numFmtId="0" fontId="17" fillId="2" borderId="66" xfId="3" applyFont="1" applyBorder="1" applyAlignment="1">
      <alignment horizontal="left" vertical="center" wrapText="1"/>
    </xf>
    <xf numFmtId="0" fontId="17" fillId="2" borderId="65" xfId="3" applyFont="1" applyBorder="1" applyAlignment="1">
      <alignment horizontal="left" vertical="center" wrapText="1"/>
    </xf>
    <xf numFmtId="0" fontId="33" fillId="2" borderId="0" xfId="3" applyFont="1" applyBorder="1" applyAlignment="1">
      <alignment horizontal="left" vertical="top" wrapText="1"/>
    </xf>
    <xf numFmtId="0" fontId="31" fillId="2" borderId="19" xfId="3" applyFont="1" applyBorder="1" applyAlignment="1">
      <alignment horizontal="left" vertical="top" wrapText="1"/>
    </xf>
    <xf numFmtId="0" fontId="31" fillId="2" borderId="28" xfId="3" applyFont="1" applyBorder="1" applyAlignment="1">
      <alignment horizontal="left" vertical="top" wrapText="1"/>
    </xf>
    <xf numFmtId="0" fontId="31" fillId="2" borderId="81" xfId="3" applyFont="1" applyBorder="1" applyAlignment="1">
      <alignment horizontal="left" vertical="top"/>
    </xf>
    <xf numFmtId="0" fontId="31" fillId="2" borderId="71" xfId="3" applyFont="1" applyBorder="1" applyAlignment="1">
      <alignment horizontal="left" vertical="top"/>
    </xf>
    <xf numFmtId="0" fontId="33" fillId="2" borderId="0" xfId="3" applyFont="1" applyBorder="1" applyAlignment="1">
      <alignment horizontal="left" vertical="top"/>
    </xf>
    <xf numFmtId="0" fontId="31" fillId="2" borderId="19" xfId="3" applyFont="1" applyBorder="1" applyAlignment="1">
      <alignment horizontal="center" vertical="center"/>
    </xf>
    <xf numFmtId="0" fontId="31" fillId="2" borderId="28" xfId="3" applyFont="1" applyBorder="1" applyAlignment="1">
      <alignment horizontal="center" vertical="center"/>
    </xf>
    <xf numFmtId="0" fontId="36" fillId="26" borderId="72" xfId="0" applyFont="1" applyFill="1" applyBorder="1" applyAlignment="1">
      <alignment horizontal="center" vertical="center"/>
    </xf>
    <xf numFmtId="0" fontId="36" fillId="26" borderId="74" xfId="0" applyFont="1" applyFill="1" applyBorder="1" applyAlignment="1">
      <alignment horizontal="center" vertical="center"/>
    </xf>
    <xf numFmtId="0" fontId="21" fillId="2" borderId="26" xfId="3" applyFont="1" applyBorder="1" applyAlignment="1">
      <alignment horizontal="center" vertical="top" wrapText="1"/>
    </xf>
    <xf numFmtId="0" fontId="21" fillId="2" borderId="29" xfId="3" applyFont="1" applyBorder="1" applyAlignment="1">
      <alignment horizontal="center" vertical="top" wrapText="1"/>
    </xf>
    <xf numFmtId="0" fontId="16" fillId="25" borderId="12" xfId="2" applyFont="1" applyFill="1" applyBorder="1" applyAlignment="1">
      <alignment horizontal="center" vertical="center" wrapText="1"/>
    </xf>
    <xf numFmtId="0" fontId="16" fillId="25" borderId="71" xfId="2" applyFont="1" applyFill="1" applyBorder="1" applyAlignment="1">
      <alignment horizontal="center" vertical="center" wrapText="1"/>
    </xf>
    <xf numFmtId="0" fontId="41" fillId="27" borderId="2" xfId="18" applyFont="1" applyBorder="1" applyAlignment="1">
      <alignment horizontal="left" vertical="top" wrapText="1"/>
    </xf>
    <xf numFmtId="0" fontId="39" fillId="2" borderId="76" xfId="3" applyFont="1" applyBorder="1" applyAlignment="1">
      <alignment horizontal="center"/>
    </xf>
    <xf numFmtId="0" fontId="39" fillId="2" borderId="77" xfId="3" applyFont="1" applyBorder="1" applyAlignment="1">
      <alignment horizontal="center"/>
    </xf>
    <xf numFmtId="0" fontId="39" fillId="2" borderId="78" xfId="3" applyFont="1" applyBorder="1" applyAlignment="1">
      <alignment horizontal="center"/>
    </xf>
    <xf numFmtId="0" fontId="41" fillId="27" borderId="79" xfId="18" applyFont="1" applyBorder="1" applyAlignment="1">
      <alignment horizontal="center" vertical="top"/>
    </xf>
    <xf numFmtId="0" fontId="41" fillId="27" borderId="0" xfId="18" applyFont="1" applyBorder="1" applyAlignment="1">
      <alignment horizontal="center" vertical="top"/>
    </xf>
    <xf numFmtId="0" fontId="6" fillId="8" borderId="32" xfId="9" applyFont="1" applyBorder="1" applyAlignment="1">
      <alignment horizontal="center" wrapText="1"/>
    </xf>
    <xf numFmtId="0" fontId="6" fillId="8" borderId="45" xfId="9" applyFont="1" applyBorder="1" applyAlignment="1">
      <alignment horizontal="center" wrapText="1"/>
    </xf>
    <xf numFmtId="0" fontId="6" fillId="8" borderId="39" xfId="9" applyFont="1" applyBorder="1" applyAlignment="1">
      <alignment horizontal="center" wrapText="1"/>
    </xf>
    <xf numFmtId="0" fontId="6" fillId="13" borderId="26" xfId="8" applyFont="1" applyFill="1" applyBorder="1" applyAlignment="1">
      <alignment horizontal="center" wrapText="1"/>
    </xf>
    <xf numFmtId="0" fontId="6" fillId="13" borderId="29" xfId="8" applyFont="1" applyFill="1" applyBorder="1" applyAlignment="1">
      <alignment horizontal="center" wrapText="1"/>
    </xf>
    <xf numFmtId="0" fontId="6" fillId="13" borderId="27" xfId="8" applyFont="1" applyFill="1" applyBorder="1" applyAlignment="1">
      <alignment horizontal="center" wrapText="1"/>
    </xf>
    <xf numFmtId="0" fontId="6" fillId="10" borderId="3" xfId="11" applyFont="1" applyBorder="1" applyAlignment="1">
      <alignment horizontal="center" vertical="center" wrapText="1"/>
    </xf>
    <xf numFmtId="0" fontId="6" fillId="10" borderId="11" xfId="11" applyFont="1" applyBorder="1" applyAlignment="1">
      <alignment horizontal="center" vertical="center" wrapText="1"/>
    </xf>
    <xf numFmtId="0" fontId="6" fillId="10" borderId="4" xfId="11" applyFont="1" applyBorder="1" applyAlignment="1">
      <alignment horizontal="center" vertical="center" wrapText="1"/>
    </xf>
    <xf numFmtId="0" fontId="6" fillId="10" borderId="17" xfId="11" applyFont="1" applyBorder="1" applyAlignment="1">
      <alignment horizontal="center" vertical="center" wrapText="1"/>
    </xf>
    <xf numFmtId="0" fontId="6" fillId="10" borderId="5" xfId="11" applyFont="1" applyBorder="1" applyAlignment="1">
      <alignment horizontal="center" vertical="center" wrapText="1"/>
    </xf>
    <xf numFmtId="0" fontId="6" fillId="29" borderId="3" xfId="20" applyFont="1" applyBorder="1" applyAlignment="1">
      <alignment horizontal="center" vertical="center"/>
    </xf>
    <xf numFmtId="0" fontId="6" fillId="29" borderId="11" xfId="20" applyFont="1" applyBorder="1" applyAlignment="1">
      <alignment horizontal="center" vertical="center"/>
    </xf>
    <xf numFmtId="0" fontId="6" fillId="29" borderId="4" xfId="20" applyFont="1" applyBorder="1" applyAlignment="1">
      <alignment horizontal="center" vertical="center"/>
    </xf>
    <xf numFmtId="0" fontId="6" fillId="29" borderId="5" xfId="20" applyFont="1" applyBorder="1" applyAlignment="1">
      <alignment horizontal="center" vertical="center"/>
    </xf>
    <xf numFmtId="0" fontId="6" fillId="10" borderId="51" xfId="11" applyFont="1" applyBorder="1" applyAlignment="1">
      <alignment horizontal="center" wrapText="1"/>
    </xf>
    <xf numFmtId="0" fontId="6" fillId="10" borderId="39" xfId="11" applyFont="1" applyBorder="1" applyAlignment="1">
      <alignment horizontal="center" wrapText="1"/>
    </xf>
    <xf numFmtId="0" fontId="6" fillId="10" borderId="55" xfId="11" applyFont="1" applyBorder="1" applyAlignment="1">
      <alignment horizontal="center" wrapText="1"/>
    </xf>
    <xf numFmtId="0" fontId="6" fillId="10" borderId="56" xfId="11" applyFont="1" applyBorder="1" applyAlignment="1">
      <alignment horizontal="center" wrapText="1"/>
    </xf>
    <xf numFmtId="0" fontId="6" fillId="29" borderId="51" xfId="20" applyFont="1" applyBorder="1" applyAlignment="1">
      <alignment horizontal="center" wrapText="1"/>
    </xf>
    <xf numFmtId="0" fontId="6" fillId="29" borderId="39" xfId="20" applyFont="1" applyBorder="1" applyAlignment="1">
      <alignment horizontal="center" wrapText="1"/>
    </xf>
    <xf numFmtId="0" fontId="6" fillId="29" borderId="54" xfId="20" applyFont="1" applyBorder="1" applyAlignment="1">
      <alignment horizontal="center" wrapText="1"/>
    </xf>
    <xf numFmtId="0" fontId="6" fillId="29" borderId="38" xfId="20" applyFont="1" applyBorder="1" applyAlignment="1">
      <alignment horizontal="center" wrapText="1"/>
    </xf>
    <xf numFmtId="0" fontId="6" fillId="29" borderId="54" xfId="20" applyFont="1" applyBorder="1" applyAlignment="1" applyProtection="1">
      <alignment horizontal="center" wrapText="1"/>
    </xf>
    <xf numFmtId="0" fontId="6" fillId="29" borderId="38" xfId="20" applyFont="1" applyBorder="1" applyAlignment="1" applyProtection="1">
      <alignment horizontal="center" wrapText="1"/>
    </xf>
    <xf numFmtId="0" fontId="6" fillId="29" borderId="55" xfId="20" applyFont="1" applyBorder="1" applyAlignment="1">
      <alignment horizontal="center" wrapText="1"/>
    </xf>
    <xf numFmtId="0" fontId="6" fillId="29" borderId="56" xfId="20" applyFont="1" applyBorder="1" applyAlignment="1">
      <alignment horizontal="center" wrapText="1"/>
    </xf>
    <xf numFmtId="0" fontId="6" fillId="10" borderId="20" xfId="11" applyFont="1" applyBorder="1" applyAlignment="1">
      <alignment horizontal="center" vertical="center" wrapText="1"/>
    </xf>
    <xf numFmtId="0" fontId="6" fillId="10" borderId="50" xfId="11" applyFont="1" applyBorder="1" applyAlignment="1">
      <alignment horizontal="center" vertical="center" wrapText="1"/>
    </xf>
    <xf numFmtId="0" fontId="6" fillId="9" borderId="54" xfId="10" applyFont="1" applyBorder="1" applyAlignment="1">
      <alignment horizontal="center" wrapText="1"/>
    </xf>
    <xf numFmtId="0" fontId="6" fillId="9" borderId="38" xfId="10" applyFont="1" applyBorder="1" applyAlignment="1">
      <alignment horizontal="center" wrapText="1"/>
    </xf>
    <xf numFmtId="0" fontId="99" fillId="0" borderId="2" xfId="0" applyFont="1" applyBorder="1" applyAlignment="1">
      <alignment horizontal="left"/>
    </xf>
    <xf numFmtId="0" fontId="6" fillId="6" borderId="2" xfId="7" applyFont="1" applyBorder="1" applyAlignment="1" applyProtection="1">
      <alignment horizontal="center" vertical="center" wrapText="1"/>
    </xf>
    <xf numFmtId="0" fontId="6" fillId="10" borderId="54" xfId="11" applyFont="1" applyBorder="1" applyAlignment="1">
      <alignment horizontal="center" wrapText="1"/>
    </xf>
    <xf numFmtId="0" fontId="6" fillId="10" borderId="38" xfId="11" applyFont="1" applyBorder="1" applyAlignment="1">
      <alignment horizontal="center" wrapText="1"/>
    </xf>
    <xf numFmtId="0" fontId="6" fillId="6" borderId="2" xfId="7" applyFont="1" applyBorder="1" applyAlignment="1" applyProtection="1">
      <alignment horizontal="center" wrapText="1"/>
    </xf>
    <xf numFmtId="0" fontId="6" fillId="6" borderId="9" xfId="7" applyFont="1" applyBorder="1" applyAlignment="1" applyProtection="1">
      <alignment horizontal="center" wrapText="1"/>
    </xf>
    <xf numFmtId="0" fontId="99" fillId="0" borderId="79" xfId="0" applyFont="1" applyBorder="1" applyAlignment="1">
      <alignment horizontal="right" wrapText="1"/>
    </xf>
    <xf numFmtId="0" fontId="99" fillId="0" borderId="0" xfId="0" applyFont="1" applyAlignment="1">
      <alignment horizontal="right" wrapText="1"/>
    </xf>
    <xf numFmtId="0" fontId="6" fillId="8" borderId="5" xfId="9" applyFont="1" applyBorder="1" applyAlignment="1">
      <alignment horizontal="center" wrapText="1"/>
    </xf>
    <xf numFmtId="0" fontId="6" fillId="8" borderId="7" xfId="9" applyFont="1" applyBorder="1" applyAlignment="1">
      <alignment horizontal="center" wrapText="1"/>
    </xf>
    <xf numFmtId="0" fontId="6" fillId="8" borderId="10" xfId="9" applyFont="1" applyBorder="1" applyAlignment="1">
      <alignment horizontal="center" wrapText="1"/>
    </xf>
    <xf numFmtId="0" fontId="6" fillId="9" borderId="3" xfId="10" applyFont="1" applyBorder="1" applyAlignment="1">
      <alignment horizontal="center" vertical="center"/>
    </xf>
    <xf numFmtId="0" fontId="6" fillId="9" borderId="4" xfId="10" applyFont="1" applyBorder="1" applyAlignment="1">
      <alignment horizontal="center" vertical="center"/>
    </xf>
    <xf numFmtId="0" fontId="6" fillId="9" borderId="17" xfId="10" applyFont="1" applyBorder="1" applyAlignment="1">
      <alignment horizontal="center" vertical="center"/>
    </xf>
    <xf numFmtId="0" fontId="6" fillId="9" borderId="5" xfId="10" applyFont="1" applyBorder="1" applyAlignment="1">
      <alignment horizontal="center" vertical="center"/>
    </xf>
    <xf numFmtId="0" fontId="6" fillId="49" borderId="53" xfId="11" applyFont="1" applyFill="1" applyBorder="1" applyAlignment="1">
      <alignment horizontal="center" wrapText="1"/>
    </xf>
    <xf numFmtId="0" fontId="6" fillId="49" borderId="57" xfId="11" applyFont="1" applyFill="1" applyBorder="1" applyAlignment="1">
      <alignment horizontal="center" wrapText="1"/>
    </xf>
    <xf numFmtId="0" fontId="6" fillId="49" borderId="58" xfId="11" applyFont="1" applyFill="1" applyBorder="1" applyAlignment="1">
      <alignment horizontal="center" wrapText="1"/>
    </xf>
    <xf numFmtId="0" fontId="6" fillId="8" borderId="4" xfId="9" applyFont="1" applyBorder="1" applyAlignment="1">
      <alignment horizontal="center" wrapText="1"/>
    </xf>
    <xf numFmtId="0" fontId="6" fillId="8" borderId="2" xfId="9" applyFont="1" applyBorder="1" applyAlignment="1">
      <alignment horizontal="center" wrapText="1"/>
    </xf>
    <xf numFmtId="0" fontId="6" fillId="8" borderId="9" xfId="9" applyFont="1" applyBorder="1" applyAlignment="1">
      <alignment horizontal="center" wrapText="1"/>
    </xf>
    <xf numFmtId="0" fontId="6" fillId="6" borderId="53" xfId="7" applyFont="1" applyBorder="1" applyAlignment="1">
      <alignment horizontal="center" vertical="center"/>
    </xf>
    <xf numFmtId="0" fontId="6" fillId="6" borderId="52" xfId="7" applyFont="1" applyBorder="1" applyAlignment="1">
      <alignment horizontal="center" vertical="center"/>
    </xf>
    <xf numFmtId="0" fontId="6" fillId="6" borderId="25" xfId="7" applyFont="1" applyBorder="1" applyAlignment="1">
      <alignment horizontal="center" vertical="center"/>
    </xf>
    <xf numFmtId="0" fontId="6" fillId="6" borderId="6" xfId="7" applyFont="1" applyBorder="1" applyAlignment="1">
      <alignment horizontal="center" vertical="center"/>
    </xf>
    <xf numFmtId="0" fontId="6" fillId="6" borderId="2" xfId="7" applyFont="1" applyBorder="1" applyAlignment="1">
      <alignment horizontal="center" vertical="center"/>
    </xf>
    <xf numFmtId="0" fontId="6" fillId="6" borderId="55" xfId="7" applyFont="1" applyBorder="1" applyAlignment="1">
      <alignment horizontal="center" wrapText="1"/>
    </xf>
    <xf numFmtId="0" fontId="6" fillId="6" borderId="56" xfId="7" applyFont="1" applyBorder="1" applyAlignment="1">
      <alignment horizontal="center" wrapText="1"/>
    </xf>
    <xf numFmtId="0" fontId="6" fillId="9" borderId="55" xfId="10" applyFont="1" applyBorder="1" applyAlignment="1">
      <alignment horizontal="center" wrapText="1"/>
    </xf>
    <xf numFmtId="0" fontId="6" fillId="9" borderId="56" xfId="10" applyFont="1" applyBorder="1" applyAlignment="1">
      <alignment horizontal="center" wrapText="1"/>
    </xf>
    <xf numFmtId="0" fontId="6" fillId="10" borderId="2" xfId="11" applyFont="1" applyBorder="1" applyAlignment="1">
      <alignment horizontal="center" wrapText="1"/>
    </xf>
    <xf numFmtId="0" fontId="6" fillId="10" borderId="9" xfId="11" applyFont="1" applyBorder="1" applyAlignment="1">
      <alignment horizontal="center" wrapText="1"/>
    </xf>
    <xf numFmtId="0" fontId="6" fillId="9" borderId="51" xfId="10" applyFont="1" applyBorder="1" applyAlignment="1">
      <alignment horizontal="center" wrapText="1"/>
    </xf>
    <xf numFmtId="0" fontId="6" fillId="9" borderId="39" xfId="10" applyFont="1" applyBorder="1" applyAlignment="1">
      <alignment horizontal="center" wrapText="1"/>
    </xf>
    <xf numFmtId="0" fontId="6" fillId="8" borderId="21" xfId="9" applyFont="1" applyBorder="1" applyAlignment="1">
      <alignment horizontal="center" wrapText="1"/>
    </xf>
    <xf numFmtId="0" fontId="6" fillId="8" borderId="22" xfId="9" applyFont="1" applyBorder="1" applyAlignment="1">
      <alignment horizontal="center" wrapText="1"/>
    </xf>
    <xf numFmtId="0" fontId="6" fillId="10" borderId="26" xfId="11" applyFont="1" applyBorder="1" applyAlignment="1">
      <alignment horizontal="center" wrapText="1"/>
    </xf>
    <xf numFmtId="0" fontId="6" fillId="10" borderId="27" xfId="11" applyFont="1" applyBorder="1" applyAlignment="1">
      <alignment horizontal="center" wrapText="1"/>
    </xf>
    <xf numFmtId="0" fontId="6" fillId="3" borderId="11" xfId="4" applyFont="1" applyBorder="1" applyAlignment="1">
      <alignment horizontal="center" vertical="center"/>
    </xf>
    <xf numFmtId="0" fontId="6" fillId="3" borderId="4" xfId="4" applyFont="1" applyBorder="1" applyAlignment="1">
      <alignment horizontal="center" vertical="center"/>
    </xf>
    <xf numFmtId="0" fontId="6" fillId="3" borderId="17" xfId="4" applyFont="1" applyBorder="1" applyAlignment="1">
      <alignment horizontal="center" vertical="center"/>
    </xf>
    <xf numFmtId="0" fontId="6" fillId="3" borderId="5" xfId="4" applyFont="1" applyBorder="1" applyAlignment="1">
      <alignment horizontal="center" vertical="center"/>
    </xf>
    <xf numFmtId="0" fontId="6" fillId="8" borderId="33" xfId="9" applyFont="1" applyBorder="1" applyAlignment="1">
      <alignment horizontal="center" wrapText="1"/>
    </xf>
    <xf numFmtId="0" fontId="6" fillId="8" borderId="38" xfId="9" applyFont="1" applyBorder="1" applyAlignment="1">
      <alignment horizontal="center" wrapText="1"/>
    </xf>
    <xf numFmtId="0" fontId="6" fillId="13" borderId="40" xfId="8" applyFont="1" applyFill="1" applyBorder="1" applyAlignment="1">
      <alignment horizontal="center" wrapText="1"/>
    </xf>
    <xf numFmtId="0" fontId="6" fillId="13" borderId="41" xfId="8" applyFont="1" applyFill="1" applyBorder="1" applyAlignment="1">
      <alignment horizontal="center" wrapText="1"/>
    </xf>
    <xf numFmtId="0" fontId="6" fillId="5" borderId="3" xfId="6" applyFont="1" applyBorder="1" applyAlignment="1">
      <alignment horizontal="center" vertical="center"/>
    </xf>
    <xf numFmtId="0" fontId="6" fillId="5" borderId="11" xfId="6" applyFont="1" applyBorder="1" applyAlignment="1">
      <alignment horizontal="center" vertical="center"/>
    </xf>
    <xf numFmtId="0" fontId="6" fillId="5" borderId="4" xfId="6" applyFont="1" applyBorder="1" applyAlignment="1">
      <alignment horizontal="center" vertical="center"/>
    </xf>
    <xf numFmtId="0" fontId="6" fillId="5" borderId="5" xfId="6" applyFont="1" applyBorder="1" applyAlignment="1">
      <alignment horizontal="center" vertical="center"/>
    </xf>
    <xf numFmtId="0" fontId="8" fillId="11" borderId="32" xfId="14" applyFont="1" applyBorder="1" applyAlignment="1">
      <alignment horizontal="center" vertical="center"/>
    </xf>
    <xf numFmtId="0" fontId="8" fillId="11" borderId="42" xfId="14" applyFont="1" applyBorder="1" applyAlignment="1">
      <alignment horizontal="center" vertical="center"/>
    </xf>
    <xf numFmtId="0" fontId="8" fillId="11" borderId="33" xfId="14" applyFont="1" applyBorder="1" applyAlignment="1">
      <alignment horizontal="center" vertical="center"/>
    </xf>
    <xf numFmtId="0" fontId="8" fillId="11" borderId="34" xfId="14" applyFont="1" applyBorder="1" applyAlignment="1">
      <alignment horizontal="center" vertical="center"/>
    </xf>
    <xf numFmtId="0" fontId="6" fillId="12" borderId="3" xfId="15" applyFont="1" applyBorder="1" applyAlignment="1">
      <alignment horizontal="center" vertical="center" wrapText="1"/>
    </xf>
    <xf numFmtId="0" fontId="6" fillId="12" borderId="4" xfId="15" applyFont="1" applyBorder="1" applyAlignment="1">
      <alignment horizontal="center" vertical="center" wrapText="1"/>
    </xf>
    <xf numFmtId="0" fontId="6" fillId="12" borderId="5" xfId="15" applyFont="1" applyBorder="1" applyAlignment="1">
      <alignment horizontal="center" vertical="center" wrapText="1"/>
    </xf>
    <xf numFmtId="0" fontId="6" fillId="6" borderId="32" xfId="7" applyFont="1" applyBorder="1" applyAlignment="1">
      <alignment horizontal="center" vertical="center"/>
    </xf>
    <xf numFmtId="0" fontId="6" fillId="6" borderId="42" xfId="7" applyFont="1" applyBorder="1" applyAlignment="1">
      <alignment horizontal="center" vertical="center"/>
    </xf>
    <xf numFmtId="0" fontId="6" fillId="6" borderId="33" xfId="7" applyFont="1" applyBorder="1" applyAlignment="1">
      <alignment horizontal="center" vertical="center"/>
    </xf>
    <xf numFmtId="0" fontId="6" fillId="6" borderId="34" xfId="7" applyFont="1" applyBorder="1" applyAlignment="1">
      <alignment horizontal="center" vertical="center"/>
    </xf>
    <xf numFmtId="0" fontId="6" fillId="9" borderId="11" xfId="10" applyFont="1" applyBorder="1" applyAlignment="1">
      <alignment horizontal="center" vertical="center"/>
    </xf>
    <xf numFmtId="0" fontId="6" fillId="13" borderId="5" xfId="8" applyFont="1" applyFill="1" applyBorder="1" applyAlignment="1">
      <alignment horizontal="center" wrapText="1"/>
    </xf>
    <xf numFmtId="0" fontId="6" fillId="13" borderId="10" xfId="8" applyFont="1" applyFill="1" applyBorder="1" applyAlignment="1">
      <alignment horizontal="center" wrapText="1"/>
    </xf>
    <xf numFmtId="0" fontId="6" fillId="8" borderId="3" xfId="9" applyFont="1" applyBorder="1" applyAlignment="1">
      <alignment horizontal="center" wrapText="1"/>
    </xf>
    <xf numFmtId="0" fontId="6" fillId="8" borderId="8" xfId="9" applyFont="1" applyBorder="1" applyAlignment="1">
      <alignment horizontal="center" wrapText="1"/>
    </xf>
    <xf numFmtId="0" fontId="6" fillId="3" borderId="3" xfId="4" applyFont="1" applyBorder="1" applyAlignment="1">
      <alignment horizontal="center" vertical="center"/>
    </xf>
    <xf numFmtId="0" fontId="6" fillId="5" borderId="17" xfId="6" applyFont="1" applyBorder="1" applyAlignment="1">
      <alignment horizontal="center" vertical="center"/>
    </xf>
    <xf numFmtId="0" fontId="6" fillId="14" borderId="3" xfId="16" applyFont="1" applyBorder="1" applyAlignment="1">
      <alignment horizontal="center" vertical="center"/>
    </xf>
    <xf numFmtId="0" fontId="6" fillId="14" borderId="4" xfId="16" applyFont="1" applyBorder="1" applyAlignment="1">
      <alignment horizontal="center" vertical="center"/>
    </xf>
    <xf numFmtId="0" fontId="6" fillId="14" borderId="5" xfId="16" applyFont="1" applyBorder="1" applyAlignment="1">
      <alignment horizontal="center" vertical="center"/>
    </xf>
    <xf numFmtId="0" fontId="6" fillId="6" borderId="3" xfId="7" applyFont="1" applyBorder="1" applyAlignment="1">
      <alignment horizontal="center" vertical="center"/>
    </xf>
    <xf numFmtId="0" fontId="6" fillId="6" borderId="11" xfId="7" applyFont="1" applyBorder="1" applyAlignment="1">
      <alignment horizontal="center" vertical="center"/>
    </xf>
    <xf numFmtId="0" fontId="6" fillId="6" borderId="4" xfId="7" applyFont="1" applyBorder="1" applyAlignment="1">
      <alignment horizontal="center" vertical="center"/>
    </xf>
    <xf numFmtId="0" fontId="6" fillId="6" borderId="17" xfId="7" applyFont="1" applyBorder="1" applyAlignment="1">
      <alignment horizontal="center" vertical="center"/>
    </xf>
    <xf numFmtId="0" fontId="6" fillId="13" borderId="47" xfId="8" applyFont="1" applyFill="1" applyBorder="1" applyAlignment="1">
      <alignment horizontal="center" wrapText="1"/>
    </xf>
    <xf numFmtId="0" fontId="6" fillId="4" borderId="3" xfId="5" applyFont="1" applyBorder="1" applyAlignment="1">
      <alignment horizontal="center" vertical="center"/>
    </xf>
    <xf numFmtId="0" fontId="6" fillId="4" borderId="4" xfId="5" applyFont="1" applyBorder="1" applyAlignment="1">
      <alignment horizontal="center" vertical="center"/>
    </xf>
    <xf numFmtId="0" fontId="6" fillId="4" borderId="17" xfId="5" applyFont="1" applyBorder="1" applyAlignment="1">
      <alignment horizontal="center" vertical="center"/>
    </xf>
    <xf numFmtId="0" fontId="6" fillId="4" borderId="5" xfId="5" applyFont="1" applyBorder="1" applyAlignment="1">
      <alignment horizontal="center" vertical="center"/>
    </xf>
    <xf numFmtId="0" fontId="6" fillId="6" borderId="40" xfId="7" applyFont="1" applyBorder="1" applyAlignment="1">
      <alignment horizontal="center" vertical="center"/>
    </xf>
    <xf numFmtId="167" fontId="3" fillId="5" borderId="2" xfId="6" applyNumberFormat="1" applyBorder="1" applyAlignment="1" applyProtection="1">
      <alignment horizontal="center" wrapText="1"/>
      <protection locked="0"/>
    </xf>
    <xf numFmtId="0" fontId="6" fillId="6" borderId="20" xfId="7" applyFont="1" applyBorder="1" applyAlignment="1" applyProtection="1">
      <alignment horizontal="center" wrapText="1"/>
    </xf>
    <xf numFmtId="0" fontId="6" fillId="6" borderId="50" xfId="7" applyFont="1" applyBorder="1" applyAlignment="1" applyProtection="1">
      <alignment horizontal="center" wrapText="1"/>
    </xf>
    <xf numFmtId="0" fontId="6" fillId="6" borderId="2" xfId="7" applyFont="1" applyBorder="1" applyAlignment="1">
      <alignment horizontal="center" wrapText="1"/>
    </xf>
    <xf numFmtId="0" fontId="6" fillId="6" borderId="20" xfId="7" applyFont="1" applyBorder="1" applyAlignment="1">
      <alignment horizontal="center" wrapText="1"/>
    </xf>
    <xf numFmtId="0" fontId="6" fillId="6" borderId="18" xfId="7" applyFont="1" applyBorder="1" applyAlignment="1">
      <alignment horizontal="center" wrapText="1"/>
    </xf>
    <xf numFmtId="0" fontId="6" fillId="4" borderId="64" xfId="5" applyFont="1" applyBorder="1" applyAlignment="1">
      <alignment horizontal="center" vertical="center" wrapText="1"/>
    </xf>
    <xf numFmtId="0" fontId="6" fillId="4" borderId="79" xfId="5" applyFont="1" applyBorder="1" applyAlignment="1">
      <alignment horizontal="center" vertical="center" wrapText="1"/>
    </xf>
    <xf numFmtId="0" fontId="6" fillId="4" borderId="71" xfId="5" applyFont="1" applyBorder="1" applyAlignment="1">
      <alignment horizontal="center" vertical="center" wrapText="1"/>
    </xf>
    <xf numFmtId="0" fontId="6" fillId="4" borderId="54" xfId="5" applyFont="1" applyBorder="1" applyAlignment="1">
      <alignment horizontal="center" wrapText="1"/>
    </xf>
    <xf numFmtId="0" fontId="6" fillId="4" borderId="38" xfId="5" applyFont="1" applyBorder="1" applyAlignment="1">
      <alignment horizontal="center" wrapText="1"/>
    </xf>
    <xf numFmtId="0" fontId="6" fillId="4" borderId="55" xfId="5" applyFont="1" applyBorder="1" applyAlignment="1">
      <alignment horizontal="center" wrapText="1"/>
    </xf>
    <xf numFmtId="0" fontId="6" fillId="4" borderId="56" xfId="5" applyFont="1" applyBorder="1" applyAlignment="1">
      <alignment horizontal="center" wrapText="1"/>
    </xf>
    <xf numFmtId="0" fontId="6" fillId="10" borderId="29" xfId="11" applyFont="1" applyBorder="1" applyAlignment="1">
      <alignment horizontal="center" wrapText="1"/>
    </xf>
    <xf numFmtId="0" fontId="6" fillId="8" borderId="29" xfId="9" applyFont="1" applyBorder="1" applyAlignment="1">
      <alignment horizontal="center" wrapText="1"/>
    </xf>
    <xf numFmtId="0" fontId="6" fillId="6" borderId="6" xfId="7" applyFont="1" applyBorder="1" applyAlignment="1">
      <alignment horizontal="center" wrapText="1"/>
    </xf>
    <xf numFmtId="0" fontId="6" fillId="9" borderId="45" xfId="10" applyFont="1" applyBorder="1" applyAlignment="1">
      <alignment horizontal="center" wrapText="1"/>
    </xf>
    <xf numFmtId="0" fontId="6" fillId="9" borderId="46" xfId="10" applyFont="1" applyBorder="1" applyAlignment="1">
      <alignment horizontal="center" wrapText="1"/>
    </xf>
    <xf numFmtId="0" fontId="6" fillId="9" borderId="47" xfId="10" applyFont="1" applyBorder="1" applyAlignment="1">
      <alignment horizontal="center" wrapText="1"/>
    </xf>
    <xf numFmtId="0" fontId="6" fillId="25" borderId="2" xfId="0" applyFont="1" applyFill="1" applyBorder="1" applyAlignment="1" applyProtection="1">
      <alignment horizontal="center" vertical="center"/>
      <protection locked="0"/>
    </xf>
    <xf numFmtId="0" fontId="6" fillId="25" borderId="20" xfId="0" applyFont="1" applyFill="1" applyBorder="1" applyAlignment="1" applyProtection="1">
      <alignment horizontal="center" vertical="center"/>
      <protection locked="0"/>
    </xf>
    <xf numFmtId="0" fontId="6" fillId="25" borderId="12" xfId="0" applyFont="1" applyFill="1" applyBorder="1" applyAlignment="1" applyProtection="1">
      <alignment horizontal="center" vertical="center"/>
      <protection locked="0"/>
    </xf>
    <xf numFmtId="0" fontId="28" fillId="2" borderId="68" xfId="3" applyFont="1" applyBorder="1" applyAlignment="1">
      <alignment horizontal="center" vertical="center"/>
    </xf>
    <xf numFmtId="0" fontId="28" fillId="2" borderId="69" xfId="3" applyFont="1" applyBorder="1" applyAlignment="1">
      <alignment horizontal="center" vertical="center"/>
    </xf>
    <xf numFmtId="0" fontId="28" fillId="2" borderId="70" xfId="3" applyFont="1" applyBorder="1" applyAlignment="1">
      <alignment horizontal="center" vertical="center"/>
    </xf>
    <xf numFmtId="0" fontId="6" fillId="10" borderId="5" xfId="11" applyFont="1" applyBorder="1" applyAlignment="1" applyProtection="1">
      <alignment horizontal="center" vertical="center" wrapText="1"/>
    </xf>
    <xf numFmtId="0" fontId="6" fillId="10" borderId="10" xfId="11" applyFont="1" applyBorder="1" applyAlignment="1" applyProtection="1">
      <alignment horizontal="center" vertical="center" wrapText="1"/>
    </xf>
    <xf numFmtId="0" fontId="6" fillId="8" borderId="3" xfId="9" applyFont="1" applyBorder="1" applyAlignment="1" applyProtection="1">
      <alignment horizontal="center" vertical="center" wrapText="1"/>
    </xf>
    <xf numFmtId="0" fontId="6" fillId="8" borderId="8" xfId="9" applyFont="1" applyBorder="1" applyAlignment="1" applyProtection="1">
      <alignment horizontal="center" vertical="center" wrapText="1"/>
    </xf>
    <xf numFmtId="0" fontId="6" fillId="13" borderId="5" xfId="9" applyFont="1" applyFill="1" applyBorder="1" applyAlignment="1" applyProtection="1">
      <alignment horizontal="center" vertical="center" wrapText="1"/>
    </xf>
    <xf numFmtId="0" fontId="6" fillId="13" borderId="10" xfId="9" applyFont="1" applyFill="1" applyBorder="1" applyAlignment="1" applyProtection="1">
      <alignment horizontal="center" vertical="center" wrapText="1"/>
    </xf>
    <xf numFmtId="0" fontId="6" fillId="4" borderId="11" xfId="5" applyFont="1" applyBorder="1" applyAlignment="1" applyProtection="1">
      <alignment horizontal="center" vertical="center" wrapText="1"/>
    </xf>
    <xf numFmtId="0" fontId="6" fillId="4" borderId="13" xfId="5" applyFont="1" applyBorder="1" applyAlignment="1" applyProtection="1">
      <alignment horizontal="center" vertical="center" wrapText="1"/>
    </xf>
    <xf numFmtId="0" fontId="6" fillId="6" borderId="4" xfId="7" applyFont="1" applyBorder="1" applyAlignment="1" applyProtection="1">
      <alignment horizontal="center" vertical="center" wrapText="1"/>
    </xf>
    <xf numFmtId="0" fontId="6" fillId="6" borderId="9" xfId="7" applyFont="1" applyBorder="1" applyAlignment="1" applyProtection="1">
      <alignment horizontal="center" vertical="center" wrapText="1"/>
    </xf>
    <xf numFmtId="0" fontId="20" fillId="8" borderId="60" xfId="9" applyFont="1" applyBorder="1" applyAlignment="1" applyProtection="1">
      <alignment horizontal="center" vertical="center" wrapText="1"/>
    </xf>
    <xf numFmtId="0" fontId="20" fillId="8" borderId="59" xfId="9" applyFont="1" applyBorder="1" applyAlignment="1" applyProtection="1">
      <alignment horizontal="center" vertical="center" wrapText="1"/>
    </xf>
    <xf numFmtId="0" fontId="20" fillId="8" borderId="25" xfId="9" applyFont="1" applyBorder="1" applyAlignment="1" applyProtection="1">
      <alignment horizontal="center" vertical="center" wrapText="1"/>
    </xf>
    <xf numFmtId="0" fontId="0" fillId="25" borderId="63" xfId="0" applyFill="1" applyBorder="1" applyAlignment="1" applyProtection="1">
      <alignment horizontal="right" vertical="center"/>
      <protection locked="0"/>
    </xf>
    <xf numFmtId="0" fontId="0" fillId="25" borderId="97" xfId="0" applyFill="1" applyBorder="1" applyAlignment="1" applyProtection="1">
      <alignment horizontal="right" vertical="center"/>
      <protection locked="0"/>
    </xf>
    <xf numFmtId="0" fontId="0" fillId="25" borderId="11" xfId="0" applyFill="1" applyBorder="1" applyAlignment="1" applyProtection="1">
      <alignment horizontal="right" vertical="center"/>
      <protection locked="0"/>
    </xf>
    <xf numFmtId="0" fontId="6" fillId="25" borderId="6" xfId="0" applyFont="1" applyFill="1" applyBorder="1" applyAlignment="1" applyProtection="1">
      <alignment horizontal="center" vertical="center"/>
      <protection locked="0"/>
    </xf>
    <xf numFmtId="0" fontId="62" fillId="38" borderId="0" xfId="22" applyFont="1" applyAlignment="1">
      <alignment horizontal="left"/>
    </xf>
    <xf numFmtId="0" fontId="0" fillId="0" borderId="53" xfId="0" applyBorder="1" applyAlignment="1">
      <alignment horizontal="center"/>
    </xf>
    <xf numFmtId="0" fontId="0" fillId="0" borderId="52" xfId="0" applyBorder="1" applyAlignment="1">
      <alignment horizontal="center"/>
    </xf>
    <xf numFmtId="0" fontId="0" fillId="0" borderId="80" xfId="0" applyBorder="1" applyAlignment="1">
      <alignment horizontal="center"/>
    </xf>
    <xf numFmtId="0" fontId="0" fillId="0" borderId="49" xfId="0" applyBorder="1" applyAlignment="1">
      <alignment horizontal="center"/>
    </xf>
    <xf numFmtId="0" fontId="0" fillId="0" borderId="60" xfId="0" applyBorder="1" applyAlignment="1">
      <alignment horizontal="center"/>
    </xf>
    <xf numFmtId="0" fontId="0" fillId="0" borderId="59" xfId="0" applyBorder="1" applyAlignment="1">
      <alignment horizontal="center"/>
    </xf>
    <xf numFmtId="0" fontId="0" fillId="0" borderId="61" xfId="0" applyBorder="1" applyAlignment="1">
      <alignment horizontal="center"/>
    </xf>
    <xf numFmtId="0" fontId="5" fillId="0" borderId="57" xfId="0" applyFont="1" applyBorder="1" applyAlignment="1">
      <alignment horizontal="left" vertical="top" wrapText="1"/>
    </xf>
    <xf numFmtId="0" fontId="6" fillId="6" borderId="4" xfId="7" applyFont="1" applyBorder="1" applyAlignment="1" applyProtection="1">
      <alignment horizontal="center" wrapText="1"/>
    </xf>
    <xf numFmtId="0" fontId="6" fillId="10" borderId="5" xfId="11" applyFont="1" applyBorder="1" applyAlignment="1" applyProtection="1">
      <alignment horizontal="center" wrapText="1"/>
    </xf>
    <xf numFmtId="0" fontId="6" fillId="10" borderId="10" xfId="11" applyFont="1" applyBorder="1" applyAlignment="1" applyProtection="1">
      <alignment horizontal="center" wrapText="1"/>
    </xf>
    <xf numFmtId="0" fontId="6" fillId="13" borderId="5" xfId="9" applyFont="1" applyFill="1" applyBorder="1" applyAlignment="1" applyProtection="1">
      <alignment horizontal="center" wrapText="1"/>
    </xf>
    <xf numFmtId="0" fontId="6" fillId="13" borderId="10" xfId="9" applyFont="1" applyFill="1" applyBorder="1" applyAlignment="1" applyProtection="1">
      <alignment horizontal="center" wrapText="1"/>
    </xf>
    <xf numFmtId="0" fontId="6" fillId="4" borderId="11" xfId="5" applyFont="1" applyBorder="1" applyAlignment="1" applyProtection="1">
      <alignment horizontal="center" wrapText="1"/>
    </xf>
    <xf numFmtId="0" fontId="6" fillId="4" borderId="13" xfId="5" applyFont="1" applyBorder="1" applyAlignment="1" applyProtection="1">
      <alignment horizontal="center" wrapText="1"/>
    </xf>
    <xf numFmtId="0" fontId="6" fillId="13" borderId="4" xfId="9" applyFont="1" applyFill="1" applyBorder="1" applyAlignment="1" applyProtection="1">
      <alignment horizontal="center" vertical="center" wrapText="1"/>
    </xf>
    <xf numFmtId="0" fontId="6" fillId="13" borderId="9" xfId="9" applyFont="1" applyFill="1" applyBorder="1" applyAlignment="1" applyProtection="1">
      <alignment horizontal="center" vertical="center" wrapText="1"/>
    </xf>
    <xf numFmtId="0" fontId="6" fillId="4" borderId="5" xfId="5" applyFont="1" applyBorder="1" applyAlignment="1" applyProtection="1">
      <alignment horizontal="center" vertical="center" wrapText="1"/>
    </xf>
    <xf numFmtId="0" fontId="6" fillId="4" borderId="10" xfId="5" applyFont="1" applyBorder="1" applyAlignment="1" applyProtection="1">
      <alignment horizontal="center" vertical="center" wrapText="1"/>
    </xf>
    <xf numFmtId="0" fontId="6" fillId="6" borderId="11" xfId="7" applyFont="1" applyBorder="1" applyAlignment="1" applyProtection="1">
      <alignment horizontal="center" vertical="center" wrapText="1"/>
    </xf>
    <xf numFmtId="0" fontId="6" fillId="6" borderId="13" xfId="7" applyFont="1" applyBorder="1" applyAlignment="1" applyProtection="1">
      <alignment horizontal="center" vertical="center" wrapText="1"/>
    </xf>
    <xf numFmtId="0" fontId="6" fillId="10" borderId="4" xfId="11" applyFont="1" applyBorder="1" applyAlignment="1" applyProtection="1">
      <alignment horizontal="center" vertical="center" wrapText="1"/>
    </xf>
    <xf numFmtId="0" fontId="6" fillId="10" borderId="9" xfId="11" applyFont="1" applyBorder="1" applyAlignment="1" applyProtection="1">
      <alignment horizontal="center" vertical="center" wrapText="1"/>
    </xf>
    <xf numFmtId="0" fontId="6" fillId="63" borderId="5" xfId="3" applyFont="1" applyFill="1" applyBorder="1" applyAlignment="1" applyProtection="1">
      <alignment horizontal="center" vertical="center" wrapText="1"/>
    </xf>
    <xf numFmtId="0" fontId="6" fillId="63" borderId="10" xfId="3" applyFont="1" applyFill="1" applyBorder="1" applyAlignment="1" applyProtection="1">
      <alignment horizontal="center" vertical="center" wrapText="1"/>
    </xf>
    <xf numFmtId="0" fontId="6" fillId="2" borderId="67" xfId="3" applyFont="1" applyBorder="1" applyAlignment="1" applyProtection="1">
      <alignment horizontal="center" vertical="center"/>
    </xf>
    <xf numFmtId="0" fontId="6" fillId="2" borderId="59" xfId="3" applyFont="1" applyBorder="1" applyAlignment="1" applyProtection="1">
      <alignment horizontal="center" vertical="center"/>
    </xf>
    <xf numFmtId="0" fontId="6" fillId="8" borderId="17" xfId="9" applyFont="1" applyBorder="1" applyAlignment="1" applyProtection="1">
      <alignment horizontal="center" vertical="center" wrapText="1"/>
    </xf>
    <xf numFmtId="0" fontId="6" fillId="8" borderId="18" xfId="9" applyFont="1" applyBorder="1" applyAlignment="1" applyProtection="1">
      <alignment horizontal="center" vertical="center" wrapText="1"/>
    </xf>
    <xf numFmtId="0" fontId="6" fillId="8" borderId="4" xfId="9" applyFont="1" applyBorder="1" applyAlignment="1" applyProtection="1">
      <alignment horizontal="center" vertical="center" wrapText="1"/>
    </xf>
    <xf numFmtId="0" fontId="6" fillId="8" borderId="9" xfId="9" applyFont="1" applyBorder="1" applyAlignment="1" applyProtection="1">
      <alignment horizontal="center" vertical="center" wrapText="1"/>
    </xf>
    <xf numFmtId="0" fontId="6" fillId="8" borderId="5" xfId="9" applyFont="1" applyBorder="1" applyAlignment="1" applyProtection="1">
      <alignment horizontal="center" vertical="center" wrapText="1"/>
    </xf>
    <xf numFmtId="0" fontId="6" fillId="8" borderId="10" xfId="9" applyFont="1" applyBorder="1" applyAlignment="1" applyProtection="1">
      <alignment horizontal="center" vertical="center" wrapText="1"/>
    </xf>
    <xf numFmtId="0" fontId="6" fillId="62" borderId="5" xfId="9" applyFont="1" applyFill="1" applyBorder="1" applyAlignment="1" applyProtection="1">
      <alignment horizontal="center" vertical="center" wrapText="1"/>
    </xf>
    <xf numFmtId="0" fontId="6" fillId="62" borderId="10" xfId="9" applyFont="1" applyFill="1" applyBorder="1" applyAlignment="1" applyProtection="1">
      <alignment horizontal="center" vertical="center" wrapText="1"/>
    </xf>
    <xf numFmtId="0" fontId="6" fillId="55" borderId="4" xfId="9" applyFont="1" applyFill="1" applyBorder="1" applyAlignment="1" applyProtection="1">
      <alignment horizontal="center" vertical="center" wrapText="1"/>
    </xf>
    <xf numFmtId="0" fontId="6" fillId="55" borderId="9" xfId="9" applyFont="1" applyFill="1" applyBorder="1" applyAlignment="1" applyProtection="1">
      <alignment horizontal="center" vertical="center" wrapText="1"/>
    </xf>
    <xf numFmtId="0" fontId="6" fillId="62" borderId="4" xfId="9" applyFont="1" applyFill="1" applyBorder="1" applyAlignment="1" applyProtection="1">
      <alignment horizontal="center" vertical="center" wrapText="1"/>
    </xf>
    <xf numFmtId="0" fontId="6" fillId="62" borderId="9" xfId="9" applyFont="1" applyFill="1" applyBorder="1" applyAlignment="1" applyProtection="1">
      <alignment horizontal="center" vertical="center" wrapText="1"/>
    </xf>
    <xf numFmtId="0" fontId="20" fillId="13" borderId="92" xfId="0" applyFont="1" applyFill="1" applyBorder="1" applyAlignment="1">
      <alignment horizontal="center"/>
    </xf>
    <xf numFmtId="0" fontId="120" fillId="53" borderId="0" xfId="0" applyFont="1" applyFill="1" applyAlignment="1">
      <alignment horizontal="left" vertical="top" wrapText="1"/>
    </xf>
    <xf numFmtId="0" fontId="120" fillId="53" borderId="0" xfId="0" applyFont="1" applyFill="1" applyAlignment="1">
      <alignment horizontal="center"/>
    </xf>
    <xf numFmtId="0" fontId="120" fillId="53" borderId="0" xfId="26" applyFont="1" applyFill="1" applyAlignment="1">
      <alignment horizontal="left" vertical="top" wrapText="1"/>
    </xf>
    <xf numFmtId="0" fontId="120" fillId="53" borderId="0" xfId="26" applyFont="1" applyFill="1" applyAlignment="1">
      <alignment horizontal="center" vertical="top" wrapText="1"/>
    </xf>
    <xf numFmtId="0" fontId="0" fillId="13" borderId="3" xfId="0" applyFill="1" applyBorder="1" applyAlignment="1">
      <alignment horizontal="center"/>
    </xf>
    <xf numFmtId="0" fontId="0" fillId="13" borderId="4" xfId="0" applyFill="1" applyBorder="1" applyAlignment="1">
      <alignment horizontal="center"/>
    </xf>
    <xf numFmtId="0" fontId="0" fillId="13" borderId="5" xfId="0" applyFill="1" applyBorder="1" applyAlignment="1">
      <alignment horizontal="center"/>
    </xf>
    <xf numFmtId="0" fontId="0" fillId="13" borderId="21" xfId="0" applyFill="1" applyBorder="1" applyAlignment="1">
      <alignment horizontal="center"/>
    </xf>
    <xf numFmtId="0" fontId="0" fillId="13" borderId="22" xfId="0" applyFill="1" applyBorder="1" applyAlignment="1">
      <alignment horizontal="center"/>
    </xf>
    <xf numFmtId="0" fontId="0" fillId="0" borderId="8" xfId="0" applyBorder="1" applyAlignment="1">
      <alignment horizontal="left" wrapText="1"/>
    </xf>
    <xf numFmtId="0" fontId="0" fillId="0" borderId="9" xfId="0" applyBorder="1" applyAlignment="1">
      <alignment horizontal="left" wrapText="1"/>
    </xf>
    <xf numFmtId="0" fontId="0" fillId="0" borderId="10" xfId="0" applyBorder="1" applyAlignment="1">
      <alignment horizontal="left" wrapText="1"/>
    </xf>
    <xf numFmtId="0" fontId="0" fillId="0" borderId="35" xfId="0" applyBorder="1" applyAlignment="1">
      <alignment horizontal="center" vertical="center"/>
    </xf>
    <xf numFmtId="0" fontId="0" fillId="0" borderId="36" xfId="0" applyBorder="1" applyAlignment="1">
      <alignment horizontal="center" vertical="center"/>
    </xf>
    <xf numFmtId="0" fontId="0" fillId="0" borderId="37" xfId="0" applyBorder="1" applyAlignment="1">
      <alignment horizontal="center" vertical="center"/>
    </xf>
    <xf numFmtId="0" fontId="0" fillId="0" borderId="6" xfId="0" applyBorder="1" applyAlignment="1">
      <alignment horizontal="left" wrapText="1"/>
    </xf>
    <xf numFmtId="0" fontId="0" fillId="0" borderId="2" xfId="0" applyBorder="1" applyAlignment="1">
      <alignment horizontal="left" wrapText="1"/>
    </xf>
    <xf numFmtId="0" fontId="0" fillId="0" borderId="7" xfId="0" applyBorder="1" applyAlignment="1">
      <alignment horizontal="left" wrapText="1"/>
    </xf>
    <xf numFmtId="0" fontId="0" fillId="0" borderId="14" xfId="0" applyBorder="1" applyAlignment="1">
      <alignment horizontal="left" wrapText="1"/>
    </xf>
    <xf numFmtId="0" fontId="0" fillId="0" borderId="15" xfId="0" applyBorder="1" applyAlignment="1">
      <alignment horizontal="left" wrapText="1"/>
    </xf>
    <xf numFmtId="0" fontId="0" fillId="0" borderId="16" xfId="0" applyBorder="1" applyAlignment="1">
      <alignment horizontal="left" wrapText="1"/>
    </xf>
    <xf numFmtId="0" fontId="138" fillId="43" borderId="58" xfId="0" applyFont="1" applyFill="1" applyBorder="1" applyAlignment="1">
      <alignment horizontal="center" vertical="center"/>
    </xf>
    <xf numFmtId="0" fontId="138" fillId="43" borderId="92" xfId="0" applyFont="1" applyFill="1" applyBorder="1" applyAlignment="1">
      <alignment horizontal="center" vertical="center"/>
    </xf>
    <xf numFmtId="0" fontId="39" fillId="0" borderId="0" xfId="0" applyFont="1" applyAlignment="1">
      <alignment horizontal="center"/>
    </xf>
    <xf numFmtId="0" fontId="138" fillId="43" borderId="60" xfId="0" applyFont="1" applyFill="1" applyBorder="1" applyAlignment="1">
      <alignment horizontal="center" vertical="center"/>
    </xf>
    <xf numFmtId="0" fontId="138" fillId="43" borderId="59" xfId="0" applyFont="1" applyFill="1" applyBorder="1" applyAlignment="1">
      <alignment horizontal="center" vertical="center"/>
    </xf>
    <xf numFmtId="0" fontId="6" fillId="0" borderId="32" xfId="0" applyFont="1" applyBorder="1" applyAlignment="1">
      <alignment horizontal="center" wrapText="1"/>
    </xf>
    <xf numFmtId="0" fontId="6" fillId="0" borderId="34" xfId="0" applyFont="1" applyBorder="1" applyAlignment="1">
      <alignment horizontal="center" wrapText="1"/>
    </xf>
    <xf numFmtId="0" fontId="6" fillId="0" borderId="60" xfId="0" applyFont="1" applyBorder="1" applyAlignment="1">
      <alignment horizontal="center" wrapText="1"/>
    </xf>
    <xf numFmtId="0" fontId="6" fillId="0" borderId="43" xfId="0" applyFont="1" applyBorder="1" applyAlignment="1">
      <alignment horizontal="center" wrapText="1"/>
    </xf>
    <xf numFmtId="0" fontId="6" fillId="0" borderId="32" xfId="0" applyFont="1" applyBorder="1" applyAlignment="1">
      <alignment horizontal="center" vertical="center" wrapText="1"/>
    </xf>
    <xf numFmtId="0" fontId="6" fillId="0" borderId="34" xfId="0" applyFont="1" applyBorder="1" applyAlignment="1">
      <alignment horizontal="center" vertical="center" wrapText="1"/>
    </xf>
    <xf numFmtId="0" fontId="6" fillId="0" borderId="40" xfId="0" applyFont="1" applyBorder="1" applyAlignment="1">
      <alignment horizontal="center"/>
    </xf>
    <xf numFmtId="0" fontId="6" fillId="0" borderId="52" xfId="0" applyFont="1" applyBorder="1" applyAlignment="1">
      <alignment horizontal="center"/>
    </xf>
    <xf numFmtId="0" fontId="6" fillId="0" borderId="25" xfId="0" applyFont="1" applyBorder="1" applyAlignment="1">
      <alignment horizontal="center"/>
    </xf>
    <xf numFmtId="0" fontId="20" fillId="0" borderId="0" xfId="0" applyFont="1" applyAlignment="1">
      <alignment horizontal="center"/>
    </xf>
    <xf numFmtId="0" fontId="9" fillId="0" borderId="94" xfId="0" applyFont="1" applyBorder="1" applyAlignment="1">
      <alignment horizontal="left" vertical="top" wrapText="1"/>
    </xf>
    <xf numFmtId="0" fontId="9" fillId="0" borderId="0" xfId="0" applyFont="1" applyAlignment="1">
      <alignment horizontal="left" vertical="top" wrapText="1"/>
    </xf>
    <xf numFmtId="0" fontId="103" fillId="48" borderId="99" xfId="30" applyBorder="1" applyAlignment="1">
      <alignment horizontal="center" vertical="top"/>
    </xf>
    <xf numFmtId="0" fontId="103" fillId="48" borderId="98" xfId="30" applyBorder="1" applyAlignment="1">
      <alignment horizontal="center" vertical="top"/>
    </xf>
    <xf numFmtId="0" fontId="0" fillId="0" borderId="60" xfId="0" applyBorder="1" applyAlignment="1">
      <alignment horizontal="left"/>
    </xf>
    <xf numFmtId="0" fontId="0" fillId="0" borderId="59" xfId="0" applyBorder="1" applyAlignment="1">
      <alignment horizontal="left"/>
    </xf>
    <xf numFmtId="0" fontId="0" fillId="0" borderId="60" xfId="0" applyBorder="1" applyAlignment="1">
      <alignment horizontal="center" vertical="center"/>
    </xf>
    <xf numFmtId="0" fontId="0" fillId="0" borderId="59" xfId="0" applyBorder="1" applyAlignment="1">
      <alignment horizontal="center" vertical="center"/>
    </xf>
    <xf numFmtId="0" fontId="0" fillId="0" borderId="61" xfId="0" applyBorder="1" applyAlignment="1">
      <alignment horizontal="center" vertical="center"/>
    </xf>
    <xf numFmtId="0" fontId="69" fillId="13" borderId="53" xfId="28" applyFont="1" applyFill="1" applyBorder="1" applyAlignment="1">
      <alignment horizontal="center" vertical="center" wrapText="1"/>
    </xf>
    <xf numFmtId="0" fontId="69" fillId="13" borderId="52" xfId="28" applyFont="1" applyFill="1" applyBorder="1" applyAlignment="1">
      <alignment horizontal="center" vertical="center" wrapText="1"/>
    </xf>
    <xf numFmtId="0" fontId="69" fillId="13" borderId="25" xfId="28" applyFont="1" applyFill="1" applyBorder="1" applyAlignment="1">
      <alignment horizontal="center" vertical="center" wrapText="1"/>
    </xf>
    <xf numFmtId="0" fontId="69" fillId="13" borderId="58" xfId="28" applyFont="1" applyFill="1" applyBorder="1" applyAlignment="1">
      <alignment horizontal="center" vertical="center" wrapText="1"/>
    </xf>
    <xf numFmtId="0" fontId="69" fillId="13" borderId="92" xfId="28" applyFont="1" applyFill="1" applyBorder="1" applyAlignment="1">
      <alignment horizontal="center" vertical="center" wrapText="1"/>
    </xf>
    <xf numFmtId="0" fontId="69" fillId="13" borderId="93" xfId="28" applyFont="1" applyFill="1" applyBorder="1" applyAlignment="1">
      <alignment horizontal="center" vertical="center" wrapText="1"/>
    </xf>
    <xf numFmtId="0" fontId="77" fillId="0" borderId="57" xfId="28" applyBorder="1" applyAlignment="1">
      <alignment horizontal="left" wrapText="1"/>
    </xf>
    <xf numFmtId="0" fontId="77" fillId="0" borderId="0" xfId="28" applyAlignment="1">
      <alignment horizontal="left" wrapText="1"/>
    </xf>
    <xf numFmtId="0" fontId="77" fillId="0" borderId="57" xfId="28" applyBorder="1" applyAlignment="1">
      <alignment horizontal="left" vertical="top" wrapText="1"/>
    </xf>
    <xf numFmtId="0" fontId="77" fillId="0" borderId="0" xfId="28" applyAlignment="1">
      <alignment horizontal="left" vertical="top" wrapText="1"/>
    </xf>
    <xf numFmtId="0" fontId="74" fillId="0" borderId="2" xfId="28" applyFont="1" applyBorder="1" applyAlignment="1">
      <alignment horizontal="center" vertical="center"/>
    </xf>
    <xf numFmtId="0" fontId="96" fillId="0" borderId="94" xfId="28" applyFont="1" applyBorder="1" applyAlignment="1">
      <alignment horizontal="left" vertical="top" wrapText="1"/>
    </xf>
    <xf numFmtId="172" fontId="59" fillId="38" borderId="81" xfId="28" applyNumberFormat="1" applyFont="1" applyFill="1" applyBorder="1" applyAlignment="1">
      <alignment horizontal="left" vertical="top" wrapText="1"/>
    </xf>
    <xf numFmtId="172" fontId="59" fillId="38" borderId="94" xfId="28" applyNumberFormat="1" applyFont="1" applyFill="1" applyBorder="1" applyAlignment="1">
      <alignment horizontal="left" vertical="top" wrapText="1"/>
    </xf>
    <xf numFmtId="0" fontId="118" fillId="0" borderId="52" xfId="0" applyFont="1" applyBorder="1" applyAlignment="1">
      <alignment horizontal="left" vertical="center" wrapText="1"/>
    </xf>
    <xf numFmtId="0" fontId="118" fillId="0" borderId="0" xfId="0" applyFont="1" applyAlignment="1">
      <alignment horizontal="left" vertical="center" wrapText="1"/>
    </xf>
    <xf numFmtId="0" fontId="5" fillId="0" borderId="0" xfId="0" applyFont="1" applyAlignment="1">
      <alignment horizontal="left" vertical="top" wrapText="1"/>
    </xf>
    <xf numFmtId="0" fontId="0" fillId="0" borderId="3" xfId="0" applyBorder="1" applyAlignment="1">
      <alignment horizontal="center"/>
    </xf>
    <xf numFmtId="0" fontId="0" fillId="0" borderId="5" xfId="0" applyBorder="1" applyAlignment="1">
      <alignment horizontal="center"/>
    </xf>
  </cellXfs>
  <cellStyles count="33">
    <cellStyle name="20% - Accent1" xfId="4" builtinId="30"/>
    <cellStyle name="20% - Accent2" xfId="6" builtinId="34"/>
    <cellStyle name="20% - Accent3" xfId="8" builtinId="38"/>
    <cellStyle name="20% - Accent4" xfId="16" builtinId="42"/>
    <cellStyle name="20% - Accent5" xfId="19" builtinId="46"/>
    <cellStyle name="20% - Accent6" xfId="15" builtinId="50"/>
    <cellStyle name="40% - Accent1" xfId="5" builtinId="31"/>
    <cellStyle name="40% - Accent2" xfId="7" builtinId="35"/>
    <cellStyle name="40% - Accent3" xfId="9" builtinId="39"/>
    <cellStyle name="40% - Accent4" xfId="10" builtinId="43"/>
    <cellStyle name="40% - Accent5" xfId="20" builtinId="47"/>
    <cellStyle name="40% - Accent6" xfId="11" builtinId="51"/>
    <cellStyle name="60% - Accent2" xfId="14" builtinId="36"/>
    <cellStyle name="60% - Accent6" xfId="25" builtinId="52"/>
    <cellStyle name="Accent5" xfId="17" builtinId="45"/>
    <cellStyle name="Accent6" xfId="24" builtinId="49"/>
    <cellStyle name="Bad" xfId="23" builtinId="27"/>
    <cellStyle name="Calculation" xfId="30" builtinId="22"/>
    <cellStyle name="Comma" xfId="1" builtinId="3"/>
    <cellStyle name="Comma [0]" xfId="12" builtinId="6"/>
    <cellStyle name="Comma 2" xfId="29" xr:uid="{BF97A6EB-161F-444C-A2AD-3AB5D72266D0}"/>
    <cellStyle name="Comma 3" xfId="31" xr:uid="{62EFC3EF-DF7B-4135-8AB3-99E0654E6366}"/>
    <cellStyle name="Good" xfId="22" builtinId="26"/>
    <cellStyle name="Heading 4" xfId="2" builtinId="19"/>
    <cellStyle name="Hyperlink" xfId="21" builtinId="8"/>
    <cellStyle name="Input" xfId="32" builtinId="20"/>
    <cellStyle name="Neutral" xfId="18" builtinId="28"/>
    <cellStyle name="Normal" xfId="0" builtinId="0"/>
    <cellStyle name="Normal 14" xfId="26" xr:uid="{D9F0D632-FC09-4CE3-9929-5E1C4D3036F9}"/>
    <cellStyle name="Normal 2" xfId="28" xr:uid="{CD0C5A8B-9373-427F-9F0E-834C525CE1C2}"/>
    <cellStyle name="Note" xfId="3" builtinId="10"/>
    <cellStyle name="Percent" xfId="13" builtinId="5"/>
    <cellStyle name="Percent 2" xfId="27" xr:uid="{E32AD0EA-69D9-4DE1-B655-DA94193BA7D3}"/>
  </cellStyles>
  <dxfs count="740">
    <dxf>
      <font>
        <b val="0"/>
        <i val="0"/>
        <strike val="0"/>
        <condense val="0"/>
        <extend val="0"/>
        <outline val="0"/>
        <shadow val="0"/>
        <u val="none"/>
        <vertAlign val="baseline"/>
        <sz val="11"/>
        <color rgb="FF006100"/>
        <name val="Calibri"/>
        <family val="2"/>
        <scheme val="minor"/>
      </font>
      <fill>
        <patternFill patternType="solid">
          <fgColor indexed="65"/>
          <bgColor rgb="FFC6EFCE"/>
        </patternFill>
      </fill>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FFFF00"/>
        </patternFill>
      </fill>
    </dxf>
    <dxf>
      <font>
        <color rgb="FFC00000"/>
      </font>
    </dxf>
    <dxf>
      <alignment horizontal="center"/>
    </dxf>
    <dxf>
      <alignment horizontal="center"/>
    </dxf>
    <dxf>
      <numFmt numFmtId="172" formatCode="#,##0_ ;\-#,##0\ "/>
    </dxf>
    <dxf>
      <alignment horizontal="center"/>
    </dxf>
    <dxf>
      <alignment horizontal="center"/>
    </dxf>
    <dxf>
      <alignment horizontal="center"/>
    </dxf>
    <dxf>
      <numFmt numFmtId="174" formatCode="_-* #,##0_-;\-* #,##0_-;_-* &quot;-&quot;??_-;_-@_-"/>
    </dxf>
    <dxf>
      <numFmt numFmtId="14" formatCode="0.00%"/>
    </dxf>
    <dxf>
      <font>
        <color rgb="FFFF0000"/>
      </font>
    </dxf>
    <dxf>
      <font>
        <color rgb="FF0033CC"/>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auto="1"/>
        <name val="Tahoma"/>
        <family val="2"/>
        <scheme val="none"/>
      </font>
      <fill>
        <patternFill patternType="none">
          <fgColor indexed="64"/>
          <bgColor indexed="65"/>
        </patternFill>
      </fill>
    </dxf>
    <dxf>
      <font>
        <b val="0"/>
        <i val="0"/>
        <strike val="0"/>
        <condense val="0"/>
        <extend val="0"/>
        <outline val="0"/>
        <shadow val="0"/>
        <u val="none"/>
        <vertAlign val="baseline"/>
        <sz val="10"/>
        <color auto="1"/>
        <name val="Tahoma"/>
        <family val="2"/>
        <scheme val="none"/>
      </font>
      <fill>
        <patternFill patternType="none">
          <fgColor indexed="64"/>
          <bgColor indexed="65"/>
        </patternFill>
      </fill>
    </dxf>
    <dxf>
      <font>
        <color rgb="FFFF0000"/>
      </font>
    </dxf>
    <dxf>
      <font>
        <b val="0"/>
        <i val="0"/>
        <strike val="0"/>
        <condense val="0"/>
        <extend val="0"/>
        <outline val="0"/>
        <shadow val="0"/>
        <u val="none"/>
        <vertAlign val="baseline"/>
        <sz val="11"/>
        <color rgb="FF9C0006"/>
        <name val="Calibri"/>
        <family val="2"/>
        <scheme val="minor"/>
      </font>
      <fill>
        <patternFill patternType="solid">
          <fgColor indexed="65"/>
          <bgColor rgb="FFFFC7CE"/>
        </patternFill>
      </fill>
    </dxf>
    <dxf>
      <fill>
        <patternFill patternType="solid">
          <bgColor rgb="FFFFFF00"/>
        </patternFill>
      </fill>
    </dxf>
    <dxf>
      <alignment vertical="center"/>
    </dxf>
    <dxf>
      <alignment horizontal="right"/>
    </dxf>
    <dxf>
      <alignment vertical="center"/>
    </dxf>
    <dxf>
      <alignment horizontal="center"/>
    </dxf>
    <dxf>
      <alignment horizontal="center"/>
    </dxf>
    <dxf>
      <alignment horizontal="center"/>
    </dxf>
    <dxf>
      <alignment horizontal="center"/>
    </dxf>
    <dxf>
      <alignment horizontal="center"/>
    </dxf>
    <dxf>
      <alignment horizontal="center"/>
    </dxf>
    <dxf>
      <font>
        <color rgb="FFFF0000"/>
      </font>
    </dxf>
    <dxf>
      <font>
        <color rgb="FFFF0000"/>
      </font>
    </dxf>
    <dxf>
      <alignment wrapText="1"/>
    </dxf>
    <dxf>
      <alignment wrapText="1"/>
    </dxf>
    <dxf>
      <font>
        <color rgb="FFC00000"/>
      </font>
    </dxf>
    <dxf>
      <alignment horizontal="center"/>
    </dxf>
    <dxf>
      <alignment horizontal="center"/>
    </dxf>
    <dxf>
      <numFmt numFmtId="174" formatCode="_-* #,##0_-;\-* #,##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general" vertical="bottom" textRotation="0" wrapText="0" indent="0" justifyLastLine="0" shrinkToFit="0" readingOrder="0"/>
    </dxf>
    <dxf>
      <fill>
        <patternFill patternType="none">
          <bgColor auto="1"/>
        </patternFill>
      </fill>
    </dxf>
    <dxf>
      <fill>
        <patternFill patternType="none">
          <bgColor auto="1"/>
        </patternFill>
      </fill>
    </dxf>
    <dxf>
      <border>
        <left style="medium">
          <color indexed="64"/>
        </left>
        <right style="medium">
          <color indexed="64"/>
        </right>
        <top style="medium">
          <color indexed="64"/>
        </top>
        <bottom style="medium">
          <color indexed="64"/>
        </bottom>
      </border>
    </dxf>
    <dxf>
      <alignment horizontal="center"/>
    </dxf>
    <dxf>
      <alignment horizontal="center"/>
    </dxf>
    <dxf>
      <alignment horizontal="center"/>
    </dxf>
    <dxf>
      <alignment horizontal="center"/>
    </dxf>
    <dxf>
      <font>
        <b/>
      </font>
    </dxf>
    <dxf>
      <alignment horizontal="general" vertical="bottom" textRotation="0" wrapText="0" indent="0" justifyLastLine="0" shrinkToFit="0" readingOrder="0"/>
    </dxf>
    <dxf>
      <alignment horizontal="center"/>
    </dxf>
    <dxf>
      <alignment horizontal="center"/>
    </dxf>
    <dxf>
      <border>
        <left style="medium">
          <color indexed="64"/>
        </left>
        <right style="medium">
          <color indexed="64"/>
        </right>
        <top style="medium">
          <color indexed="64"/>
        </top>
        <bottom style="medium">
          <color indexed="64"/>
        </bottom>
      </border>
    </dxf>
    <dxf>
      <font>
        <b/>
      </font>
    </dxf>
    <dxf>
      <font>
        <b val="0"/>
        <i val="0"/>
        <strike val="0"/>
        <condense val="0"/>
        <extend val="0"/>
        <outline val="0"/>
        <shadow val="0"/>
        <u val="none"/>
        <vertAlign val="baseline"/>
        <sz val="11"/>
        <color rgb="FF9C0006"/>
        <name val="Calibri"/>
        <family val="2"/>
        <scheme val="minor"/>
      </font>
      <fill>
        <patternFill patternType="solid">
          <fgColor indexed="65"/>
          <bgColor rgb="FFFFC7CE"/>
        </patternFill>
      </fill>
    </dxf>
    <dxf>
      <fill>
        <patternFill>
          <bgColor rgb="FFFFFF00"/>
        </patternFill>
      </fill>
    </dxf>
    <dxf>
      <font>
        <color rgb="FFC00000"/>
      </font>
    </dxf>
    <dxf>
      <alignment horizontal="center"/>
    </dxf>
    <dxf>
      <alignment horizontal="center"/>
    </dxf>
    <dxf>
      <alignment horizontal="center"/>
    </dxf>
    <dxf>
      <fill>
        <patternFill patternType="solid">
          <bgColor rgb="FFFFFF00"/>
        </patternFill>
      </fill>
    </dxf>
    <dxf>
      <fill>
        <patternFill patternType="solid">
          <bgColor rgb="FFFFFF00"/>
        </patternFill>
      </fill>
    </dxf>
    <dxf>
      <border>
        <left style="medium">
          <color indexed="64"/>
        </left>
        <right style="medium">
          <color indexed="64"/>
        </right>
        <top style="medium">
          <color indexed="64"/>
        </top>
        <bottom style="medium">
          <color indexed="64"/>
        </bottom>
      </border>
    </dxf>
    <dxf>
      <font>
        <b/>
      </font>
    </dxf>
    <dxf>
      <font>
        <color rgb="FFC00000"/>
      </font>
    </dxf>
    <dxf>
      <font>
        <b/>
      </font>
    </dxf>
    <dxf>
      <font>
        <color rgb="FFC00000"/>
      </font>
    </dxf>
    <dxf>
      <font>
        <b/>
      </font>
    </dxf>
    <dxf>
      <font>
        <b/>
      </font>
    </dxf>
    <dxf>
      <font>
        <b/>
      </font>
    </dxf>
    <dxf>
      <font>
        <b/>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b/>
      </font>
    </dxf>
    <dxf>
      <numFmt numFmtId="172" formatCode="#,##0_ ;\-#,##0\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top style="medium">
          <color indexed="64"/>
        </top>
        <bottom style="medium">
          <color indexed="64"/>
        </bottom>
      </border>
    </dxf>
    <dxf>
      <border>
        <left/>
        <right/>
        <top/>
        <bottom/>
        <vertic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4" formatCode="_-* #,##0_-;\-* #,##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vertical="center"/>
    </dxf>
    <dxf>
      <alignment vertical="center"/>
    </dxf>
    <dxf>
      <alignment horizontal="center"/>
    </dxf>
    <dxf>
      <alignment horizontal="center"/>
    </dxf>
    <dxf>
      <alignment wrapText="1"/>
    </dxf>
    <dxf>
      <alignment wrapText="1"/>
    </dxf>
    <dxf>
      <fill>
        <patternFill>
          <bgColor rgb="FFFFFF00"/>
        </patternFill>
      </fill>
    </dxf>
    <dxf>
      <fill>
        <patternFill>
          <bgColor rgb="FFFFFF00"/>
        </patternFill>
      </fill>
    </dxf>
    <dxf>
      <border>
        <bottom style="medium">
          <color indexed="64"/>
        </bottom>
      </border>
    </dxf>
    <dxf>
      <alignment horizontal="center"/>
    </dxf>
    <dxf>
      <alignment wrapText="1"/>
    </dxf>
    <dxf>
      <numFmt numFmtId="3" formatCode="#,##0"/>
    </dxf>
    <dxf>
      <alignment wrapText="1"/>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alignment wrapText="1"/>
    </dxf>
    <dxf>
      <alignment wrapText="1"/>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color theme="5" tint="-0.249977111117893"/>
      </font>
    </dxf>
    <dxf>
      <font>
        <color rgb="FF0070C0"/>
      </font>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numFmt numFmtId="3" formatCode="#,##0"/>
    </dxf>
    <dxf>
      <alignment horizontal="cent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vertical="center"/>
    </dxf>
    <dxf>
      <alignment vertical="center"/>
    </dxf>
    <dxf>
      <border>
        <left style="thin">
          <color indexed="64"/>
        </left>
        <right style="thin">
          <color indexed="64"/>
        </right>
        <top style="thin">
          <color indexed="64"/>
        </top>
        <vertical style="thin">
          <color indexed="64"/>
        </vertical>
        <horizontal style="thin">
          <color indexed="64"/>
        </horizontal>
      </border>
    </dxf>
    <dxf>
      <alignment vertical="center"/>
    </dxf>
    <dxf>
      <alignment vertical="center"/>
    </dxf>
    <dxf>
      <alignment horizontal="center"/>
    </dxf>
    <dxf>
      <alignment wrapText="1"/>
    </dxf>
    <dxf>
      <alignment wrapText="1"/>
    </dxf>
    <dxf>
      <alignment wrapText="1"/>
    </dxf>
    <dxf>
      <alignment wrapText="1"/>
    </dxf>
    <dxf>
      <alignment horizontal="center"/>
    </dxf>
    <dxf>
      <alignment wrapText="1"/>
    </dxf>
    <dxf>
      <border>
        <left style="medium">
          <color indexed="64"/>
        </left>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alignment horizontal="center"/>
    </dxf>
    <dxf>
      <alignment horizontal="center"/>
    </dxf>
    <dxf>
      <fill>
        <patternFill>
          <bgColor rgb="FFFFFF00"/>
        </patternFill>
      </fill>
    </dxf>
    <dxf>
      <fill>
        <patternFill>
          <bgColor rgb="FFFFFF00"/>
        </patternFill>
      </fill>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alignment horizontal="center"/>
    </dxf>
    <dxf>
      <alignment wrapText="1"/>
    </dxf>
    <dxf>
      <alignment horizontal="center"/>
    </dxf>
    <dxf>
      <alignment wrapText="1"/>
    </dxf>
    <dxf>
      <font>
        <color rgb="FFC00000"/>
      </font>
    </dxf>
    <dxf>
      <fill>
        <patternFill patternType="solid">
          <bgColor rgb="FFFFFF00"/>
        </patternFill>
      </fill>
    </dxf>
    <dxf>
      <alignment wrapText="1"/>
    </dxf>
    <dxf>
      <border>
        <left style="medium">
          <color indexed="64"/>
        </left>
      </border>
    </dxf>
    <dxf>
      <border>
        <left style="medium">
          <color indexed="64"/>
        </left>
      </border>
    </dxf>
    <dxf>
      <border>
        <left style="medium">
          <color indexed="64"/>
        </left>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font>
        <sz val="14"/>
      </font>
    </dxf>
    <dxf>
      <border>
        <left style="medium">
          <color indexed="64"/>
        </left>
      </border>
    </dxf>
    <dxf>
      <border>
        <left style="medium">
          <color indexed="64"/>
        </left>
        <right style="medium">
          <color indexed="64"/>
        </right>
        <top style="medium">
          <color indexed="64"/>
        </top>
        <bottom style="medium">
          <color indexed="64"/>
        </bottom>
      </border>
    </dxf>
    <dxf>
      <font>
        <sz val="12"/>
      </font>
    </dxf>
    <dxf>
      <font>
        <sz val="12"/>
      </font>
    </dxf>
    <dxf>
      <font>
        <sz val="12"/>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theme="5" tint="-0.249977111117893"/>
      </font>
    </dxf>
    <dxf>
      <font>
        <color theme="5" tint="-0.249977111117893"/>
      </font>
    </dxf>
    <dxf>
      <font>
        <color theme="5" tint="-0.249977111117893"/>
      </font>
    </dxf>
    <dxf>
      <font>
        <color theme="5" tint="-0.249977111117893"/>
      </font>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border>
        <left style="thin">
          <color indexed="64"/>
        </left>
      </border>
    </dxf>
    <dxf>
      <border>
        <left style="medium">
          <color indexed="64"/>
        </left>
        <right style="medium">
          <color indexed="64"/>
        </right>
        <top style="medium">
          <color indexed="64"/>
        </top>
        <bottom style="medium">
          <color indexed="64"/>
        </bottom>
      </border>
    </dxf>
    <dxf>
      <border>
        <left style="thin">
          <color indexed="64"/>
        </left>
      </border>
    </dxf>
    <dxf>
      <border>
        <right style="medium">
          <color indexed="64"/>
        </right>
        <top style="medium">
          <color indexed="64"/>
        </top>
        <bottom style="medium">
          <color indexed="64"/>
        </bottom>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border>
    </dxf>
    <dxf>
      <border>
        <left style="medium">
          <color indexed="64"/>
        </left>
        <right style="medium">
          <color indexed="64"/>
        </right>
        <top style="medium">
          <color indexed="64"/>
        </top>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color theme="5" tint="-0.249977111117893"/>
      </font>
    </dxf>
    <dxf>
      <font>
        <color rgb="FF0070C0"/>
      </font>
    </dxf>
    <dxf>
      <font>
        <color rgb="FF0070C0"/>
      </font>
    </dxf>
    <dxf>
      <font>
        <b/>
      </font>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numFmt numFmtId="3" formatCode="#,##0"/>
    </dxf>
    <dxf>
      <alignment horizontal="center"/>
    </dxf>
    <dxf>
      <border>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_-* #,##0_-;\-* #,##0_-;_-* &quot;-&quot;??_-;_-@_-"/>
    </dxf>
    <dxf>
      <alignment horizontal="right"/>
    </dxf>
    <dxf>
      <alignment horizontal="right"/>
    </dxf>
    <dxf>
      <alignment horizontal="right"/>
    </dxf>
    <dxf>
      <alignment horizontal="right"/>
    </dxf>
    <dxf>
      <fill>
        <patternFill patternType="solid">
          <fgColor indexed="64"/>
          <bgColor theme="8" tint="0.59999389629810485"/>
        </patternFill>
      </fill>
    </dxf>
    <dxf>
      <fill>
        <patternFill patternType="solid">
          <fgColor indexed="64"/>
          <bgColor theme="9" tint="0.59999389629810485"/>
        </patternFill>
      </fill>
    </dxf>
    <dxf>
      <fill>
        <patternFill patternType="solid">
          <fgColor indexed="64"/>
          <bgColor theme="9" tint="0.59999389629810485"/>
        </patternFill>
      </fill>
    </dxf>
    <dxf>
      <fill>
        <patternFill patternType="solid">
          <fgColor indexed="64"/>
          <bgColor theme="9" tint="0.59999389629810485"/>
        </patternFill>
      </fill>
    </dxf>
    <dxf>
      <fill>
        <patternFill patternType="solid">
          <bgColor theme="9" tint="0.59999389629810485"/>
        </patternFill>
      </fill>
    </dxf>
    <dxf>
      <fill>
        <patternFill patternType="solid">
          <fgColor indexed="64"/>
          <bgColor theme="8" tint="0.59999389629810485"/>
        </patternFill>
      </fill>
    </dxf>
    <dxf>
      <fill>
        <patternFill patternType="solid">
          <bgColor theme="8" tint="0.59999389629810485"/>
        </patternFill>
      </fill>
    </dxf>
    <dxf>
      <font>
        <color rgb="FF0000FF"/>
      </font>
      <fill>
        <patternFill patternType="solid">
          <fgColor indexed="64"/>
          <bgColor theme="5" tint="0.79998168889431442"/>
        </patternFill>
      </fill>
    </dxf>
    <dxf>
      <font>
        <color rgb="FF0000FF"/>
      </font>
      <fill>
        <patternFill>
          <fgColor theme="5" tint="0.79998168889431442"/>
        </patternFill>
      </fill>
    </dxf>
    <dxf>
      <fill>
        <patternFill>
          <bgColor theme="5" tint="0.79998168889431442"/>
        </patternFill>
      </fill>
    </dxf>
    <dxf>
      <font>
        <color rgb="FF0000FF"/>
      </fon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alignment horizontal="center"/>
    </dxf>
    <dxf>
      <alignment horizontal="center"/>
    </dxf>
    <dxf>
      <alignment horizontal="center"/>
    </dxf>
    <dxf>
      <alignment wrapText="1"/>
    </dxf>
    <dxf>
      <alignment wrapText="1"/>
    </dxf>
    <dxf>
      <alignment wrapText="1"/>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vertical="center"/>
    </dxf>
    <dxf>
      <alignment vertical="center"/>
    </dxf>
    <dxf>
      <alignment vertical="center"/>
    </dxf>
    <dxf>
      <alignment vertical="cent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wrapText="1"/>
    </dxf>
    <dxf>
      <alignment wrapText="1"/>
    </dxf>
    <dxf>
      <alignment wrapText="1"/>
    </dxf>
    <dxf>
      <alignment wrapText="1"/>
    </dxf>
    <dxf>
      <alignment wrapText="1"/>
    </dxf>
    <dxf>
      <alignment wrapText="1"/>
    </dxf>
    <dxf>
      <alignment wrapText="1"/>
    </dxf>
    <dxf>
      <alignment horizontal="center"/>
    </dxf>
    <dxf>
      <alignment horizontal="center"/>
    </dxf>
    <dxf>
      <alignment horizontal="center"/>
    </dxf>
    <dxf>
      <alignment wrapText="1"/>
    </dxf>
    <dxf>
      <alignment wrapText="1"/>
    </dxf>
    <dxf>
      <alignment wrapText="1"/>
    </dxf>
    <dxf>
      <alignment vertical="bottom"/>
    </dxf>
    <dxf>
      <alignment horizontal="center"/>
    </dxf>
    <dxf>
      <alignment wrapText="1"/>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fill>
        <patternFill>
          <bgColor rgb="FFFFFF00"/>
        </patternFill>
      </fill>
    </dxf>
    <dxf>
      <fill>
        <patternFill>
          <bgColor rgb="FFFFFF00"/>
        </patternFill>
      </fill>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alignment horizontal="center"/>
    </dxf>
    <dxf>
      <alignment horizontal="center"/>
    </dxf>
    <dxf>
      <alignment wrapText="1"/>
    </dxf>
    <dxf>
      <alignment wrapText="1"/>
    </dxf>
    <dxf>
      <alignment horizontal="center"/>
    </dxf>
    <dxf>
      <alignment horizontal="center"/>
    </dxf>
    <dxf>
      <alignment wrapText="1"/>
    </dxf>
    <dxf>
      <alignment wrapText="1"/>
    </dxf>
    <dxf>
      <alignment horizontal="center"/>
    </dxf>
    <dxf>
      <alignment wrapText="1"/>
    </dxf>
    <dxf>
      <alignment horizontal="center"/>
    </dxf>
    <dxf>
      <alignment horizontal="center"/>
    </dxf>
    <dxf>
      <alignment horizontal="center"/>
    </dxf>
    <dxf>
      <alignment horizontal="center"/>
    </dxf>
    <dxf>
      <numFmt numFmtId="3" formatCode="#,##0"/>
    </dxf>
    <dxf>
      <font>
        <color rgb="FFC00000"/>
      </font>
    </dxf>
    <dxf>
      <fill>
        <patternFill patternType="solid">
          <bgColor rgb="FFFFFF00"/>
        </patternFill>
      </fill>
    </dxf>
    <dxf>
      <alignment wrapText="1"/>
    </dxf>
    <dxf>
      <border>
        <left style="medium">
          <color indexed="64"/>
        </left>
      </border>
    </dxf>
    <dxf>
      <border>
        <left style="medium">
          <color indexed="64"/>
        </left>
      </border>
    </dxf>
    <dxf>
      <border>
        <left style="medium">
          <color indexed="64"/>
        </left>
      </border>
    </dxf>
    <dxf>
      <border>
        <left style="medium">
          <color indexed="64"/>
        </left>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font>
        <sz val="14"/>
      </font>
    </dxf>
    <dxf>
      <border>
        <left style="medium">
          <color indexed="64"/>
        </left>
      </border>
    </dxf>
    <dxf>
      <border>
        <left style="medium">
          <color indexed="64"/>
        </left>
        <right style="medium">
          <color indexed="64"/>
        </right>
        <top style="medium">
          <color indexed="64"/>
        </top>
        <bottom style="medium">
          <color indexed="64"/>
        </bottom>
      </border>
    </dxf>
    <dxf>
      <font>
        <sz val="12"/>
      </font>
    </dxf>
    <dxf>
      <font>
        <sz val="12"/>
      </font>
    </dxf>
    <dxf>
      <font>
        <sz val="12"/>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theme="5" tint="-0.249977111117893"/>
      </font>
    </dxf>
    <dxf>
      <font>
        <color theme="5" tint="-0.249977111117893"/>
      </font>
    </dxf>
    <dxf>
      <font>
        <color theme="5" tint="-0.249977111117893"/>
      </font>
    </dxf>
    <dxf>
      <font>
        <color theme="5" tint="-0.249977111117893"/>
      </font>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border>
        <left style="thin">
          <color indexed="64"/>
        </left>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border>
    </dxf>
    <dxf>
      <border>
        <left style="medium">
          <color indexed="64"/>
        </left>
        <right style="medium">
          <color indexed="64"/>
        </right>
        <top style="medium">
          <color indexed="64"/>
        </top>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rder>
    </dxf>
    <dxf>
      <border>
        <left style="medium">
          <color indexed="64"/>
        </lef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color theme="5" tint="-0.249977111117893"/>
      </font>
    </dxf>
    <dxf>
      <font>
        <color rgb="FF0070C0"/>
      </font>
    </dxf>
    <dxf>
      <font>
        <color rgb="FF0070C0"/>
      </font>
    </dxf>
    <dxf>
      <font>
        <b/>
      </font>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numFmt numFmtId="3" formatCode="#,##0"/>
    </dxf>
    <dxf>
      <alignment horizontal="center"/>
    </dxf>
    <dxf>
      <border>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_-* #,##0_-;\-* #,##0_-;_-* &quot;-&quot;??_-;_-@_-"/>
    </dxf>
    <dxf>
      <alignment horizontal="right"/>
    </dxf>
    <dxf>
      <alignment horizontal="right"/>
    </dxf>
    <dxf>
      <alignment horizontal="right"/>
    </dxf>
    <dxf>
      <alignment horizontal="right"/>
    </dxf>
    <dxf>
      <fill>
        <patternFill patternType="none">
          <fgColor indexed="64"/>
          <bgColor auto="1"/>
        </patternFill>
      </fill>
    </dxf>
    <dxf>
      <fill>
        <patternFill patternType="none">
          <fgColor indexed="64"/>
          <bgColor auto="1"/>
        </patternFill>
      </fill>
    </dxf>
    <dxf>
      <alignment horizontal="center"/>
    </dxf>
    <dxf>
      <alignment horizontal="center"/>
    </dxf>
    <dxf>
      <alignment horizontal="center"/>
    </dxf>
    <dxf>
      <alignment horizontal="center"/>
    </dxf>
    <dxf>
      <border>
        <right style="medium">
          <color indexed="64"/>
        </right>
      </border>
    </dxf>
    <dxf>
      <border>
        <left style="medium">
          <color indexed="64"/>
        </left>
        <right style="medium">
          <color indexed="64"/>
        </right>
      </border>
    </dxf>
    <dxf>
      <border>
        <left style="medium">
          <color indexed="64"/>
        </left>
        <top style="medium">
          <color indexed="64"/>
        </top>
        <bottom style="medium">
          <color indexed="64"/>
        </bottom>
      </border>
    </dxf>
    <dxf>
      <border>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right"/>
    </dxf>
    <dxf>
      <alignment horizontal="right"/>
    </dxf>
    <dxf>
      <alignment horizontal="right"/>
    </dxf>
    <dxf>
      <alignment horizontal="right"/>
    </dxf>
    <dxf>
      <alignment horizontal="right"/>
    </dxf>
    <dxf>
      <alignment horizontal="center"/>
    </dxf>
    <dxf>
      <alignment horizontal="center"/>
    </dxf>
    <dxf>
      <font>
        <b/>
        <i val="0"/>
        <color rgb="FFFF0000"/>
      </font>
    </dxf>
    <dxf>
      <font>
        <b val="0"/>
        <i val="0"/>
        <color rgb="FFFF0000"/>
      </font>
    </dxf>
  </dxfs>
  <tableStyles count="0" defaultTableStyle="TableStyleMedium2" defaultPivotStyle="PivotStyleLight16"/>
  <colors>
    <mruColors>
      <color rgb="FF0000FF"/>
      <color rgb="FFFF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hartsheet" Target="chartsheets/sheet1.xml"/><Relationship Id="rId47" Type="http://schemas.openxmlformats.org/officeDocument/2006/relationships/worksheet" Target="worksheets/sheet46.xml"/><Relationship Id="rId50" Type="http://schemas.openxmlformats.org/officeDocument/2006/relationships/worksheet" Target="worksheets/sheet49.xml"/><Relationship Id="rId55" Type="http://schemas.openxmlformats.org/officeDocument/2006/relationships/pivotCacheDefinition" Target="pivotCache/pivotCacheDefinition4.xml"/><Relationship Id="rId63" Type="http://schemas.openxmlformats.org/officeDocument/2006/relationships/customXml" Target="../customXml/item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4.xml"/><Relationship Id="rId53" Type="http://schemas.openxmlformats.org/officeDocument/2006/relationships/pivotCacheDefinition" Target="pivotCache/pivotCacheDefinition2.xml"/><Relationship Id="rId58" Type="http://schemas.openxmlformats.org/officeDocument/2006/relationships/styles" Target="styles.xml"/><Relationship Id="rId5" Type="http://schemas.openxmlformats.org/officeDocument/2006/relationships/worksheet" Target="worksheets/sheet5.xml"/><Relationship Id="rId61" Type="http://schemas.openxmlformats.org/officeDocument/2006/relationships/calcChain" Target="calcChain.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2.xml"/><Relationship Id="rId48" Type="http://schemas.openxmlformats.org/officeDocument/2006/relationships/worksheet" Target="worksheets/sheet47.xml"/><Relationship Id="rId56" Type="http://schemas.openxmlformats.org/officeDocument/2006/relationships/pivotCacheDefinition" Target="pivotCache/pivotCacheDefinition5.xml"/><Relationship Id="rId64" Type="http://schemas.openxmlformats.org/officeDocument/2006/relationships/customXml" Target="../customXml/item3.xml"/><Relationship Id="rId8" Type="http://schemas.openxmlformats.org/officeDocument/2006/relationships/worksheet" Target="worksheets/sheet8.xml"/><Relationship Id="rId51" Type="http://schemas.openxmlformats.org/officeDocument/2006/relationships/externalLink" Target="externalLinks/externalLink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5.xml"/><Relationship Id="rId59"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pivotCacheDefinition" Target="pivotCache/pivotCacheDefinition3.xml"/><Relationship Id="rId62"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8.xml"/><Relationship Id="rId57" Type="http://schemas.openxmlformats.org/officeDocument/2006/relationships/theme" Target="theme/theme1.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3.xml"/><Relationship Id="rId52" Type="http://schemas.openxmlformats.org/officeDocument/2006/relationships/pivotCacheDefinition" Target="pivotCache/pivotCacheDefinition1.xml"/><Relationship Id="rId6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5.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6.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7.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8.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9.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0.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SAR by Smolt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3"/>
          <c:order val="0"/>
          <c:tx>
            <c:strRef>
              <c:f>Check!$D$1</c:f>
              <c:strCache>
                <c:ptCount val="1"/>
                <c:pt idx="0">
                  <c:v>SAR_Orig</c:v>
                </c:pt>
              </c:strCache>
            </c:strRef>
          </c:tx>
          <c:spPr>
            <a:ln w="28575" cap="rnd">
              <a:solidFill>
                <a:srgbClr val="FF0000"/>
              </a:solidFill>
              <a:round/>
            </a:ln>
            <a:effectLst/>
          </c:spPr>
          <c:marker>
            <c:symbol val="none"/>
          </c:marker>
          <c:cat>
            <c:numRef>
              <c:f>Check!$A$2:$A$36</c:f>
              <c:numCache>
                <c:formatCode>General</c:formatCode>
                <c:ptCount val="35"/>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pt idx="33">
                  <c:v>2018</c:v>
                </c:pt>
                <c:pt idx="34">
                  <c:v>2019</c:v>
                </c:pt>
              </c:numCache>
            </c:numRef>
          </c:cat>
          <c:val>
            <c:numRef>
              <c:f>Check!$D$2:$D$36</c:f>
              <c:numCache>
                <c:formatCode>0.00%</c:formatCode>
                <c:ptCount val="35"/>
                <c:pt idx="0">
                  <c:v>2.7529112680806992E-2</c:v>
                </c:pt>
                <c:pt idx="1">
                  <c:v>5.2448099201289448E-2</c:v>
                </c:pt>
                <c:pt idx="2">
                  <c:v>1.7938210584098349E-2</c:v>
                </c:pt>
                <c:pt idx="3">
                  <c:v>9.6030407859060019E-3</c:v>
                </c:pt>
                <c:pt idx="4">
                  <c:v>5.0472161850483171E-2</c:v>
                </c:pt>
                <c:pt idx="5">
                  <c:v>0.18004780035772183</c:v>
                </c:pt>
                <c:pt idx="6">
                  <c:v>0.11174467989477098</c:v>
                </c:pt>
                <c:pt idx="7">
                  <c:v>2.6153470191780789E-3</c:v>
                </c:pt>
                <c:pt idx="8">
                  <c:v>2.8558698680541507E-3</c:v>
                </c:pt>
                <c:pt idx="9">
                  <c:v>3.5157097630645034E-2</c:v>
                </c:pt>
                <c:pt idx="10">
                  <c:v>3.8404382018909743E-2</c:v>
                </c:pt>
                <c:pt idx="11">
                  <c:v>5.1110975876150065E-2</c:v>
                </c:pt>
                <c:pt idx="12">
                  <c:v>3.8540219671892993E-2</c:v>
                </c:pt>
                <c:pt idx="13">
                  <c:v>5.7081450541041884E-2</c:v>
                </c:pt>
                <c:pt idx="14">
                  <c:v>3.0854708497211569E-2</c:v>
                </c:pt>
                <c:pt idx="15">
                  <c:v>6.1423119159008902E-2</c:v>
                </c:pt>
                <c:pt idx="16">
                  <c:v>2.1943158933158013E-2</c:v>
                </c:pt>
                <c:pt idx="17">
                  <c:v>3.3349122925173044E-2</c:v>
                </c:pt>
                <c:pt idx="18">
                  <c:v>3.0250468921411353E-2</c:v>
                </c:pt>
                <c:pt idx="19">
                  <c:v>4.5313530962964463E-2</c:v>
                </c:pt>
                <c:pt idx="20">
                  <c:v>2.0663731281052197E-2</c:v>
                </c:pt>
                <c:pt idx="21">
                  <c:v>0.10439342547298314</c:v>
                </c:pt>
                <c:pt idx="22">
                  <c:v>7.3089563025643983E-2</c:v>
                </c:pt>
                <c:pt idx="23">
                  <c:v>0.14176683827738604</c:v>
                </c:pt>
                <c:pt idx="24">
                  <c:v>0.16076120086381543</c:v>
                </c:pt>
                <c:pt idx="25">
                  <c:v>5.7947807827020845E-2</c:v>
                </c:pt>
                <c:pt idx="26">
                  <c:v>0.10494499833712435</c:v>
                </c:pt>
                <c:pt idx="27">
                  <c:v>8.7832709296317743E-2</c:v>
                </c:pt>
                <c:pt idx="28">
                  <c:v>7.1452916597092936E-2</c:v>
                </c:pt>
                <c:pt idx="29">
                  <c:v>3.3299072162488473E-2</c:v>
                </c:pt>
                <c:pt idx="30">
                  <c:v>7.2118821030298669E-3</c:v>
                </c:pt>
                <c:pt idx="31">
                  <c:v>1.5292957449670536E-2</c:v>
                </c:pt>
                <c:pt idx="32">
                  <c:v>1.010818744630968E-2</c:v>
                </c:pt>
                <c:pt idx="33">
                  <c:v>4.0281480522010117E-2</c:v>
                </c:pt>
                <c:pt idx="34">
                  <c:v>3.8999148378925576E-2</c:v>
                </c:pt>
              </c:numCache>
            </c:numRef>
          </c:val>
          <c:smooth val="0"/>
          <c:extLst>
            <c:ext xmlns:c16="http://schemas.microsoft.com/office/drawing/2014/chart" uri="{C3380CC4-5D6E-409C-BE32-E72D297353CC}">
              <c16:uniqueId val="{00000003-6084-4F5F-89FC-56EB78C69079}"/>
            </c:ext>
          </c:extLst>
        </c:ser>
        <c:ser>
          <c:idx val="5"/>
          <c:order val="1"/>
          <c:tx>
            <c:strRef>
              <c:f>Check!$F$1</c:f>
              <c:strCache>
                <c:ptCount val="1"/>
                <c:pt idx="0">
                  <c:v>SAR_New</c:v>
                </c:pt>
              </c:strCache>
            </c:strRef>
          </c:tx>
          <c:spPr>
            <a:ln w="28575" cap="rnd">
              <a:solidFill>
                <a:schemeClr val="bg1">
                  <a:lumMod val="50000"/>
                </a:schemeClr>
              </a:solidFill>
              <a:round/>
            </a:ln>
            <a:effectLst/>
          </c:spPr>
          <c:marker>
            <c:symbol val="none"/>
          </c:marker>
          <c:cat>
            <c:numRef>
              <c:f>Check!$A$2:$A$36</c:f>
              <c:numCache>
                <c:formatCode>General</c:formatCode>
                <c:ptCount val="35"/>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pt idx="33">
                  <c:v>2018</c:v>
                </c:pt>
                <c:pt idx="34">
                  <c:v>2019</c:v>
                </c:pt>
              </c:numCache>
            </c:numRef>
          </c:cat>
          <c:val>
            <c:numRef>
              <c:f>Check!$F$2:$F$36</c:f>
              <c:numCache>
                <c:formatCode>0.00%</c:formatCode>
                <c:ptCount val="35"/>
                <c:pt idx="0">
                  <c:v>2.7529112680806992E-2</c:v>
                </c:pt>
                <c:pt idx="1">
                  <c:v>5.2448099201289448E-2</c:v>
                </c:pt>
                <c:pt idx="2">
                  <c:v>1.7938210584098349E-2</c:v>
                </c:pt>
                <c:pt idx="3">
                  <c:v>9.6030407859060019E-3</c:v>
                </c:pt>
                <c:pt idx="4">
                  <c:v>5.0472161850483171E-2</c:v>
                </c:pt>
                <c:pt idx="5">
                  <c:v>0.18004780035772183</c:v>
                </c:pt>
                <c:pt idx="6">
                  <c:v>0.11174467989477098</c:v>
                </c:pt>
                <c:pt idx="7">
                  <c:v>2.6682397254595737E-3</c:v>
                </c:pt>
                <c:pt idx="8">
                  <c:v>3.1065941323246042E-3</c:v>
                </c:pt>
                <c:pt idx="9">
                  <c:v>3.5646564779269543E-2</c:v>
                </c:pt>
                <c:pt idx="10">
                  <c:v>3.8404382018909743E-2</c:v>
                </c:pt>
                <c:pt idx="11">
                  <c:v>5.1110975876150065E-2</c:v>
                </c:pt>
                <c:pt idx="12">
                  <c:v>4.2838149796330861E-2</c:v>
                </c:pt>
                <c:pt idx="13">
                  <c:v>5.7323267074808705E-2</c:v>
                </c:pt>
                <c:pt idx="14">
                  <c:v>3.0854708497211569E-2</c:v>
                </c:pt>
                <c:pt idx="15">
                  <c:v>6.1423119159008902E-2</c:v>
                </c:pt>
                <c:pt idx="16">
                  <c:v>2.1943158933158013E-2</c:v>
                </c:pt>
                <c:pt idx="17">
                  <c:v>3.3349122925173044E-2</c:v>
                </c:pt>
                <c:pt idx="18">
                  <c:v>3.0254790709443459E-2</c:v>
                </c:pt>
                <c:pt idx="19">
                  <c:v>4.601541873157039E-2</c:v>
                </c:pt>
                <c:pt idx="20">
                  <c:v>2.2851599943223968E-2</c:v>
                </c:pt>
                <c:pt idx="21">
                  <c:v>0.10493803043405454</c:v>
                </c:pt>
                <c:pt idx="22">
                  <c:v>7.3089563025643983E-2</c:v>
                </c:pt>
                <c:pt idx="23">
                  <c:v>0.14176683827738604</c:v>
                </c:pt>
                <c:pt idx="24">
                  <c:v>0.16076120086381543</c:v>
                </c:pt>
                <c:pt idx="25">
                  <c:v>5.7947807827020845E-2</c:v>
                </c:pt>
                <c:pt idx="26">
                  <c:v>0.10494499833712435</c:v>
                </c:pt>
                <c:pt idx="27">
                  <c:v>8.7832709296317743E-2</c:v>
                </c:pt>
                <c:pt idx="28">
                  <c:v>7.1452916597092936E-2</c:v>
                </c:pt>
                <c:pt idx="29">
                  <c:v>3.3299072162488473E-2</c:v>
                </c:pt>
                <c:pt idx="30">
                  <c:v>7.2118821030298669E-3</c:v>
                </c:pt>
                <c:pt idx="31">
                  <c:v>1.5292957449670536E-2</c:v>
                </c:pt>
                <c:pt idx="32">
                  <c:v>1.010818744630968E-2</c:v>
                </c:pt>
                <c:pt idx="33">
                  <c:v>4.0281480522010117E-2</c:v>
                </c:pt>
                <c:pt idx="34">
                  <c:v>3.8999148378925576E-2</c:v>
                </c:pt>
              </c:numCache>
            </c:numRef>
          </c:val>
          <c:smooth val="0"/>
          <c:extLst>
            <c:ext xmlns:c16="http://schemas.microsoft.com/office/drawing/2014/chart" uri="{C3380CC4-5D6E-409C-BE32-E72D297353CC}">
              <c16:uniqueId val="{00000005-6084-4F5F-89FC-56EB78C69079}"/>
            </c:ext>
          </c:extLst>
        </c:ser>
        <c:dLbls>
          <c:showLegendKey val="0"/>
          <c:showVal val="0"/>
          <c:showCatName val="0"/>
          <c:showSerName val="0"/>
          <c:showPercent val="0"/>
          <c:showBubbleSize val="0"/>
        </c:dLbls>
        <c:smooth val="0"/>
        <c:axId val="795157903"/>
        <c:axId val="795156655"/>
      </c:lineChart>
      <c:catAx>
        <c:axId val="79515790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156655"/>
        <c:crosses val="autoZero"/>
        <c:auto val="1"/>
        <c:lblAlgn val="ctr"/>
        <c:lblOffset val="100"/>
        <c:noMultiLvlLbl val="0"/>
      </c:catAx>
      <c:valAx>
        <c:axId val="79515665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157903"/>
        <c:crosses val="autoZero"/>
        <c:crossBetween val="midCat"/>
      </c:valAx>
      <c:spPr>
        <a:noFill/>
        <a:ln>
          <a:noFill/>
        </a:ln>
        <a:effectLst/>
      </c:spPr>
    </c:plotArea>
    <c:legend>
      <c:legendPos val="b"/>
      <c:overlay val="0"/>
      <c:spPr>
        <a:noFill/>
        <a:ln>
          <a:solidFill>
            <a:schemeClr val="bg1">
              <a:lumMod val="75000"/>
            </a:schemeClr>
          </a:solid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a:t>Osoyoos Adult Returns to Mouth of Columbia by Return Year</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lotArea>
      <c:layout/>
      <c:lineChart>
        <c:grouping val="standard"/>
        <c:varyColors val="0"/>
        <c:ser>
          <c:idx val="0"/>
          <c:order val="0"/>
          <c:tx>
            <c:v>Osoyoos Returns</c:v>
          </c:tx>
          <c:spPr>
            <a:ln w="22225" cap="rnd" cmpd="sng" algn="ctr">
              <a:solidFill>
                <a:schemeClr val="accent1"/>
              </a:solidFill>
              <a:round/>
            </a:ln>
            <a:effectLst/>
          </c:spPr>
          <c:marker>
            <c:symbol val="none"/>
          </c:marker>
          <c:dLbls>
            <c:dLbl>
              <c:idx val="0"/>
              <c:tx>
                <c:rich>
                  <a:bodyPr/>
                  <a:lstStyle/>
                  <a:p>
                    <a:fld id="{12D3614E-4214-4202-A663-1D79C44F372F}"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6291-4B49-87F2-D034990A779A}"/>
                </c:ext>
              </c:extLst>
            </c:dLbl>
            <c:dLbl>
              <c:idx val="1"/>
              <c:tx>
                <c:rich>
                  <a:bodyPr/>
                  <a:lstStyle/>
                  <a:p>
                    <a:fld id="{BB8620AE-F13B-49C1-86DB-91910AAE9A8F}"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6291-4B49-87F2-D034990A779A}"/>
                </c:ext>
              </c:extLst>
            </c:dLbl>
            <c:dLbl>
              <c:idx val="2"/>
              <c:tx>
                <c:rich>
                  <a:bodyPr/>
                  <a:lstStyle/>
                  <a:p>
                    <a:fld id="{377BBD81-8242-4A1F-A177-0B79699F79D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6291-4B49-87F2-D034990A779A}"/>
                </c:ext>
              </c:extLst>
            </c:dLbl>
            <c:dLbl>
              <c:idx val="3"/>
              <c:tx>
                <c:rich>
                  <a:bodyPr/>
                  <a:lstStyle/>
                  <a:p>
                    <a:fld id="{7E0DE0B5-D4BA-4DD4-A781-CA03B8502B2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6291-4B49-87F2-D034990A779A}"/>
                </c:ext>
              </c:extLst>
            </c:dLbl>
            <c:dLbl>
              <c:idx val="4"/>
              <c:tx>
                <c:rich>
                  <a:bodyPr/>
                  <a:lstStyle/>
                  <a:p>
                    <a:fld id="{FCDA5F42-A625-4937-8D11-2A2885655368}"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6291-4B49-87F2-D034990A779A}"/>
                </c:ext>
              </c:extLst>
            </c:dLbl>
            <c:dLbl>
              <c:idx val="5"/>
              <c:tx>
                <c:rich>
                  <a:bodyPr/>
                  <a:lstStyle/>
                  <a:p>
                    <a:fld id="{EE49C906-FBD8-4A7A-8130-6BE80B3F49BF}"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0-12B7-48B6-B7B2-8FD54361E262}"/>
                </c:ext>
              </c:extLst>
            </c:dLbl>
            <c:dLbl>
              <c:idx val="6"/>
              <c:tx>
                <c:rich>
                  <a:bodyPr/>
                  <a:lstStyle/>
                  <a:p>
                    <a:fld id="{50137627-F97F-4DD4-8769-83002C9F1AA3}"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12B7-48B6-B7B2-8FD54361E262}"/>
                </c:ext>
              </c:extLst>
            </c:dLbl>
            <c:dLbl>
              <c:idx val="7"/>
              <c:tx>
                <c:rich>
                  <a:bodyPr/>
                  <a:lstStyle/>
                  <a:p>
                    <a:fld id="{CF4AC267-E6F3-4A8E-BAC5-089D4E3A17BF}"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12B7-48B6-B7B2-8FD54361E262}"/>
                </c:ext>
              </c:extLst>
            </c:dLbl>
            <c:dLbl>
              <c:idx val="8"/>
              <c:tx>
                <c:rich>
                  <a:bodyPr/>
                  <a:lstStyle/>
                  <a:p>
                    <a:fld id="{2BC94CA7-8FDC-4570-A2A6-C84C75E9666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12B7-48B6-B7B2-8FD54361E262}"/>
                </c:ext>
              </c:extLst>
            </c:dLbl>
            <c:dLbl>
              <c:idx val="9"/>
              <c:tx>
                <c:rich>
                  <a:bodyPr/>
                  <a:lstStyle/>
                  <a:p>
                    <a:fld id="{ADC4E3FA-464C-4DD3-A1BC-47B96A26CEC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12B7-48B6-B7B2-8FD54361E262}"/>
                </c:ext>
              </c:extLst>
            </c:dLbl>
            <c:dLbl>
              <c:idx val="10"/>
              <c:tx>
                <c:rich>
                  <a:bodyPr/>
                  <a:lstStyle/>
                  <a:p>
                    <a:fld id="{2A25825F-1675-4A00-8B39-645135E5E0C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12B7-48B6-B7B2-8FD54361E262}"/>
                </c:ext>
              </c:extLst>
            </c:dLbl>
            <c:dLbl>
              <c:idx val="11"/>
              <c:tx>
                <c:rich>
                  <a:bodyPr/>
                  <a:lstStyle/>
                  <a:p>
                    <a:fld id="{46C42EDB-B23E-40D1-9680-132E2C8C9B09}"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12B7-48B6-B7B2-8FD54361E262}"/>
                </c:ext>
              </c:extLst>
            </c:dLbl>
            <c:dLbl>
              <c:idx val="12"/>
              <c:tx>
                <c:rich>
                  <a:bodyPr/>
                  <a:lstStyle/>
                  <a:p>
                    <a:fld id="{52FD1240-7DF2-4999-870A-D54FEBE5382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12B7-48B6-B7B2-8FD54361E262}"/>
                </c:ext>
              </c:extLst>
            </c:dLbl>
            <c:dLbl>
              <c:idx val="13"/>
              <c:tx>
                <c:rich>
                  <a:bodyPr/>
                  <a:lstStyle/>
                  <a:p>
                    <a:fld id="{45A1F12E-72A6-47D3-ABB6-987182D66E13}"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12B7-48B6-B7B2-8FD54361E262}"/>
                </c:ext>
              </c:extLst>
            </c:dLbl>
            <c:dLbl>
              <c:idx val="14"/>
              <c:tx>
                <c:rich>
                  <a:bodyPr/>
                  <a:lstStyle/>
                  <a:p>
                    <a:fld id="{1B18D2DE-24B1-4CDA-AC65-7062FB279C2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12B7-48B6-B7B2-8FD54361E262}"/>
                </c:ext>
              </c:extLst>
            </c:dLbl>
            <c:dLbl>
              <c:idx val="15"/>
              <c:tx>
                <c:rich>
                  <a:bodyPr/>
                  <a:lstStyle/>
                  <a:p>
                    <a:fld id="{054CDB3A-35AD-4ADA-8DAB-031BA71642DF}"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12B7-48B6-B7B2-8FD54361E262}"/>
                </c:ext>
              </c:extLst>
            </c:dLbl>
            <c:dLbl>
              <c:idx val="16"/>
              <c:tx>
                <c:rich>
                  <a:bodyPr/>
                  <a:lstStyle/>
                  <a:p>
                    <a:fld id="{963AA30B-AD79-4A26-B822-8FF374AD287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12B7-48B6-B7B2-8FD54361E262}"/>
                </c:ext>
              </c:extLst>
            </c:dLbl>
            <c:dLbl>
              <c:idx val="17"/>
              <c:tx>
                <c:rich>
                  <a:bodyPr/>
                  <a:lstStyle/>
                  <a:p>
                    <a:fld id="{D23BDFE2-0408-483C-AC31-737383080779}"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12B7-48B6-B7B2-8FD54361E262}"/>
                </c:ext>
              </c:extLst>
            </c:dLbl>
            <c:dLbl>
              <c:idx val="18"/>
              <c:tx>
                <c:rich>
                  <a:bodyPr/>
                  <a:lstStyle/>
                  <a:p>
                    <a:fld id="{9AE1BB49-799D-4024-8E21-C895F512D8E1}"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12B7-48B6-B7B2-8FD54361E262}"/>
                </c:ext>
              </c:extLst>
            </c:dLbl>
            <c:dLbl>
              <c:idx val="19"/>
              <c:tx>
                <c:rich>
                  <a:bodyPr/>
                  <a:lstStyle/>
                  <a:p>
                    <a:fld id="{75AFA22A-92F1-4318-B9D5-8EDF5C162BD1}"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E-12B7-48B6-B7B2-8FD54361E262}"/>
                </c:ext>
              </c:extLst>
            </c:dLbl>
            <c:dLbl>
              <c:idx val="20"/>
              <c:tx>
                <c:rich>
                  <a:bodyPr/>
                  <a:lstStyle/>
                  <a:p>
                    <a:fld id="{EA6ADCE0-F5BE-4E98-96DF-502C2B287A6F}"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F-12B7-48B6-B7B2-8FD54361E262}"/>
                </c:ext>
              </c:extLst>
            </c:dLbl>
            <c:dLbl>
              <c:idx val="21"/>
              <c:tx>
                <c:rich>
                  <a:bodyPr/>
                  <a:lstStyle/>
                  <a:p>
                    <a:fld id="{522300B9-0E78-4A4B-B31D-5F76323211CC}"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0-12B7-48B6-B7B2-8FD54361E262}"/>
                </c:ext>
              </c:extLst>
            </c:dLbl>
            <c:dLbl>
              <c:idx val="22"/>
              <c:tx>
                <c:rich>
                  <a:bodyPr/>
                  <a:lstStyle/>
                  <a:p>
                    <a:fld id="{28AAF1E3-3CBC-4038-9DBB-8A5BC869D5DF}"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1-12B7-48B6-B7B2-8FD54361E262}"/>
                </c:ext>
              </c:extLst>
            </c:dLbl>
            <c:dLbl>
              <c:idx val="23"/>
              <c:tx>
                <c:rich>
                  <a:bodyPr/>
                  <a:lstStyle/>
                  <a:p>
                    <a:fld id="{5081A264-131A-4FC0-B01D-D22368D2FE0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2-12B7-48B6-B7B2-8FD54361E262}"/>
                </c:ext>
              </c:extLst>
            </c:dLbl>
            <c:dLbl>
              <c:idx val="24"/>
              <c:tx>
                <c:rich>
                  <a:bodyPr/>
                  <a:lstStyle/>
                  <a:p>
                    <a:fld id="{39EB592F-8D6E-4485-915A-7A194CF2EA2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3-12B7-48B6-B7B2-8FD54361E262}"/>
                </c:ext>
              </c:extLst>
            </c:dLbl>
            <c:dLbl>
              <c:idx val="25"/>
              <c:tx>
                <c:rich>
                  <a:bodyPr/>
                  <a:lstStyle/>
                  <a:p>
                    <a:fld id="{C001F1ED-DEF0-4CF3-A16D-03F03AF9E24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4-12B7-48B6-B7B2-8FD54361E262}"/>
                </c:ext>
              </c:extLst>
            </c:dLbl>
            <c:dLbl>
              <c:idx val="26"/>
              <c:delete val="1"/>
              <c:extLst>
                <c:ext xmlns:c15="http://schemas.microsoft.com/office/drawing/2012/chart" uri="{CE6537A1-D6FC-4f65-9D91-7224C49458BB}"/>
                <c:ext xmlns:c16="http://schemas.microsoft.com/office/drawing/2014/chart" uri="{C3380CC4-5D6E-409C-BE32-E72D297353CC}">
                  <c16:uniqueId val="{00000000-CF1C-470A-880A-6CA17BBA750A}"/>
                </c:ext>
              </c:extLst>
            </c:dLbl>
            <c:dLbl>
              <c:idx val="27"/>
              <c:tx>
                <c:rich>
                  <a:bodyPr/>
                  <a:lstStyle/>
                  <a:p>
                    <a:fld id="{2C738200-C5C9-4B67-9937-CA4B41E5F6A8}"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5-12B7-48B6-B7B2-8FD54361E262}"/>
                </c:ext>
              </c:extLst>
            </c:dLbl>
            <c:dLbl>
              <c:idx val="28"/>
              <c:tx>
                <c:rich>
                  <a:bodyPr/>
                  <a:lstStyle/>
                  <a:p>
                    <a:fld id="{33ED5665-3FC4-45CA-B9AC-CED319E513E6}"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6-12B7-48B6-B7B2-8FD54361E262}"/>
                </c:ext>
              </c:extLst>
            </c:dLbl>
            <c:dLbl>
              <c:idx val="29"/>
              <c:delete val="1"/>
              <c:extLst>
                <c:ext xmlns:c15="http://schemas.microsoft.com/office/drawing/2012/chart" uri="{CE6537A1-D6FC-4f65-9D91-7224C49458BB}"/>
                <c:ext xmlns:c16="http://schemas.microsoft.com/office/drawing/2014/chart" uri="{C3380CC4-5D6E-409C-BE32-E72D297353CC}">
                  <c16:uniqueId val="{00000001-CF1C-470A-880A-6CA17BBA750A}"/>
                </c:ext>
              </c:extLst>
            </c:dLbl>
            <c:dLbl>
              <c:idx val="30"/>
              <c:tx>
                <c:rich>
                  <a:bodyPr/>
                  <a:lstStyle/>
                  <a:p>
                    <a:fld id="{0788415B-7BF7-4622-96C5-F256EAA0E5DA}"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7-12B7-48B6-B7B2-8FD54361E262}"/>
                </c:ext>
              </c:extLst>
            </c:dLbl>
            <c:dLbl>
              <c:idx val="31"/>
              <c:tx>
                <c:rich>
                  <a:bodyPr/>
                  <a:lstStyle/>
                  <a:p>
                    <a:fld id="{EDEE3409-5943-4717-A5AB-843363AF6C0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8-12B7-48B6-B7B2-8FD54361E262}"/>
                </c:ext>
              </c:extLst>
            </c:dLbl>
            <c:dLbl>
              <c:idx val="32"/>
              <c:tx>
                <c:rich>
                  <a:bodyPr/>
                  <a:lstStyle/>
                  <a:p>
                    <a:fld id="{66BB9BBB-C32D-41BE-9121-6B6805B07ED6}"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9-12B7-48B6-B7B2-8FD54361E262}"/>
                </c:ext>
              </c:extLst>
            </c:dLbl>
            <c:dLbl>
              <c:idx val="33"/>
              <c:tx>
                <c:rich>
                  <a:bodyPr/>
                  <a:lstStyle/>
                  <a:p>
                    <a:fld id="{D29DBFFC-A977-4568-B404-EFDCDA1AD63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A-12B7-48B6-B7B2-8FD54361E262}"/>
                </c:ext>
              </c:extLst>
            </c:dLbl>
            <c:dLbl>
              <c:idx val="34"/>
              <c:tx>
                <c:rich>
                  <a:bodyPr/>
                  <a:lstStyle/>
                  <a:p>
                    <a:fld id="{DD003C80-7DC8-4A88-95D9-6153AA8039DF}"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B-12B7-48B6-B7B2-8FD54361E262}"/>
                </c:ext>
              </c:extLst>
            </c:dLbl>
            <c:dLbl>
              <c:idx val="35"/>
              <c:tx>
                <c:rich>
                  <a:bodyPr/>
                  <a:lstStyle/>
                  <a:p>
                    <a:fld id="{6EB4CBE8-1159-4088-96CA-30C1AB6FF1C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C-12B7-48B6-B7B2-8FD54361E262}"/>
                </c:ext>
              </c:extLst>
            </c:dLbl>
            <c:dLbl>
              <c:idx val="36"/>
              <c:tx>
                <c:rich>
                  <a:bodyPr/>
                  <a:lstStyle/>
                  <a:p>
                    <a:fld id="{AA5BF593-0297-4AF5-BCFB-DBCF62267EDE}"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D-12B7-48B6-B7B2-8FD54361E262}"/>
                </c:ext>
              </c:extLst>
            </c:dLbl>
            <c:dLbl>
              <c:idx val="37"/>
              <c:tx>
                <c:rich>
                  <a:bodyPr/>
                  <a:lstStyle/>
                  <a:p>
                    <a:fld id="{30090A5E-DF96-483C-8FAC-500F010873D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E-12B7-48B6-B7B2-8FD54361E262}"/>
                </c:ext>
              </c:extLst>
            </c:dLbl>
            <c:dLbl>
              <c:idx val="38"/>
              <c:tx>
                <c:rich>
                  <a:bodyPr/>
                  <a:lstStyle/>
                  <a:p>
                    <a:fld id="{6C80F3AF-37C4-47E6-BC94-5E44985122A3}"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F-12B7-48B6-B7B2-8FD54361E262}"/>
                </c:ext>
              </c:extLst>
            </c:dLbl>
            <c:dLbl>
              <c:idx val="39"/>
              <c:tx>
                <c:rich>
                  <a:bodyPr/>
                  <a:lstStyle/>
                  <a:p>
                    <a:fld id="{32546DBE-44F6-4270-AE6B-52DE805F527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0-12B7-48B6-B7B2-8FD54361E262}"/>
                </c:ext>
              </c:extLst>
            </c:dLbl>
            <c:dLbl>
              <c:idx val="40"/>
              <c:tx>
                <c:rich>
                  <a:bodyPr/>
                  <a:lstStyle/>
                  <a:p>
                    <a:fld id="{9F0012B8-6F61-4F5E-8E27-C4967A1178A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1-12B7-48B6-B7B2-8FD54361E262}"/>
                </c:ext>
              </c:extLst>
            </c:dLbl>
            <c:dLbl>
              <c:idx val="41"/>
              <c:tx>
                <c:rich>
                  <a:bodyPr/>
                  <a:lstStyle/>
                  <a:p>
                    <a:fld id="{64841B30-501F-4145-B665-074A93BA4B3C}"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2-12B7-48B6-B7B2-8FD54361E262}"/>
                </c:ext>
              </c:extLst>
            </c:dLbl>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pPr xmlns:c15="http://schemas.microsoft.com/office/drawing/2012/chart">
                  <a:prstGeom prst="downArrowCallout">
                    <a:avLst/>
                  </a:prstGeom>
                  <a:noFill/>
                  <a:ln>
                    <a:noFill/>
                  </a:ln>
                </c15:spPr>
                <c15:showDataLabelsRange val="1"/>
                <c15:showLeaderLines val="1"/>
                <c15:leaderLines>
                  <c:spPr>
                    <a:ln w="9525">
                      <a:solidFill>
                        <a:schemeClr val="dk1">
                          <a:lumMod val="35000"/>
                          <a:lumOff val="65000"/>
                        </a:schemeClr>
                      </a:solidFill>
                    </a:ln>
                    <a:effectLst/>
                  </c:spPr>
                </c15:leaderLines>
              </c:ext>
            </c:extLst>
          </c:dLbls>
          <c:cat>
            <c:numRef>
              <c:f>'Adult Returns Data'!$B$4:$B$45</c:f>
              <c:numCache>
                <c:formatCode>General</c:formatCode>
                <c:ptCount val="42"/>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numCache>
            </c:numRef>
          </c:cat>
          <c:val>
            <c:numRef>
              <c:f>'Adult Returns Data'!$K$4:$K$45</c:f>
              <c:numCache>
                <c:formatCode>#,##0</c:formatCode>
                <c:ptCount val="42"/>
                <c:pt idx="0">
                  <c:v>0</c:v>
                </c:pt>
                <c:pt idx="1">
                  <c:v>0</c:v>
                </c:pt>
                <c:pt idx="2">
                  <c:v>0</c:v>
                </c:pt>
                <c:pt idx="3">
                  <c:v>0</c:v>
                </c:pt>
                <c:pt idx="4">
                  <c:v>0</c:v>
                </c:pt>
                <c:pt idx="5">
                  <c:v>121223</c:v>
                </c:pt>
                <c:pt idx="6">
                  <c:v>49135</c:v>
                </c:pt>
                <c:pt idx="7">
                  <c:v>99205.000000000015</c:v>
                </c:pt>
                <c:pt idx="8">
                  <c:v>78387.999999999985</c:v>
                </c:pt>
                <c:pt idx="9">
                  <c:v>0</c:v>
                </c:pt>
                <c:pt idx="10">
                  <c:v>0</c:v>
                </c:pt>
                <c:pt idx="11">
                  <c:v>0</c:v>
                </c:pt>
                <c:pt idx="12">
                  <c:v>0</c:v>
                </c:pt>
                <c:pt idx="13">
                  <c:v>0</c:v>
                </c:pt>
                <c:pt idx="14">
                  <c:v>2202</c:v>
                </c:pt>
                <c:pt idx="15">
                  <c:v>5238</c:v>
                </c:pt>
                <c:pt idx="16">
                  <c:v>23159.999999999996</c:v>
                </c:pt>
                <c:pt idx="17">
                  <c:v>36095.000000000007</c:v>
                </c:pt>
                <c:pt idx="18">
                  <c:v>7705</c:v>
                </c:pt>
                <c:pt idx="19">
                  <c:v>16715</c:v>
                </c:pt>
                <c:pt idx="20">
                  <c:v>73865.999999999985</c:v>
                </c:pt>
                <c:pt idx="21">
                  <c:v>83706.999999999956</c:v>
                </c:pt>
                <c:pt idx="22">
                  <c:v>14406</c:v>
                </c:pt>
                <c:pt idx="23">
                  <c:v>34992</c:v>
                </c:pt>
                <c:pt idx="24">
                  <c:v>91546.999999999985</c:v>
                </c:pt>
                <c:pt idx="25">
                  <c:v>59169.999999999993</c:v>
                </c:pt>
                <c:pt idx="26">
                  <c:v>27615.999999999996</c:v>
                </c:pt>
                <c:pt idx="27">
                  <c:v>19662.388732394367</c:v>
                </c:pt>
                <c:pt idx="28">
                  <c:v>178893.99999999997</c:v>
                </c:pt>
                <c:pt idx="29">
                  <c:v>135328.99999999997</c:v>
                </c:pt>
                <c:pt idx="30">
                  <c:v>342215.00000000006</c:v>
                </c:pt>
                <c:pt idx="31">
                  <c:v>59581</c:v>
                </c:pt>
                <c:pt idx="32">
                  <c:v>403813</c:v>
                </c:pt>
                <c:pt idx="33">
                  <c:v>98428</c:v>
                </c:pt>
                <c:pt idx="34">
                  <c:v>392143</c:v>
                </c:pt>
                <c:pt idx="35">
                  <c:v>180118.00000000003</c:v>
                </c:pt>
                <c:pt idx="36">
                  <c:v>163322</c:v>
                </c:pt>
                <c:pt idx="37">
                  <c:v>15680.000000000002</c:v>
                </c:pt>
                <c:pt idx="38">
                  <c:v>79516.000000000015</c:v>
                </c:pt>
                <c:pt idx="39">
                  <c:v>27803.999999999996</c:v>
                </c:pt>
                <c:pt idx="40">
                  <c:v>165131.99999999997</c:v>
                </c:pt>
                <c:pt idx="41">
                  <c:v>56431.000000000007</c:v>
                </c:pt>
              </c:numCache>
            </c:numRef>
          </c:val>
          <c:smooth val="0"/>
          <c:extLst>
            <c:ext xmlns:c15="http://schemas.microsoft.com/office/drawing/2012/chart" uri="{02D57815-91ED-43cb-92C2-25804820EDAC}">
              <c15:datalabelsRange>
                <c15:f>'Adult Returns Data'!$B$4:$B$45</c15:f>
                <c15:dlblRangeCache>
                  <c:ptCount val="42"/>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15:dlblRangeCache>
              </c15:datalabelsRange>
            </c:ext>
            <c:ext xmlns:c16="http://schemas.microsoft.com/office/drawing/2014/chart" uri="{C3380CC4-5D6E-409C-BE32-E72D297353CC}">
              <c16:uniqueId val="{00000000-6291-4B49-87F2-D034990A779A}"/>
            </c:ext>
          </c:extLst>
        </c:ser>
        <c:ser>
          <c:idx val="1"/>
          <c:order val="1"/>
          <c:tx>
            <c:strRef>
              <c:f>'Adult Returns Data'!$D$3</c:f>
              <c:strCache>
                <c:ptCount val="1"/>
                <c:pt idx="0">
                  <c:v>1.2 (42)</c:v>
                </c:pt>
              </c:strCache>
            </c:strRef>
          </c:tx>
          <c:spPr>
            <a:ln w="22225" cap="rnd" cmpd="sng" algn="ctr">
              <a:solidFill>
                <a:schemeClr val="accent2"/>
              </a:solidFill>
              <a:prstDash val="sysDash"/>
              <a:round/>
            </a:ln>
            <a:effectLst/>
          </c:spPr>
          <c:marker>
            <c:symbol val="none"/>
          </c:marker>
          <c:dLbls>
            <c:delete val="1"/>
          </c:dLbls>
          <c:val>
            <c:numRef>
              <c:f>'Adult Returns Data'!$D$4:$D$45</c:f>
              <c:numCache>
                <c:formatCode>#,##0</c:formatCode>
                <c:ptCount val="42"/>
                <c:pt idx="0">
                  <c:v>0</c:v>
                </c:pt>
                <c:pt idx="1">
                  <c:v>0</c:v>
                </c:pt>
                <c:pt idx="2">
                  <c:v>0</c:v>
                </c:pt>
                <c:pt idx="3">
                  <c:v>0</c:v>
                </c:pt>
                <c:pt idx="4">
                  <c:v>0</c:v>
                </c:pt>
                <c:pt idx="5">
                  <c:v>106676.24</c:v>
                </c:pt>
                <c:pt idx="6">
                  <c:v>40576.951951951953</c:v>
                </c:pt>
                <c:pt idx="7">
                  <c:v>45634.30000000001</c:v>
                </c:pt>
                <c:pt idx="8">
                  <c:v>75957.971999999994</c:v>
                </c:pt>
                <c:pt idx="9">
                  <c:v>0</c:v>
                </c:pt>
                <c:pt idx="10">
                  <c:v>0</c:v>
                </c:pt>
                <c:pt idx="11">
                  <c:v>0</c:v>
                </c:pt>
                <c:pt idx="12">
                  <c:v>0</c:v>
                </c:pt>
                <c:pt idx="13">
                  <c:v>0</c:v>
                </c:pt>
                <c:pt idx="14">
                  <c:v>277.452</c:v>
                </c:pt>
                <c:pt idx="15">
                  <c:v>2697.7274549098202</c:v>
                </c:pt>
                <c:pt idx="16">
                  <c:v>19894.439999999999</c:v>
                </c:pt>
                <c:pt idx="17">
                  <c:v>34542.915000000001</c:v>
                </c:pt>
                <c:pt idx="18">
                  <c:v>6079.2449999999999</c:v>
                </c:pt>
                <c:pt idx="19">
                  <c:v>14176.858141858142</c:v>
                </c:pt>
                <c:pt idx="20">
                  <c:v>62047.439999999981</c:v>
                </c:pt>
                <c:pt idx="21">
                  <c:v>79020.988419768371</c:v>
                </c:pt>
                <c:pt idx="22">
                  <c:v>7159.7820000000002</c:v>
                </c:pt>
                <c:pt idx="23">
                  <c:v>29035.91489361702</c:v>
                </c:pt>
                <c:pt idx="24">
                  <c:v>87258.647657841138</c:v>
                </c:pt>
                <c:pt idx="25">
                  <c:v>57010.51094890511</c:v>
                </c:pt>
                <c:pt idx="26">
                  <c:v>24394.133333333331</c:v>
                </c:pt>
                <c:pt idx="27">
                  <c:v>10268.784619885486</c:v>
                </c:pt>
                <c:pt idx="28">
                  <c:v>169163.36401673639</c:v>
                </c:pt>
                <c:pt idx="29">
                  <c:v>119009.91470588234</c:v>
                </c:pt>
                <c:pt idx="30">
                  <c:v>305066.66118421056</c:v>
                </c:pt>
                <c:pt idx="31">
                  <c:v>47860.147540983606</c:v>
                </c:pt>
                <c:pt idx="32">
                  <c:v>394518.0716112532</c:v>
                </c:pt>
                <c:pt idx="33">
                  <c:v>65055.416309012879</c:v>
                </c:pt>
                <c:pt idx="34">
                  <c:v>351009.11888111889</c:v>
                </c:pt>
                <c:pt idx="35">
                  <c:v>169154.29565217393</c:v>
                </c:pt>
                <c:pt idx="36">
                  <c:v>156275.11167512691</c:v>
                </c:pt>
                <c:pt idx="37">
                  <c:v>11753.78763866878</c:v>
                </c:pt>
                <c:pt idx="38">
                  <c:v>77633.964497041423</c:v>
                </c:pt>
                <c:pt idx="39">
                  <c:v>14595.061583577712</c:v>
                </c:pt>
                <c:pt idx="40">
                  <c:v>160343.17199999999</c:v>
                </c:pt>
                <c:pt idx="41">
                  <c:v>43169.715000000004</c:v>
                </c:pt>
              </c:numCache>
            </c:numRef>
          </c:val>
          <c:smooth val="0"/>
          <c:extLst>
            <c:ext xmlns:c16="http://schemas.microsoft.com/office/drawing/2014/chart" uri="{C3380CC4-5D6E-409C-BE32-E72D297353CC}">
              <c16:uniqueId val="{00000000-45BF-4FEF-A8A1-5D594850ECAF}"/>
            </c:ext>
          </c:extLst>
        </c:ser>
        <c:dLbls>
          <c:dLblPos val="t"/>
          <c:showLegendKey val="0"/>
          <c:showVal val="1"/>
          <c:showCatName val="0"/>
          <c:showSerName val="0"/>
          <c:showPercent val="0"/>
          <c:showBubbleSize val="0"/>
        </c:dLbls>
        <c:dropLines>
          <c:spPr>
            <a:ln w="9525" cap="flat" cmpd="sng" algn="ctr">
              <a:solidFill>
                <a:schemeClr val="dk1">
                  <a:lumMod val="35000"/>
                  <a:lumOff val="65000"/>
                  <a:alpha val="33000"/>
                </a:schemeClr>
              </a:solidFill>
              <a:round/>
            </a:ln>
            <a:effectLst/>
          </c:spPr>
        </c:dropLines>
        <c:smooth val="0"/>
        <c:axId val="984719775"/>
        <c:axId val="984715199"/>
      </c:lineChart>
      <c:catAx>
        <c:axId val="984719775"/>
        <c:scaling>
          <c:orientation val="minMax"/>
        </c:scaling>
        <c:delete val="0"/>
        <c:axPos val="b"/>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50" b="0" i="0" u="none" strike="noStrike" kern="1200" spc="20" baseline="0">
                <a:solidFill>
                  <a:schemeClr val="dk1">
                    <a:lumMod val="65000"/>
                    <a:lumOff val="35000"/>
                  </a:schemeClr>
                </a:solidFill>
                <a:latin typeface="+mn-lt"/>
                <a:ea typeface="+mn-ea"/>
                <a:cs typeface="+mn-cs"/>
              </a:defRPr>
            </a:pPr>
            <a:endParaRPr lang="en-US"/>
          </a:p>
        </c:txPr>
        <c:crossAx val="984715199"/>
        <c:crosses val="autoZero"/>
        <c:auto val="1"/>
        <c:lblAlgn val="ctr"/>
        <c:lblOffset val="100"/>
        <c:tickLblSkip val="2"/>
        <c:noMultiLvlLbl val="0"/>
      </c:catAx>
      <c:valAx>
        <c:axId val="984715199"/>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984719775"/>
        <c:crosses val="autoZero"/>
        <c:crossBetween val="midCat"/>
        <c:dispUnits>
          <c:builtInUnit val="thousands"/>
          <c:dispUnitsLbl>
            <c:spPr>
              <a:noFill/>
              <a:ln>
                <a:noFill/>
              </a:ln>
              <a:effectLst/>
            </c:spPr>
            <c:txPr>
              <a:bodyPr rot="-5400000" spcFirstLastPara="1" vertOverflow="ellipsis" vert="horz" wrap="square" anchor="ctr" anchorCtr="1"/>
              <a:lstStyle/>
              <a:p>
                <a:pPr>
                  <a:defRPr sz="900" b="0" i="0" u="none" strike="noStrike" kern="1200" cap="all" baseline="0">
                    <a:solidFill>
                      <a:schemeClr val="dk1">
                        <a:lumMod val="65000"/>
                        <a:lumOff val="35000"/>
                      </a:schemeClr>
                    </a:solidFill>
                    <a:latin typeface="+mn-lt"/>
                    <a:ea typeface="+mn-ea"/>
                    <a:cs typeface="+mn-cs"/>
                  </a:defRPr>
                </a:pPr>
                <a:endParaRPr lang="en-US"/>
              </a:p>
            </c:txPr>
          </c:dispUnitsLbl>
        </c:dispUnits>
      </c:valAx>
      <c:spPr>
        <a:gradFill>
          <a:gsLst>
            <a:gs pos="100000">
              <a:schemeClr val="lt1">
                <a:lumMod val="95000"/>
              </a:schemeClr>
            </a:gs>
            <a:gs pos="0">
              <a:schemeClr val="lt1"/>
            </a:gs>
          </a:gsLst>
          <a:lin ang="5400000" scaled="0"/>
        </a:grad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Osoyoos SAR</a:t>
            </a:r>
            <a:r>
              <a:rPr lang="en-US" baseline="0"/>
              <a:t> Survival (by Smolt Year)</a:t>
            </a:r>
            <a:endParaRPr lang="en-US"/>
          </a:p>
        </c:rich>
      </c:tx>
      <c:layout>
        <c:manualLayout>
          <c:xMode val="edge"/>
          <c:yMode val="edge"/>
          <c:x val="0.35769670963853278"/>
          <c:y val="2.78746052469371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4.6872193517079837E-2"/>
          <c:y val="0.11645163573182102"/>
          <c:w val="0.93311017857766465"/>
          <c:h val="0.78521817891940349"/>
        </c:manualLayout>
      </c:layout>
      <c:lineChart>
        <c:grouping val="standard"/>
        <c:varyColors val="0"/>
        <c:ser>
          <c:idx val="1"/>
          <c:order val="0"/>
          <c:tx>
            <c:strRef>
              <c:f>'Smolt to Adult Survival'!$E$2:$E$3</c:f>
              <c:strCache>
                <c:ptCount val="2"/>
                <c:pt idx="0">
                  <c:v>SAR</c:v>
                </c:pt>
              </c:strCache>
            </c:strRef>
          </c:tx>
          <c:spPr>
            <a:ln w="28575" cap="rnd">
              <a:solidFill>
                <a:schemeClr val="accent2"/>
              </a:solidFill>
              <a:round/>
            </a:ln>
            <a:effectLst/>
          </c:spPr>
          <c:marker>
            <c:symbol val="circle"/>
            <c:size val="5"/>
            <c:spPr>
              <a:solidFill>
                <a:schemeClr val="tx1"/>
              </a:solidFill>
              <a:ln w="9525">
                <a:solidFill>
                  <a:schemeClr val="tx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'Smolt to Adult Survival'!$B$22:$B$43</c:f>
              <c:numCache>
                <c:formatCode>General</c:formatCode>
                <c:ptCount val="22"/>
                <c:pt idx="0">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numCache>
            </c:numRef>
          </c:cat>
          <c:val>
            <c:numRef>
              <c:f>'Smolt to Adult Survival'!$E$22:$E$43</c:f>
              <c:numCache>
                <c:formatCode>0.0%</c:formatCode>
                <c:ptCount val="22"/>
                <c:pt idx="0">
                  <c:v>5.5547192976618184E-2</c:v>
                </c:pt>
                <c:pt idx="1">
                  <c:v>2.9999370809164944E-2</c:v>
                </c:pt>
                <c:pt idx="2">
                  <c:v>6.10211704452676E-2</c:v>
                </c:pt>
                <c:pt idx="3">
                  <c:v>2.1560461641168229E-2</c:v>
                </c:pt>
                <c:pt idx="4">
                  <c:v>3.1126797580781101E-2</c:v>
                </c:pt>
                <c:pt idx="5">
                  <c:v>3.0146049630900222E-2</c:v>
                </c:pt>
                <c:pt idx="6">
                  <c:v>4.3960006675285143E-2</c:v>
                </c:pt>
                <c:pt idx="7">
                  <c:v>1.6826264095705794E-2</c:v>
                </c:pt>
                <c:pt idx="8">
                  <c:v>0.10326532298394375</c:v>
                </c:pt>
                <c:pt idx="9">
                  <c:v>7.6446574308200413E-2</c:v>
                </c:pt>
                <c:pt idx="10">
                  <c:v>0.14666776570815485</c:v>
                </c:pt>
                <c:pt idx="11">
                  <c:v>7.2256767120507118E-2</c:v>
                </c:pt>
                <c:pt idx="12">
                  <c:v>5.445649710450251E-2</c:v>
                </c:pt>
                <c:pt idx="13">
                  <c:v>0.11286966195222624</c:v>
                </c:pt>
                <c:pt idx="14">
                  <c:v>8.57689420540345E-2</c:v>
                </c:pt>
                <c:pt idx="15">
                  <c:v>7.7695425987646435E-2</c:v>
                </c:pt>
                <c:pt idx="16">
                  <c:v>3.2593985138640855E-2</c:v>
                </c:pt>
                <c:pt idx="17">
                  <c:v>6.7769373373122877E-3</c:v>
                </c:pt>
                <c:pt idx="18">
                  <c:v>1.1874747631106923E-2</c:v>
                </c:pt>
                <c:pt idx="19">
                  <c:v>9.6919993127911712E-3</c:v>
                </c:pt>
                <c:pt idx="20">
                  <c:v>4.0838887433818756E-2</c:v>
                </c:pt>
                <c:pt idx="21">
                  <c:v>5.9341498348256479E-2</c:v>
                </c:pt>
              </c:numCache>
            </c:numRef>
          </c:val>
          <c:smooth val="0"/>
          <c:extLst>
            <c:ext xmlns:c16="http://schemas.microsoft.com/office/drawing/2014/chart" uri="{C3380CC4-5D6E-409C-BE32-E72D297353CC}">
              <c16:uniqueId val="{00000001-F8D7-4A99-B129-CDE46B88DF89}"/>
            </c:ext>
          </c:extLst>
        </c:ser>
        <c:dLbls>
          <c:showLegendKey val="0"/>
          <c:showVal val="0"/>
          <c:showCatName val="0"/>
          <c:showSerName val="0"/>
          <c:showPercent val="0"/>
          <c:showBubbleSize val="0"/>
        </c:dLbls>
        <c:marker val="1"/>
        <c:smooth val="0"/>
        <c:axId val="1546788320"/>
        <c:axId val="1546786656"/>
      </c:lineChart>
      <c:catAx>
        <c:axId val="15467883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6786656"/>
        <c:crosses val="autoZero"/>
        <c:auto val="1"/>
        <c:lblAlgn val="ctr"/>
        <c:lblOffset val="100"/>
        <c:tickLblSkip val="2"/>
        <c:noMultiLvlLbl val="0"/>
      </c:catAx>
      <c:valAx>
        <c:axId val="154678665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678832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Osoysoo Sockeye Smolts and Adults (by Smolt Year)</a:t>
            </a:r>
          </a:p>
        </c:rich>
      </c:tx>
      <c:layout>
        <c:manualLayout>
          <c:xMode val="edge"/>
          <c:yMode val="edge"/>
          <c:x val="0.32447689828512966"/>
          <c:y val="1.510683266577786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6.3699335058866158E-2"/>
          <c:y val="0.1127788841569901"/>
          <c:w val="0.86898729629019422"/>
          <c:h val="0.8426174208768652"/>
        </c:manualLayout>
      </c:layout>
      <c:lineChart>
        <c:grouping val="standard"/>
        <c:varyColors val="0"/>
        <c:ser>
          <c:idx val="0"/>
          <c:order val="0"/>
          <c:tx>
            <c:strRef>
              <c:f>'Smolt to Adult Survival'!$C$2:$C$3</c:f>
              <c:strCache>
                <c:ptCount val="2"/>
                <c:pt idx="0">
                  <c:v>Total Pre-Smolt Abundance (#fish)</c:v>
                </c:pt>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movingAvg"/>
            <c:period val="4"/>
            <c:dispRSqr val="0"/>
            <c:dispEq val="0"/>
          </c:trendline>
          <c:cat>
            <c:numRef>
              <c:f>'Smolt to Adult Survival'!$B$22:$B$43</c:f>
              <c:numCache>
                <c:formatCode>General</c:formatCode>
                <c:ptCount val="22"/>
                <c:pt idx="0">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numCache>
            </c:numRef>
          </c:cat>
          <c:val>
            <c:numRef>
              <c:f>'Smolt to Adult Survival'!$C$22:$C$43</c:f>
              <c:numCache>
                <c:formatCode>#,##0</c:formatCode>
                <c:ptCount val="22"/>
                <c:pt idx="0">
                  <c:v>1209167</c:v>
                </c:pt>
                <c:pt idx="1">
                  <c:v>3099743</c:v>
                </c:pt>
                <c:pt idx="2">
                  <c:v>281333</c:v>
                </c:pt>
                <c:pt idx="3">
                  <c:v>1446600</c:v>
                </c:pt>
                <c:pt idx="4">
                  <c:v>2927009</c:v>
                </c:pt>
                <c:pt idx="5">
                  <c:v>2080978</c:v>
                </c:pt>
                <c:pt idx="6">
                  <c:v>627855</c:v>
                </c:pt>
                <c:pt idx="7">
                  <c:v>735805</c:v>
                </c:pt>
                <c:pt idx="8">
                  <c:v>1783500</c:v>
                </c:pt>
                <c:pt idx="9">
                  <c:v>2026709</c:v>
                </c:pt>
                <c:pt idx="10">
                  <c:v>2133694</c:v>
                </c:pt>
                <c:pt idx="11">
                  <c:v>875327</c:v>
                </c:pt>
                <c:pt idx="12">
                  <c:v>7488306</c:v>
                </c:pt>
                <c:pt idx="13">
                  <c:v>812439.5</c:v>
                </c:pt>
                <c:pt idx="14">
                  <c:v>4435800</c:v>
                </c:pt>
                <c:pt idx="15">
                  <c:v>2603607</c:v>
                </c:pt>
                <c:pt idx="16">
                  <c:v>4938991</c:v>
                </c:pt>
                <c:pt idx="17">
                  <c:v>2209546</c:v>
                </c:pt>
                <c:pt idx="18">
                  <c:v>7383151</c:v>
                </c:pt>
                <c:pt idx="19">
                  <c:v>1885712</c:v>
                </c:pt>
                <c:pt idx="20">
                  <c:v>4122796</c:v>
                </c:pt>
                <c:pt idx="21">
                  <c:v>1556054</c:v>
                </c:pt>
              </c:numCache>
            </c:numRef>
          </c:val>
          <c:smooth val="0"/>
          <c:extLst>
            <c:ext xmlns:c16="http://schemas.microsoft.com/office/drawing/2014/chart" uri="{C3380CC4-5D6E-409C-BE32-E72D297353CC}">
              <c16:uniqueId val="{00000000-F674-4900-A13E-6234953F916D}"/>
            </c:ext>
          </c:extLst>
        </c:ser>
        <c:dLbls>
          <c:showLegendKey val="0"/>
          <c:showVal val="0"/>
          <c:showCatName val="0"/>
          <c:showSerName val="0"/>
          <c:showPercent val="0"/>
          <c:showBubbleSize val="0"/>
        </c:dLbls>
        <c:marker val="1"/>
        <c:smooth val="0"/>
        <c:axId val="1833001488"/>
        <c:axId val="1833021040"/>
      </c:lineChart>
      <c:lineChart>
        <c:grouping val="standard"/>
        <c:varyColors val="0"/>
        <c:ser>
          <c:idx val="1"/>
          <c:order val="1"/>
          <c:tx>
            <c:strRef>
              <c:f>'Smolt to Adult Survival'!$D$2:$D$3</c:f>
              <c:strCache>
                <c:ptCount val="2"/>
                <c:pt idx="0">
                  <c:v>Total Adult Returns (#fish)</c:v>
                </c:pt>
              </c:strCache>
            </c:strRef>
          </c:tx>
          <c:spPr>
            <a:ln w="28575" cap="rnd">
              <a:solidFill>
                <a:srgbClr val="C00000"/>
              </a:solidFill>
              <a:round/>
            </a:ln>
            <a:effectLst/>
          </c:spPr>
          <c:marker>
            <c:symbol val="none"/>
          </c:marker>
          <c:trendline>
            <c:spPr>
              <a:ln w="19050" cap="rnd">
                <a:solidFill>
                  <a:srgbClr val="C00000"/>
                </a:solidFill>
                <a:prstDash val="sysDot"/>
              </a:ln>
              <a:effectLst/>
            </c:spPr>
            <c:trendlineType val="movingAvg"/>
            <c:period val="4"/>
            <c:dispRSqr val="0"/>
            <c:dispEq val="0"/>
          </c:trendline>
          <c:cat>
            <c:numRef>
              <c:f>'Smolt to Adult Survival'!$B$22:$B$43</c:f>
              <c:numCache>
                <c:formatCode>General</c:formatCode>
                <c:ptCount val="22"/>
                <c:pt idx="0">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numCache>
            </c:numRef>
          </c:cat>
          <c:val>
            <c:numRef>
              <c:f>'Smolt to Adult Survival'!$D$22:$D$43</c:f>
              <c:numCache>
                <c:formatCode>#,##0</c:formatCode>
                <c:ptCount val="22"/>
                <c:pt idx="0">
                  <c:v>67165.832689958479</c:v>
                </c:pt>
                <c:pt idx="1">
                  <c:v>92990.339670113375</c:v>
                </c:pt>
                <c:pt idx="2">
                  <c:v>17167.268944878469</c:v>
                </c:pt>
                <c:pt idx="3">
                  <c:v>31189.363810113962</c:v>
                </c:pt>
                <c:pt idx="4">
                  <c:v>91108.416660124509</c:v>
                </c:pt>
                <c:pt idx="5">
                  <c:v>62733.266068811485</c:v>
                </c:pt>
                <c:pt idx="6">
                  <c:v>27600.509991111154</c:v>
                </c:pt>
                <c:pt idx="7">
                  <c:v>12380.849252940803</c:v>
                </c:pt>
                <c:pt idx="8">
                  <c:v>184173.70354186368</c:v>
                </c:pt>
                <c:pt idx="9">
                  <c:v>154934.96016959855</c:v>
                </c:pt>
                <c:pt idx="10">
                  <c:v>312944.13168489572</c:v>
                </c:pt>
                <c:pt idx="11">
                  <c:v>63248.299193292129</c:v>
                </c:pt>
                <c:pt idx="12">
                  <c:v>407786.91400662879</c:v>
                </c:pt>
                <c:pt idx="13">
                  <c:v>91699.771721635712</c:v>
                </c:pt>
                <c:pt idx="14">
                  <c:v>380453.87316328625</c:v>
                </c:pt>
                <c:pt idx="15">
                  <c:v>202288.35496941817</c:v>
                </c:pt>
                <c:pt idx="16">
                  <c:v>160981.39925388093</c:v>
                </c:pt>
                <c:pt idx="17">
                  <c:v>14973.954785909016</c:v>
                </c:pt>
                <c:pt idx="18">
                  <c:v>87673.05484735471</c:v>
                </c:pt>
                <c:pt idx="19">
                  <c:v>18276.319408122064</c:v>
                </c:pt>
                <c:pt idx="20">
                  <c:v>168370.40175659824</c:v>
                </c:pt>
                <c:pt idx="21">
                  <c:v>92338.575870797882</c:v>
                </c:pt>
              </c:numCache>
            </c:numRef>
          </c:val>
          <c:smooth val="0"/>
          <c:extLst>
            <c:ext xmlns:c16="http://schemas.microsoft.com/office/drawing/2014/chart" uri="{C3380CC4-5D6E-409C-BE32-E72D297353CC}">
              <c16:uniqueId val="{00000001-F674-4900-A13E-6234953F916D}"/>
            </c:ext>
          </c:extLst>
        </c:ser>
        <c:dLbls>
          <c:showLegendKey val="0"/>
          <c:showVal val="0"/>
          <c:showCatName val="0"/>
          <c:showSerName val="0"/>
          <c:showPercent val="0"/>
          <c:showBubbleSize val="0"/>
        </c:dLbls>
        <c:marker val="1"/>
        <c:smooth val="0"/>
        <c:axId val="1805171888"/>
        <c:axId val="1805178960"/>
      </c:lineChart>
      <c:catAx>
        <c:axId val="18330014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3021040"/>
        <c:crosses val="autoZero"/>
        <c:auto val="1"/>
        <c:lblAlgn val="ctr"/>
        <c:lblOffset val="100"/>
        <c:noMultiLvlLbl val="0"/>
      </c:catAx>
      <c:valAx>
        <c:axId val="183302104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3001488"/>
        <c:crosses val="autoZero"/>
        <c:crossBetween val="midCat"/>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valAx>
        <c:axId val="1805178960"/>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5171888"/>
        <c:crosses val="max"/>
        <c:crossBetween val="between"/>
      </c:valAx>
      <c:catAx>
        <c:axId val="1805171888"/>
        <c:scaling>
          <c:orientation val="minMax"/>
        </c:scaling>
        <c:delete val="1"/>
        <c:axPos val="b"/>
        <c:numFmt formatCode="General" sourceLinked="1"/>
        <c:majorTickMark val="out"/>
        <c:minorTickMark val="none"/>
        <c:tickLblPos val="nextTo"/>
        <c:crossAx val="1805178960"/>
        <c:crosses val="autoZero"/>
        <c:auto val="1"/>
        <c:lblAlgn val="ctr"/>
        <c:lblOffset val="100"/>
        <c:noMultiLvlLbl val="0"/>
      </c:catAx>
      <c:spPr>
        <a:noFill/>
        <a:ln>
          <a:noFill/>
        </a:ln>
        <a:effectLst/>
      </c:spPr>
    </c:plotArea>
    <c:legend>
      <c:legendPos val="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Okanagan</a:t>
            </a:r>
            <a:r>
              <a:rPr lang="en-US" baseline="0"/>
              <a:t> Sockeye Returns</a:t>
            </a:r>
            <a:r>
              <a:rPr lang="en-US"/>
              <a:t> - Before &amp; After Adjusting for 16-hr Dam Count Issues at Wells Dam</a:t>
            </a:r>
          </a:p>
        </c:rich>
      </c:tx>
      <c:layout>
        <c:manualLayout>
          <c:xMode val="edge"/>
          <c:yMode val="edge"/>
          <c:x val="0.12729295987029698"/>
          <c:y val="2.303906168185150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Compare!$F$1</c:f>
              <c:strCache>
                <c:ptCount val="1"/>
                <c:pt idx="0">
                  <c:v>Total Adult Returns (#fish)</c:v>
                </c:pt>
              </c:strCache>
            </c:strRef>
          </c:tx>
          <c:spPr>
            <a:ln w="28575" cap="rnd">
              <a:solidFill>
                <a:srgbClr val="C00000"/>
              </a:solidFill>
              <a:prstDash val="sysDot"/>
              <a:round/>
            </a:ln>
            <a:effectLst/>
          </c:spPr>
          <c:marker>
            <c:symbol val="none"/>
          </c:marker>
          <c:cat>
            <c:numRef>
              <c:f>Compare!$B$3:$B$38</c:f>
              <c:numCache>
                <c:formatCode>General</c:formatCode>
                <c:ptCount val="36"/>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pt idx="33">
                  <c:v>2018</c:v>
                </c:pt>
                <c:pt idx="34">
                  <c:v>2019</c:v>
                </c:pt>
                <c:pt idx="35">
                  <c:v>2020</c:v>
                </c:pt>
              </c:numCache>
            </c:numRef>
          </c:cat>
          <c:val>
            <c:numRef>
              <c:f>Compare!$F$3:$F$38</c:f>
              <c:numCache>
                <c:formatCode>#,##0</c:formatCode>
                <c:ptCount val="36"/>
                <c:pt idx="0">
                  <c:v>49037.546372544442</c:v>
                </c:pt>
                <c:pt idx="1">
                  <c:v>124204.3860786443</c:v>
                </c:pt>
                <c:pt idx="2">
                  <c:v>24700.564783817583</c:v>
                </c:pt>
                <c:pt idx="3">
                  <c:v>4400.387879416503</c:v>
                </c:pt>
                <c:pt idx="4">
                  <c:v>34556.87493687361</c:v>
                </c:pt>
                <c:pt idx="5">
                  <c:v>54906.419445586442</c:v>
                </c:pt>
                <c:pt idx="6">
                  <c:v>55582.547326624168</c:v>
                </c:pt>
                <c:pt idx="7">
                  <c:v>465.53921930971723</c:v>
                </c:pt>
                <c:pt idx="8">
                  <c:v>4120.3060751993589</c:v>
                </c:pt>
                <c:pt idx="9">
                  <c:v>22494.768663760049</c:v>
                </c:pt>
                <c:pt idx="10">
                  <c:v>34761.092851429115</c:v>
                </c:pt>
                <c:pt idx="11">
                  <c:v>5519.5842790799425</c:v>
                </c:pt>
                <c:pt idx="12">
                  <c:v>12016.412514199601</c:v>
                </c:pt>
                <c:pt idx="13">
                  <c:v>66240.873902233187</c:v>
                </c:pt>
                <c:pt idx="14">
                  <c:v>92448.136808080191</c:v>
                </c:pt>
                <c:pt idx="15">
                  <c:v>12049.94561980284</c:v>
                </c:pt>
                <c:pt idx="16">
                  <c:v>16622.037586407274</c:v>
                </c:pt>
                <c:pt idx="17">
                  <c:v>106864.90952893894</c:v>
                </c:pt>
                <c:pt idx="18">
                  <c:v>62446.490751800593</c:v>
                </c:pt>
                <c:pt idx="19">
                  <c:v>26041.946542730446</c:v>
                </c:pt>
                <c:pt idx="20">
                  <c:v>14067.455922063551</c:v>
                </c:pt>
                <c:pt idx="21">
                  <c:v>189012.20700374336</c:v>
                </c:pt>
                <c:pt idx="22">
                  <c:v>169283.90374214994</c:v>
                </c:pt>
                <c:pt idx="23">
                  <c:v>319774.68988652661</c:v>
                </c:pt>
                <c:pt idx="24">
                  <c:v>112296.28635392216</c:v>
                </c:pt>
                <c:pt idx="25">
                  <c:v>442680.38987207116</c:v>
                </c:pt>
                <c:pt idx="26">
                  <c:v>124462.92839489631</c:v>
                </c:pt>
                <c:pt idx="27">
                  <c:v>516532.62148500269</c:v>
                </c:pt>
                <c:pt idx="28">
                  <c:v>412490.71682260424</c:v>
                </c:pt>
                <c:pt idx="29">
                  <c:v>248400.48143557095</c:v>
                </c:pt>
                <c:pt idx="30">
                  <c:v>46242.158083180897</c:v>
                </c:pt>
                <c:pt idx="31">
                  <c:v>200489.4104860459</c:v>
                </c:pt>
                <c:pt idx="32">
                  <c:v>30927.572186354275</c:v>
                </c:pt>
                <c:pt idx="33">
                  <c:v>297008.13375995029</c:v>
                </c:pt>
                <c:pt idx="34">
                  <c:v>79631.887807613923</c:v>
                </c:pt>
              </c:numCache>
            </c:numRef>
          </c:val>
          <c:smooth val="0"/>
          <c:extLst>
            <c:ext xmlns:c16="http://schemas.microsoft.com/office/drawing/2014/chart" uri="{C3380CC4-5D6E-409C-BE32-E72D297353CC}">
              <c16:uniqueId val="{0000000B-7296-4509-A3AA-3C84177B86F0}"/>
            </c:ext>
          </c:extLst>
        </c:ser>
        <c:ser>
          <c:idx val="1"/>
          <c:order val="1"/>
          <c:tx>
            <c:strRef>
              <c:f>Compare!$D$1</c:f>
              <c:strCache>
                <c:ptCount val="1"/>
                <c:pt idx="0">
                  <c:v>Total Adult Returns (old)</c:v>
                </c:pt>
              </c:strCache>
            </c:strRef>
          </c:tx>
          <c:spPr>
            <a:ln w="28575" cap="rnd">
              <a:solidFill>
                <a:schemeClr val="bg1">
                  <a:lumMod val="50000"/>
                </a:schemeClr>
              </a:solidFill>
              <a:prstDash val="solid"/>
              <a:round/>
            </a:ln>
            <a:effectLst/>
          </c:spPr>
          <c:marker>
            <c:symbol val="none"/>
          </c:marker>
          <c:cat>
            <c:numRef>
              <c:f>Compare!$B$3:$B$38</c:f>
              <c:numCache>
                <c:formatCode>General</c:formatCode>
                <c:ptCount val="36"/>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pt idx="33">
                  <c:v>2018</c:v>
                </c:pt>
                <c:pt idx="34">
                  <c:v>2019</c:v>
                </c:pt>
                <c:pt idx="35">
                  <c:v>2020</c:v>
                </c:pt>
              </c:numCache>
            </c:numRef>
          </c:cat>
          <c:val>
            <c:numRef>
              <c:f>Compare!$D$3:$D$38</c:f>
              <c:numCache>
                <c:formatCode>#,##0</c:formatCode>
                <c:ptCount val="36"/>
                <c:pt idx="0">
                  <c:v>43322.532713027773</c:v>
                </c:pt>
                <c:pt idx="1">
                  <c:v>109721.73783678295</c:v>
                </c:pt>
                <c:pt idx="2">
                  <c:v>21839.309252422143</c:v>
                </c:pt>
                <c:pt idx="3">
                  <c:v>3888.0000732112444</c:v>
                </c:pt>
                <c:pt idx="4">
                  <c:v>30527.274679216971</c:v>
                </c:pt>
                <c:pt idx="5">
                  <c:v>48501.848482911286</c:v>
                </c:pt>
                <c:pt idx="6">
                  <c:v>49065.908287143844</c:v>
                </c:pt>
                <c:pt idx="7">
                  <c:v>411.31249901824526</c:v>
                </c:pt>
                <c:pt idx="8">
                  <c:v>3645.125593487634</c:v>
                </c:pt>
                <c:pt idx="9">
                  <c:v>19876.541355619949</c:v>
                </c:pt>
                <c:pt idx="10">
                  <c:v>30828.842873952919</c:v>
                </c:pt>
                <c:pt idx="11">
                  <c:v>5481.0093678845178</c:v>
                </c:pt>
                <c:pt idx="12">
                  <c:v>12005.266908481181</c:v>
                </c:pt>
                <c:pt idx="13">
                  <c:v>66238.856681959907</c:v>
                </c:pt>
                <c:pt idx="14">
                  <c:v>90773.533096657018</c:v>
                </c:pt>
                <c:pt idx="15">
                  <c:v>12005.073246854503</c:v>
                </c:pt>
                <c:pt idx="16">
                  <c:v>19912.056591689725</c:v>
                </c:pt>
                <c:pt idx="17">
                  <c:v>107855.99048533605</c:v>
                </c:pt>
                <c:pt idx="18">
                  <c:v>62386.995670271557</c:v>
                </c:pt>
                <c:pt idx="19">
                  <c:v>26039.65461597922</c:v>
                </c:pt>
                <c:pt idx="20">
                  <c:v>14067.455922063551</c:v>
                </c:pt>
                <c:pt idx="21">
                  <c:v>189012.20700374336</c:v>
                </c:pt>
                <c:pt idx="22">
                  <c:v>169288.27976202028</c:v>
                </c:pt>
                <c:pt idx="23">
                  <c:v>319827.82070317888</c:v>
                </c:pt>
                <c:pt idx="24">
                  <c:v>112296.86593772291</c:v>
                </c:pt>
                <c:pt idx="25">
                  <c:v>443124.78133622988</c:v>
                </c:pt>
                <c:pt idx="26">
                  <c:v>137291.87662291367</c:v>
                </c:pt>
                <c:pt idx="27">
                  <c:v>519871.59415617655</c:v>
                </c:pt>
                <c:pt idx="28">
                  <c:v>412842.79026956437</c:v>
                </c:pt>
                <c:pt idx="29">
                  <c:v>248395.31689877357</c:v>
                </c:pt>
                <c:pt idx="30">
                  <c:v>46242.874778949139</c:v>
                </c:pt>
                <c:pt idx="31">
                  <c:v>200525.81239455636</c:v>
                </c:pt>
                <c:pt idx="32">
                  <c:v>30927.178701274381</c:v>
                </c:pt>
                <c:pt idx="33">
                  <c:v>297007.93187965243</c:v>
                </c:pt>
                <c:pt idx="34">
                  <c:v>79631.887807613923</c:v>
                </c:pt>
              </c:numCache>
            </c:numRef>
          </c:val>
          <c:smooth val="0"/>
          <c:extLst>
            <c:ext xmlns:c16="http://schemas.microsoft.com/office/drawing/2014/chart" uri="{C3380CC4-5D6E-409C-BE32-E72D297353CC}">
              <c16:uniqueId val="{0000000C-7296-4509-A3AA-3C84177B86F0}"/>
            </c:ext>
          </c:extLst>
        </c:ser>
        <c:dLbls>
          <c:showLegendKey val="0"/>
          <c:showVal val="0"/>
          <c:showCatName val="0"/>
          <c:showSerName val="0"/>
          <c:showPercent val="0"/>
          <c:showBubbleSize val="0"/>
        </c:dLbls>
        <c:smooth val="0"/>
        <c:axId val="1454155151"/>
        <c:axId val="1572154111"/>
      </c:lineChart>
      <c:catAx>
        <c:axId val="145415515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572154111"/>
        <c:crosses val="autoZero"/>
        <c:auto val="1"/>
        <c:lblAlgn val="ctr"/>
        <c:lblOffset val="100"/>
        <c:tickLblSkip val="5"/>
        <c:noMultiLvlLbl val="0"/>
      </c:catAx>
      <c:valAx>
        <c:axId val="157215411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454155151"/>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Okanagan 'Marine Survival' - Before &amp; After Adjusting for 16-hr Dam Count Issues at Wells Dam</a:t>
            </a:r>
          </a:p>
        </c:rich>
      </c:tx>
      <c:layout>
        <c:manualLayout>
          <c:xMode val="edge"/>
          <c:yMode val="edge"/>
          <c:x val="0.16760973452832437"/>
          <c:y val="1.047230076447795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5"/>
          <c:order val="0"/>
          <c:tx>
            <c:strRef>
              <c:f>Compare!$G$1</c:f>
              <c:strCache>
                <c:ptCount val="1"/>
                <c:pt idx="0">
                  <c:v>Marine Survival (%)</c:v>
                </c:pt>
              </c:strCache>
            </c:strRef>
          </c:tx>
          <c:spPr>
            <a:ln w="28575" cap="rnd">
              <a:solidFill>
                <a:srgbClr val="C00000"/>
              </a:solidFill>
              <a:round/>
            </a:ln>
            <a:effectLst/>
          </c:spPr>
          <c:marker>
            <c:symbol val="none"/>
          </c:marker>
          <c:cat>
            <c:numRef>
              <c:f>Compare!$B$3:$B$38</c:f>
              <c:numCache>
                <c:formatCode>General</c:formatCode>
                <c:ptCount val="36"/>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pt idx="33">
                  <c:v>2018</c:v>
                </c:pt>
                <c:pt idx="34">
                  <c:v>2019</c:v>
                </c:pt>
                <c:pt idx="35">
                  <c:v>2020</c:v>
                </c:pt>
              </c:numCache>
            </c:numRef>
          </c:cat>
          <c:val>
            <c:numRef>
              <c:f>Compare!$G$2:$G$38</c:f>
              <c:numCache>
                <c:formatCode>0.00%</c:formatCode>
                <c:ptCount val="37"/>
                <c:pt idx="1">
                  <c:v>2.632772621697279E-2</c:v>
                </c:pt>
                <c:pt idx="2">
                  <c:v>5.1319581811712631E-2</c:v>
                </c:pt>
                <c:pt idx="3">
                  <c:v>1.8842142594741026E-2</c:v>
                </c:pt>
                <c:pt idx="4">
                  <c:v>8.2959218279499564E-3</c:v>
                </c:pt>
                <c:pt idx="5">
                  <c:v>4.7249724170343219E-2</c:v>
                </c:pt>
                <c:pt idx="6">
                  <c:v>0.17377606324507369</c:v>
                </c:pt>
                <c:pt idx="7">
                  <c:v>0.11458976280664812</c:v>
                </c:pt>
                <c:pt idx="8">
                  <c:v>2.6245235414570568E-3</c:v>
                </c:pt>
                <c:pt idx="9">
                  <c:v>2.784867184747328E-3</c:v>
                </c:pt>
                <c:pt idx="10">
                  <c:v>3.2391117788349875E-2</c:v>
                </c:pt>
                <c:pt idx="11">
                  <c:v>3.5498894418250201E-2</c:v>
                </c:pt>
                <c:pt idx="12">
                  <c:v>3.9366515665308507E-2</c:v>
                </c:pt>
                <c:pt idx="13">
                  <c:v>3.1622616362508474E-2</c:v>
                </c:pt>
                <c:pt idx="14">
                  <c:v>5.4782237608397504E-2</c:v>
                </c:pt>
                <c:pt idx="15">
                  <c:v>2.9824452158801616E-2</c:v>
                </c:pt>
                <c:pt idx="16">
                  <c:v>4.2831611008316978E-2</c:v>
                </c:pt>
                <c:pt idx="17" formatCode="0.000%">
                  <c:v>1.1490417244855021E-2</c:v>
                </c:pt>
                <c:pt idx="18">
                  <c:v>3.6509935408103954E-2</c:v>
                </c:pt>
                <c:pt idx="19">
                  <c:v>3.0008241678576415E-2</c:v>
                </c:pt>
                <c:pt idx="20">
                  <c:v>4.1477644587891223E-2</c:v>
                </c:pt>
                <c:pt idx="21">
                  <c:v>1.9118456550395214E-2</c:v>
                </c:pt>
                <c:pt idx="22">
                  <c:v>0.10597824895079527</c:v>
                </c:pt>
                <c:pt idx="23">
                  <c:v>8.3526497263371274E-2</c:v>
                </c:pt>
                <c:pt idx="24">
                  <c:v>0.14986904864827225</c:v>
                </c:pt>
                <c:pt idx="25">
                  <c:v>0.12829066892021171</c:v>
                </c:pt>
                <c:pt idx="26">
                  <c:v>5.9116226002525959E-2</c:v>
                </c:pt>
                <c:pt idx="27">
                  <c:v>0.13389863102456648</c:v>
                </c:pt>
                <c:pt idx="28">
                  <c:v>0.11644632794197274</c:v>
                </c:pt>
                <c:pt idx="29">
                  <c:v>0.14231497922934419</c:v>
                </c:pt>
                <c:pt idx="30">
                  <c:v>4.9659001143428465E-2</c:v>
                </c:pt>
                <c:pt idx="31">
                  <c:v>2.0928352739965992E-2</c:v>
                </c:pt>
                <c:pt idx="32">
                  <c:v>2.7154992561583245E-2</c:v>
                </c:pt>
                <c:pt idx="33">
                  <c:v>1.6401005130345606E-2</c:v>
                </c:pt>
                <c:pt idx="34">
                  <c:v>7.2040463258417411E-2</c:v>
                </c:pt>
                <c:pt idx="35">
                  <c:v>8.725940710113865E-2</c:v>
                </c:pt>
              </c:numCache>
            </c:numRef>
          </c:val>
          <c:smooth val="0"/>
          <c:extLst>
            <c:ext xmlns:c16="http://schemas.microsoft.com/office/drawing/2014/chart" uri="{C3380CC4-5D6E-409C-BE32-E72D297353CC}">
              <c16:uniqueId val="{00000000-617F-463F-B9CD-112F2DB1C058}"/>
            </c:ext>
          </c:extLst>
        </c:ser>
        <c:ser>
          <c:idx val="3"/>
          <c:order val="1"/>
          <c:tx>
            <c:strRef>
              <c:f>Compare!$E$1</c:f>
              <c:strCache>
                <c:ptCount val="1"/>
                <c:pt idx="0">
                  <c:v>Marine Survival (old)</c:v>
                </c:pt>
              </c:strCache>
            </c:strRef>
          </c:tx>
          <c:spPr>
            <a:ln w="28575" cap="rnd">
              <a:solidFill>
                <a:schemeClr val="accent4"/>
              </a:solidFill>
              <a:round/>
            </a:ln>
            <a:effectLst/>
          </c:spPr>
          <c:marker>
            <c:symbol val="none"/>
          </c:marker>
          <c:cat>
            <c:numRef>
              <c:f>Compare!$B$3:$B$38</c:f>
              <c:numCache>
                <c:formatCode>General</c:formatCode>
                <c:ptCount val="36"/>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pt idx="33">
                  <c:v>2018</c:v>
                </c:pt>
                <c:pt idx="34">
                  <c:v>2019</c:v>
                </c:pt>
                <c:pt idx="35">
                  <c:v>2020</c:v>
                </c:pt>
              </c:numCache>
            </c:numRef>
          </c:cat>
          <c:val>
            <c:numRef>
              <c:f>Compare!$E$2:$E$38</c:f>
              <c:numCache>
                <c:formatCode>0.00%</c:formatCode>
                <c:ptCount val="37"/>
                <c:pt idx="1">
                  <c:v>2.3259397434555216E-2</c:v>
                </c:pt>
                <c:pt idx="2">
                  <c:v>4.5335546345945346E-2</c:v>
                </c:pt>
                <c:pt idx="3">
                  <c:v>1.6659512958763445E-2</c:v>
                </c:pt>
                <c:pt idx="4">
                  <c:v>7.3299321692298592E-3</c:v>
                </c:pt>
                <c:pt idx="5">
                  <c:v>4.1740039019737829E-2</c:v>
                </c:pt>
                <c:pt idx="6">
                  <c:v>0.15350591742413974</c:v>
                </c:pt>
                <c:pt idx="7">
                  <c:v>0.10115496793403343</c:v>
                </c:pt>
                <c:pt idx="8">
                  <c:v>2.3188150252293573E-3</c:v>
                </c:pt>
                <c:pt idx="9">
                  <c:v>2.4636981972498682E-3</c:v>
                </c:pt>
                <c:pt idx="10">
                  <c:v>2.8621027488587508E-2</c:v>
                </c:pt>
                <c:pt idx="11">
                  <c:v>3.1483182732394636E-2</c:v>
                </c:pt>
                <c:pt idx="12">
                  <c:v>3.9091393524023674E-2</c:v>
                </c:pt>
                <c:pt idx="13">
                  <c:v>3.1593285377628844E-2</c:v>
                </c:pt>
                <c:pt idx="14">
                  <c:v>5.4780569335716164E-2</c:v>
                </c:pt>
                <c:pt idx="15">
                  <c:v>2.9284212625581223E-2</c:v>
                </c:pt>
                <c:pt idx="16">
                  <c:v>4.2672111863359445E-2</c:v>
                </c:pt>
                <c:pt idx="17" formatCode="0.000%">
                  <c:v>1.3764728737515363E-2</c:v>
                </c:pt>
                <c:pt idx="18">
                  <c:v>3.6848533942101323E-2</c:v>
                </c:pt>
                <c:pt idx="19">
                  <c:v>2.9979651716775264E-2</c:v>
                </c:pt>
                <c:pt idx="20">
                  <c:v>4.1473994180151817E-2</c:v>
                </c:pt>
                <c:pt idx="21">
                  <c:v>1.9118456550395214E-2</c:v>
                </c:pt>
                <c:pt idx="22">
                  <c:v>0.10597824895079527</c:v>
                </c:pt>
                <c:pt idx="23">
                  <c:v>8.3528656438600843E-2</c:v>
                </c:pt>
                <c:pt idx="24">
                  <c:v>0.14989394950877627</c:v>
                </c:pt>
                <c:pt idx="25">
                  <c:v>0.12829133105424934</c:v>
                </c:pt>
                <c:pt idx="26">
                  <c:v>5.917557072804315E-2</c:v>
                </c:pt>
                <c:pt idx="27">
                  <c:v>0.14770015913714946</c:v>
                </c:pt>
                <c:pt idx="28">
                  <c:v>0.11719906085850952</c:v>
                </c:pt>
                <c:pt idx="29">
                  <c:v>0.14243644941824274</c:v>
                </c:pt>
                <c:pt idx="30">
                  <c:v>4.9657968674661719E-2</c:v>
                </c:pt>
                <c:pt idx="31">
                  <c:v>2.0928677103327624E-2</c:v>
                </c:pt>
                <c:pt idx="32">
                  <c:v>2.7159922964403189E-2</c:v>
                </c:pt>
                <c:pt idx="33">
                  <c:v>1.640079646376243E-2</c:v>
                </c:pt>
                <c:pt idx="34">
                  <c:v>7.204041429157601E-2</c:v>
                </c:pt>
                <c:pt idx="35">
                  <c:v>8.725940710113865E-2</c:v>
                </c:pt>
              </c:numCache>
            </c:numRef>
          </c:val>
          <c:smooth val="0"/>
          <c:extLst>
            <c:ext xmlns:c16="http://schemas.microsoft.com/office/drawing/2014/chart" uri="{C3380CC4-5D6E-409C-BE32-E72D297353CC}">
              <c16:uniqueId val="{00000001-617F-463F-B9CD-112F2DB1C058}"/>
            </c:ext>
          </c:extLst>
        </c:ser>
        <c:dLbls>
          <c:showLegendKey val="0"/>
          <c:showVal val="0"/>
          <c:showCatName val="0"/>
          <c:showSerName val="0"/>
          <c:showPercent val="0"/>
          <c:showBubbleSize val="0"/>
        </c:dLbls>
        <c:smooth val="0"/>
        <c:axId val="1454155151"/>
        <c:axId val="1572154111"/>
      </c:lineChart>
      <c:catAx>
        <c:axId val="145415515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572154111"/>
        <c:crosses val="autoZero"/>
        <c:auto val="1"/>
        <c:lblAlgn val="ctr"/>
        <c:lblOffset val="100"/>
        <c:tickLblSkip val="5"/>
        <c:noMultiLvlLbl val="0"/>
      </c:catAx>
      <c:valAx>
        <c:axId val="157215411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454155151"/>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Stock Composition</a:t>
            </a:r>
            <a:r>
              <a:rPr lang="en-US" baseline="0"/>
              <a:t> - Dam count Ratios</a:t>
            </a:r>
            <a:endParaRPr lang="en-US"/>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'Sockeye Returns Data'!$P$1</c:f>
              <c:strCache>
                <c:ptCount val="1"/>
                <c:pt idx="0">
                  <c:v>Okanagan Sockeye Stock Comp (%)</c:v>
                </c:pt>
              </c:strCache>
            </c:strRef>
          </c:tx>
          <c:spPr>
            <a:ln w="22225" cap="rnd">
              <a:solidFill>
                <a:schemeClr val="accent1"/>
              </a:solidFill>
              <a:round/>
            </a:ln>
            <a:effectLst/>
          </c:spPr>
          <c:marker>
            <c:symbol val="none"/>
          </c:marker>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Data'!$P$2:$P$46</c:f>
            </c:numRef>
          </c:val>
          <c:smooth val="0"/>
          <c:extLst>
            <c:ext xmlns:c16="http://schemas.microsoft.com/office/drawing/2014/chart" uri="{C3380CC4-5D6E-409C-BE32-E72D297353CC}">
              <c16:uniqueId val="{00000000-6B43-4DCA-B5B4-872DA7895044}"/>
            </c:ext>
          </c:extLst>
        </c:ser>
        <c:ser>
          <c:idx val="2"/>
          <c:order val="1"/>
          <c:tx>
            <c:strRef>
              <c:f>'Sockeye Returns Data'!$R$1</c:f>
              <c:strCache>
                <c:ptCount val="1"/>
                <c:pt idx="0">
                  <c:v>Ok Stock Comp (Wells:RI)</c:v>
                </c:pt>
              </c:strCache>
            </c:strRef>
          </c:tx>
          <c:spPr>
            <a:ln w="22225" cap="rnd">
              <a:solidFill>
                <a:schemeClr val="accent3"/>
              </a:solidFill>
              <a:round/>
            </a:ln>
            <a:effectLst/>
          </c:spPr>
          <c:marker>
            <c:symbol val="none"/>
          </c:marker>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Data'!$R$2:$R$46</c:f>
            </c:numRef>
          </c:val>
          <c:smooth val="0"/>
          <c:extLst>
            <c:ext xmlns:c16="http://schemas.microsoft.com/office/drawing/2014/chart" uri="{C3380CC4-5D6E-409C-BE32-E72D297353CC}">
              <c16:uniqueId val="{00000002-6B43-4DCA-B5B4-872DA7895044}"/>
            </c:ext>
          </c:extLst>
        </c:ser>
        <c:dLbls>
          <c:showLegendKey val="0"/>
          <c:showVal val="0"/>
          <c:showCatName val="0"/>
          <c:showSerName val="0"/>
          <c:showPercent val="0"/>
          <c:showBubbleSize val="0"/>
        </c:dLbls>
        <c:upDownBars>
          <c:gapWidth val="199"/>
          <c:upBars>
            <c:spPr>
              <a:solidFill>
                <a:schemeClr val="lt1"/>
              </a:solidFill>
              <a:ln w="9525">
                <a:solidFill>
                  <a:schemeClr val="tx1">
                    <a:lumMod val="65000"/>
                    <a:lumOff val="35000"/>
                  </a:schemeClr>
                </a:solidFill>
              </a:ln>
              <a:effectLst/>
            </c:spPr>
          </c:upBars>
          <c:downBars>
            <c:spPr>
              <a:solidFill>
                <a:schemeClr val="dk1">
                  <a:lumMod val="75000"/>
                  <a:lumOff val="25000"/>
                </a:schemeClr>
              </a:solidFill>
              <a:ln w="3175">
                <a:solidFill>
                  <a:schemeClr val="tx1">
                    <a:lumMod val="15000"/>
                    <a:lumOff val="85000"/>
                  </a:schemeClr>
                </a:solidFill>
              </a:ln>
              <a:effectLst/>
            </c:spPr>
          </c:downBars>
        </c:upDownBars>
        <c:marker val="1"/>
        <c:smooth val="0"/>
        <c:axId val="1351648463"/>
        <c:axId val="1351657199"/>
      </c:lineChart>
      <c:catAx>
        <c:axId val="135164846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351657199"/>
        <c:crosses val="autoZero"/>
        <c:auto val="1"/>
        <c:lblAlgn val="ctr"/>
        <c:lblOffset val="100"/>
        <c:tickLblSkip val="2"/>
        <c:noMultiLvlLbl val="0"/>
      </c:catAx>
      <c:valAx>
        <c:axId val="13516571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1648463"/>
        <c:crosses val="autoZero"/>
        <c:crossBetween val="midCat"/>
      </c:valAx>
      <c:spPr>
        <a:noFill/>
        <a:ln>
          <a:noFill/>
        </a:ln>
        <a:effectLst/>
      </c:spPr>
    </c:plotArea>
    <c:legend>
      <c:legendPos val="b"/>
      <c:overlay val="0"/>
      <c:spPr>
        <a:noFill/>
        <a:ln>
          <a:solidFill>
            <a:schemeClr val="bg1">
              <a:lumMod val="65000"/>
            </a:schemeClr>
          </a:solid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Okanagan Sockeye Returns to Columbia (from dam counts)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'Sockeye Returns Data'!$Y$1</c:f>
              <c:strCache>
                <c:ptCount val="1"/>
                <c:pt idx="0">
                  <c:v>OK Sox at Mouth (RRH:RI)</c:v>
                </c:pt>
              </c:strCache>
            </c:strRef>
          </c:tx>
          <c:spPr>
            <a:ln w="28575" cap="rnd">
              <a:solidFill>
                <a:schemeClr val="accent1"/>
              </a:solidFill>
              <a:round/>
            </a:ln>
            <a:effectLst/>
          </c:spPr>
          <c:marker>
            <c:symbol val="none"/>
          </c:marker>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Data'!$Y$2:$Y$46</c:f>
              <c:numCache>
                <c:formatCode>#,##0</c:formatCode>
                <c:ptCount val="45"/>
                <c:pt idx="0">
                  <c:v>33101.954327359999</c:v>
                </c:pt>
                <c:pt idx="1">
                  <c:v>11870.46014616</c:v>
                </c:pt>
                <c:pt idx="2">
                  <c:v>34957.195095039999</c:v>
                </c:pt>
                <c:pt idx="3">
                  <c:v>39084.094549759997</c:v>
                </c:pt>
                <c:pt idx="4">
                  <c:v>42315.935527369991</c:v>
                </c:pt>
                <c:pt idx="5">
                  <c:v>27026.863085559999</c:v>
                </c:pt>
                <c:pt idx="6">
                  <c:v>38654.638556630001</c:v>
                </c:pt>
                <c:pt idx="7">
                  <c:v>141211.31116259997</c:v>
                </c:pt>
                <c:pt idx="8">
                  <c:v>121222.57999999999</c:v>
                </c:pt>
                <c:pt idx="9">
                  <c:v>49134.840000000004</c:v>
                </c:pt>
                <c:pt idx="10">
                  <c:v>99205.260000000009</c:v>
                </c:pt>
                <c:pt idx="11">
                  <c:v>78388.44</c:v>
                </c:pt>
                <c:pt idx="12">
                  <c:v>18255.719999999998</c:v>
                </c:pt>
                <c:pt idx="13">
                  <c:v>12393.119999999999</c:v>
                </c:pt>
                <c:pt idx="14">
                  <c:v>39765</c:v>
                </c:pt>
                <c:pt idx="15">
                  <c:v>60990.479999999996</c:v>
                </c:pt>
                <c:pt idx="16">
                  <c:v>40051.68</c:v>
                </c:pt>
                <c:pt idx="17">
                  <c:v>2201.84</c:v>
                </c:pt>
                <c:pt idx="18">
                  <c:v>5238.0199999999995</c:v>
                </c:pt>
                <c:pt idx="19">
                  <c:v>23159.78</c:v>
                </c:pt>
                <c:pt idx="20">
                  <c:v>36094.980000000003</c:v>
                </c:pt>
                <c:pt idx="21">
                  <c:v>7705.2599999999993</c:v>
                </c:pt>
                <c:pt idx="22">
                  <c:v>16714.88</c:v>
                </c:pt>
                <c:pt idx="23">
                  <c:v>73865.919999999998</c:v>
                </c:pt>
                <c:pt idx="24">
                  <c:v>83706.659999999989</c:v>
                </c:pt>
                <c:pt idx="25">
                  <c:v>14406.28</c:v>
                </c:pt>
                <c:pt idx="26">
                  <c:v>34991.68</c:v>
                </c:pt>
                <c:pt idx="27">
                  <c:v>91546.69</c:v>
                </c:pt>
                <c:pt idx="28">
                  <c:v>59170.020000000004</c:v>
                </c:pt>
                <c:pt idx="29">
                  <c:v>27616.32</c:v>
                </c:pt>
                <c:pt idx="30">
                  <c:v>22344.34</c:v>
                </c:pt>
                <c:pt idx="31">
                  <c:v>190819.05</c:v>
                </c:pt>
                <c:pt idx="32">
                  <c:v>154546</c:v>
                </c:pt>
                <c:pt idx="33">
                  <c:v>355037.43</c:v>
                </c:pt>
                <c:pt idx="34">
                  <c:v>171571.84</c:v>
                </c:pt>
                <c:pt idx="35">
                  <c:v>461764.8</c:v>
                </c:pt>
                <c:pt idx="36">
                  <c:v>159339.12</c:v>
                </c:pt>
                <c:pt idx="37">
                  <c:v>538818.56999999995</c:v>
                </c:pt>
                <c:pt idx="38">
                  <c:v>437686.74000000005</c:v>
                </c:pt>
                <c:pt idx="39">
                  <c:v>275427.03999999998</c:v>
                </c:pt>
                <c:pt idx="40">
                  <c:v>58110.720000000001</c:v>
                </c:pt>
                <c:pt idx="41">
                  <c:v>187072.80000000002</c:v>
                </c:pt>
                <c:pt idx="42">
                  <c:v>54549.599999999999</c:v>
                </c:pt>
                <c:pt idx="43">
                  <c:v>308775.25</c:v>
                </c:pt>
                <c:pt idx="44">
                  <c:v>114039.36</c:v>
                </c:pt>
              </c:numCache>
            </c:numRef>
          </c:val>
          <c:smooth val="0"/>
          <c:extLst>
            <c:ext xmlns:c16="http://schemas.microsoft.com/office/drawing/2014/chart" uri="{C3380CC4-5D6E-409C-BE32-E72D297353CC}">
              <c16:uniqueId val="{00000000-287C-4459-9771-0AFA87A23493}"/>
            </c:ext>
          </c:extLst>
        </c:ser>
        <c:ser>
          <c:idx val="1"/>
          <c:order val="1"/>
          <c:tx>
            <c:strRef>
              <c:f>'Sockeye Returns Data'!$Z$1</c:f>
              <c:strCache>
                <c:ptCount val="1"/>
                <c:pt idx="0">
                  <c:v>OK Sox at Mouth (Wells:RI)</c:v>
                </c:pt>
              </c:strCache>
            </c:strRef>
          </c:tx>
          <c:spPr>
            <a:ln w="28575" cap="rnd">
              <a:solidFill>
                <a:schemeClr val="accent2"/>
              </a:solidFill>
              <a:round/>
            </a:ln>
            <a:effectLst/>
          </c:spPr>
          <c:marker>
            <c:symbol val="none"/>
          </c:marker>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Data'!$Z$2:$Z$46</c:f>
              <c:numCache>
                <c:formatCode>#,##0</c:formatCode>
                <c:ptCount val="45"/>
                <c:pt idx="0">
                  <c:v>28506.198082384417</c:v>
                </c:pt>
                <c:pt idx="1">
                  <c:v>10915.906450421655</c:v>
                </c:pt>
                <c:pt idx="2">
                  <c:v>32581.954655973394</c:v>
                </c:pt>
                <c:pt idx="3">
                  <c:v>34885.984459002189</c:v>
                </c:pt>
                <c:pt idx="4">
                  <c:v>39302.444098014217</c:v>
                </c:pt>
                <c:pt idx="5">
                  <c:v>27198.725742936505</c:v>
                </c:pt>
                <c:pt idx="6">
                  <c:v>38212.472413740375</c:v>
                </c:pt>
                <c:pt idx="7">
                  <c:v>141389.83073428046</c:v>
                </c:pt>
                <c:pt idx="8">
                  <c:v>119421.89669744184</c:v>
                </c:pt>
                <c:pt idx="9">
                  <c:v>49194.172795372375</c:v>
                </c:pt>
                <c:pt idx="10">
                  <c:v>97705.678225224692</c:v>
                </c:pt>
                <c:pt idx="11">
                  <c:v>78603.091319275278</c:v>
                </c:pt>
                <c:pt idx="12">
                  <c:v>21040.559628265524</c:v>
                </c:pt>
                <c:pt idx="13">
                  <c:v>10075.847349387217</c:v>
                </c:pt>
                <c:pt idx="14">
                  <c:v>39840.767243516471</c:v>
                </c:pt>
                <c:pt idx="15">
                  <c:v>61405.320741146003</c:v>
                </c:pt>
                <c:pt idx="16">
                  <c:v>40080.499756026205</c:v>
                </c:pt>
                <c:pt idx="17">
                  <c:v>2148.8811668866015</c:v>
                </c:pt>
                <c:pt idx="18">
                  <c:v>6127.5825327640196</c:v>
                </c:pt>
                <c:pt idx="19">
                  <c:v>21258.123356067797</c:v>
                </c:pt>
                <c:pt idx="20">
                  <c:v>32754.973044622202</c:v>
                </c:pt>
                <c:pt idx="21">
                  <c:v>6757.5517463038359</c:v>
                </c:pt>
                <c:pt idx="22">
                  <c:v>14606.775942207934</c:v>
                </c:pt>
                <c:pt idx="23">
                  <c:v>76145.92806357173</c:v>
                </c:pt>
                <c:pt idx="24">
                  <c:v>86190.333880198392</c:v>
                </c:pt>
                <c:pt idx="25">
                  <c:v>12374.011935920578</c:v>
                </c:pt>
                <c:pt idx="26">
                  <c:v>34364.683055867048</c:v>
                </c:pt>
                <c:pt idx="27">
                  <c:v>94351.300011250074</c:v>
                </c:pt>
                <c:pt idx="28">
                  <c:v>59172.916926403283</c:v>
                </c:pt>
                <c:pt idx="29">
                  <c:v>24100.782762154162</c:v>
                </c:pt>
                <c:pt idx="30">
                  <c:v>24090.133863965733</c:v>
                </c:pt>
                <c:pt idx="31">
                  <c:v>191579.00919277998</c:v>
                </c:pt>
                <c:pt idx="32">
                  <c:v>154303.68728121353</c:v>
                </c:pt>
                <c:pt idx="33">
                  <c:v>351942.53494132601</c:v>
                </c:pt>
                <c:pt idx="34">
                  <c:v>148794.3532246032</c:v>
                </c:pt>
                <c:pt idx="35">
                  <c:v>436577.71185037261</c:v>
                </c:pt>
                <c:pt idx="36">
                  <c:v>158647.64750438076</c:v>
                </c:pt>
                <c:pt idx="37">
                  <c:v>548284.52235592925</c:v>
                </c:pt>
                <c:pt idx="38">
                  <c:v>381882.57985174441</c:v>
                </c:pt>
                <c:pt idx="39">
                  <c:v>252278.33429678966</c:v>
                </c:pt>
                <c:pt idx="40">
                  <c:v>52455.196836843403</c:v>
                </c:pt>
                <c:pt idx="41">
                  <c:v>181621.58712625501</c:v>
                </c:pt>
                <c:pt idx="42">
                  <c:v>54641.981353095864</c:v>
                </c:pt>
                <c:pt idx="43">
                  <c:v>292885.32076379971</c:v>
                </c:pt>
                <c:pt idx="44">
                  <c:v>110434.38093757715</c:v>
                </c:pt>
              </c:numCache>
            </c:numRef>
          </c:val>
          <c:smooth val="0"/>
          <c:extLst>
            <c:ext xmlns:c16="http://schemas.microsoft.com/office/drawing/2014/chart" uri="{C3380CC4-5D6E-409C-BE32-E72D297353CC}">
              <c16:uniqueId val="{00000001-287C-4459-9771-0AFA87A23493}"/>
            </c:ext>
          </c:extLst>
        </c:ser>
        <c:dLbls>
          <c:showLegendKey val="0"/>
          <c:showVal val="0"/>
          <c:showCatName val="0"/>
          <c:showSerName val="0"/>
          <c:showPercent val="0"/>
          <c:showBubbleSize val="0"/>
        </c:dLbls>
        <c:upDownBars>
          <c:gapWidth val="150"/>
          <c:upBars>
            <c:spPr>
              <a:solidFill>
                <a:schemeClr val="lt1"/>
              </a:solidFill>
              <a:ln w="9525">
                <a:solidFill>
                  <a:schemeClr val="tx1">
                    <a:lumMod val="15000"/>
                    <a:lumOff val="85000"/>
                  </a:schemeClr>
                </a:solidFill>
              </a:ln>
              <a:effectLst/>
            </c:spPr>
          </c:upBars>
          <c:downBars>
            <c:spPr>
              <a:solidFill>
                <a:schemeClr val="tx1">
                  <a:lumMod val="65000"/>
                  <a:lumOff val="35000"/>
                </a:schemeClr>
              </a:solidFill>
              <a:ln w="3175" cmpd="sng">
                <a:noFill/>
              </a:ln>
              <a:effectLst/>
            </c:spPr>
          </c:downBars>
        </c:upDownBars>
        <c:smooth val="0"/>
        <c:axId val="303565920"/>
        <c:axId val="303566336"/>
        <c:extLst/>
      </c:lineChart>
      <c:catAx>
        <c:axId val="3035659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3566336"/>
        <c:crosses val="autoZero"/>
        <c:auto val="1"/>
        <c:lblAlgn val="ctr"/>
        <c:lblOffset val="100"/>
        <c:noMultiLvlLbl val="0"/>
      </c:catAx>
      <c:valAx>
        <c:axId val="30356633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3565920"/>
        <c:crosses val="autoZero"/>
        <c:crossBetween val="midCat"/>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b"/>
      <c:overlay val="0"/>
      <c:spPr>
        <a:noFill/>
        <a:ln>
          <a:solidFill>
            <a:schemeClr val="bg1">
              <a:lumMod val="65000"/>
            </a:schemeClr>
          </a:solid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prstDash val="sysDash"/>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Sockeye Returns to Columbia System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5"/>
          <c:order val="1"/>
          <c:tx>
            <c:strRef>
              <c:f>'Sockeye Returns Data'!$BJ$1</c:f>
              <c:strCache>
                <c:ptCount val="1"/>
              </c:strCache>
            </c:strRef>
          </c:tx>
          <c:spPr>
            <a:ln w="28575" cap="rnd">
              <a:solidFill>
                <a:schemeClr val="accent6"/>
              </a:solidFill>
              <a:round/>
            </a:ln>
            <a:effectLst/>
          </c:spPr>
          <c:marker>
            <c:symbol val="none"/>
          </c:marker>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Data'!$BJ$2:$BJ$46</c:f>
            </c:numRef>
          </c:val>
          <c:smooth val="0"/>
          <c:extLst>
            <c:ext xmlns:c16="http://schemas.microsoft.com/office/drawing/2014/chart" uri="{C3380CC4-5D6E-409C-BE32-E72D297353CC}">
              <c16:uniqueId val="{00000005-7666-4031-B800-E9EE1A4CFB40}"/>
            </c:ext>
          </c:extLst>
        </c:ser>
        <c:ser>
          <c:idx val="8"/>
          <c:order val="2"/>
          <c:tx>
            <c:v>Osoyoos</c:v>
          </c:tx>
          <c:spPr>
            <a:ln w="19050" cap="rnd">
              <a:solidFill>
                <a:schemeClr val="accent1">
                  <a:lumMod val="75000"/>
                </a:schemeClr>
              </a:solidFill>
              <a:round/>
            </a:ln>
            <a:effectLst/>
          </c:spPr>
          <c:marker>
            <c:symbol val="none"/>
          </c:marker>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Data'!$BW$2:$BW$46</c:f>
              <c:numCache>
                <c:formatCode>_(* #,##0_);_(* \(#,##0\);_(* "-"??_);_(@_)</c:formatCode>
                <c:ptCount val="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formatCode="#,##0">
                  <c:v>2202</c:v>
                </c:pt>
                <c:pt idx="18" formatCode="#,##0">
                  <c:v>5238</c:v>
                </c:pt>
                <c:pt idx="19" formatCode="#,##0">
                  <c:v>23160</c:v>
                </c:pt>
                <c:pt idx="20" formatCode="#,##0">
                  <c:v>36095</c:v>
                </c:pt>
                <c:pt idx="21" formatCode="#,##0">
                  <c:v>7705</c:v>
                </c:pt>
                <c:pt idx="22" formatCode="#,##0">
                  <c:v>16715</c:v>
                </c:pt>
                <c:pt idx="23" formatCode="#,##0">
                  <c:v>73866</c:v>
                </c:pt>
                <c:pt idx="24" formatCode="#,##0">
                  <c:v>83707</c:v>
                </c:pt>
                <c:pt idx="25" formatCode="#,##0">
                  <c:v>14406</c:v>
                </c:pt>
                <c:pt idx="26" formatCode="#,##0">
                  <c:v>34992</c:v>
                </c:pt>
                <c:pt idx="27" formatCode="#,##0">
                  <c:v>91547</c:v>
                </c:pt>
                <c:pt idx="28" formatCode="#,##0">
                  <c:v>59170</c:v>
                </c:pt>
                <c:pt idx="29" formatCode="#,##0">
                  <c:v>27616</c:v>
                </c:pt>
                <c:pt idx="30" formatCode="#,##0">
                  <c:v>19662.388732394367</c:v>
                </c:pt>
                <c:pt idx="31" formatCode="#,##0">
                  <c:v>178797.7576709826</c:v>
                </c:pt>
                <c:pt idx="32" formatCode="#,##0">
                  <c:v>133812.08702041057</c:v>
                </c:pt>
                <c:pt idx="33" formatCode="#,##0">
                  <c:v>339944.98455698858</c:v>
                </c:pt>
                <c:pt idx="34" formatCode="#,##0">
                  <c:v>56956.489206796672</c:v>
                </c:pt>
                <c:pt idx="35" formatCode="#,##0">
                  <c:v>401558.28786681773</c:v>
                </c:pt>
                <c:pt idx="36" formatCode="#,##0">
                  <c:v>104583.98942719486</c:v>
                </c:pt>
                <c:pt idx="37" formatCode="#,##0">
                  <c:v>391663.6338020282</c:v>
                </c:pt>
                <c:pt idx="38" formatCode="#,##0">
                  <c:v>180919.31652446877</c:v>
                </c:pt>
                <c:pt idx="39" formatCode="#,##0">
                  <c:v>162368.05036650912</c:v>
                </c:pt>
                <c:pt idx="40" formatCode="#,##0">
                  <c:v>15714.374307684035</c:v>
                </c:pt>
                <c:pt idx="41" formatCode="#,##0">
                  <c:v>78967.627382958686</c:v>
                </c:pt>
                <c:pt idx="42" formatCode="#,##0">
                  <c:v>27808.12446155211</c:v>
                </c:pt>
                <c:pt idx="43" formatCode="#,##0">
                  <c:v>159970.04156710723</c:v>
                </c:pt>
                <c:pt idx="44" formatCode="#,##0">
                  <c:v>55371.464605909532</c:v>
                </c:pt>
              </c:numCache>
            </c:numRef>
          </c:val>
          <c:smooth val="0"/>
          <c:extLst>
            <c:ext xmlns:c16="http://schemas.microsoft.com/office/drawing/2014/chart" uri="{C3380CC4-5D6E-409C-BE32-E72D297353CC}">
              <c16:uniqueId val="{00000001-71B9-431C-AF33-C5C330AACA0B}"/>
            </c:ext>
          </c:extLst>
        </c:ser>
        <c:dLbls>
          <c:showLegendKey val="0"/>
          <c:showVal val="0"/>
          <c:showCatName val="0"/>
          <c:showSerName val="0"/>
          <c:showPercent val="0"/>
          <c:showBubbleSize val="0"/>
        </c:dLbls>
        <c:marker val="1"/>
        <c:smooth val="0"/>
        <c:axId val="661082496"/>
        <c:axId val="661080832"/>
        <c:extLst>
          <c:ext xmlns:c15="http://schemas.microsoft.com/office/drawing/2012/chart" uri="{02D57815-91ED-43cb-92C2-25804820EDAC}">
            <c15:filteredLineSeries>
              <c15:ser>
                <c:idx val="9"/>
                <c:order val="3"/>
                <c:tx>
                  <c:v>Skaha</c:v>
                </c:tx>
                <c:spPr>
                  <a:ln w="19050" cap="rnd">
                    <a:solidFill>
                      <a:srgbClr val="C00000"/>
                    </a:solidFill>
                    <a:round/>
                  </a:ln>
                  <a:effectLst/>
                </c:spPr>
                <c:marker>
                  <c:symbol val="none"/>
                </c:marker>
                <c:cat>
                  <c:numRef>
                    <c:extLst>
                      <c:ext uri="{02D57815-91ED-43cb-92C2-25804820EDAC}">
                        <c15:formulaRef>
                          <c15:sqref>'Sockeye Returns Data'!$A$2:$A$46</c15:sqref>
                        </c15:formulaRef>
                      </c:ext>
                    </c:extLst>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extLst>
                      <c:ext uri="{02D57815-91ED-43cb-92C2-25804820EDAC}">
                        <c15:formulaRef>
                          <c15:sqref>'Sockeye Returns Data'!$BX$2:$BX$46</c15:sqref>
                        </c15:formulaRef>
                      </c:ext>
                    </c:extLst>
                    <c:numCache>
                      <c:formatCode>#,##0</c:formatCode>
                      <c:ptCount val="45"/>
                      <c:pt idx="30" formatCode="_(* #,##0_);_(* \(#,##0\);_(* &quot;-&quot;??_);_(@_)">
                        <c:v>2681.6112676056337</c:v>
                      </c:pt>
                      <c:pt idx="31" formatCode="_(* #,##0_);_(* \(#,##0\);_(* &quot;-&quot;??_);_(@_)">
                        <c:v>12021.242329017421</c:v>
                      </c:pt>
                      <c:pt idx="32" formatCode="_(* #,##0_);_(* \(#,##0\);_(* &quot;-&quot;??_);_(@_)">
                        <c:v>20733.912979589437</c:v>
                      </c:pt>
                      <c:pt idx="33" formatCode="_(* #,##0_);_(* \(#,##0\);_(* &quot;-&quot;??_);_(@_)">
                        <c:v>15092.015443011389</c:v>
                      </c:pt>
                      <c:pt idx="34" formatCode="_(* #,##0_);_(* \(#,##0\);_(* &quot;-&quot;??_);_(@_)">
                        <c:v>114615.51079320333</c:v>
                      </c:pt>
                      <c:pt idx="35" formatCode="_(* #,##0_);_(* \(#,##0\);_(* &quot;-&quot;??_);_(@_)">
                        <c:v>60206.7121331823</c:v>
                      </c:pt>
                      <c:pt idx="36" formatCode="_(* #,##0_);_(* \(#,##0\);_(* &quot;-&quot;??_);_(@_)">
                        <c:v>54755.010572805135</c:v>
                      </c:pt>
                      <c:pt idx="37" formatCode="_(* #,##0_);_(* \(#,##0\);_(* &quot;-&quot;??_);_(@_)">
                        <c:v>147155.36619797183</c:v>
                      </c:pt>
                      <c:pt idx="38" formatCode="_(* #,##0_);_(* \(#,##0\);_(* &quot;-&quot;??_);_(@_)">
                        <c:v>256767.68347553123</c:v>
                      </c:pt>
                      <c:pt idx="39" formatCode="_(* #,##0_);_(* \(#,##0\);_(* &quot;-&quot;??_);_(@_)">
                        <c:v>111873.78138264046</c:v>
                      </c:pt>
                      <c:pt idx="40" formatCode="_(* #,##0_);_(* \(#,##0\);_(* &quot;-&quot;??_);_(@_)">
                        <c:v>42396.625692315967</c:v>
                      </c:pt>
                      <c:pt idx="41" formatCode="_(* #,##0_);_(* \(#,##0\);_(* &quot;-&quot;??_);_(@_)">
                        <c:v>107909.42316944095</c:v>
                      </c:pt>
                      <c:pt idx="42" formatCode="_(* #,##0_);_(* \(#,##0\);_(* &quot;-&quot;??_);_(@_)">
                        <c:v>25264.300600963616</c:v>
                      </c:pt>
                      <c:pt idx="43" formatCode="_(* #,##0_);_(* \(#,##0\);_(* &quot;-&quot;??_);_(@_)">
                        <c:v>144557.96617889882</c:v>
                      </c:pt>
                      <c:pt idx="44" formatCode="_(* #,##0_);_(* \(#,##0\);_(* &quot;-&quot;??_);_(@_)">
                        <c:v>55262.001124478731</c:v>
                      </c:pt>
                    </c:numCache>
                  </c:numRef>
                </c:val>
                <c:smooth val="0"/>
                <c:extLst>
                  <c:ext xmlns:c16="http://schemas.microsoft.com/office/drawing/2014/chart" uri="{C3380CC4-5D6E-409C-BE32-E72D297353CC}">
                    <c16:uniqueId val="{00000002-C535-43AC-A700-1375A50A7304}"/>
                  </c:ext>
                </c:extLst>
              </c15:ser>
            </c15:filteredLineSeries>
          </c:ext>
        </c:extLst>
      </c:lineChart>
      <c:lineChart>
        <c:grouping val="standard"/>
        <c:varyColors val="0"/>
        <c:ser>
          <c:idx val="0"/>
          <c:order val="0"/>
          <c:tx>
            <c:v>Wenatchee</c:v>
          </c:tx>
          <c:spPr>
            <a:ln w="19050" cap="rnd">
              <a:solidFill>
                <a:srgbClr val="C00000"/>
              </a:solidFill>
              <a:prstDash val="sysDash"/>
              <a:round/>
            </a:ln>
            <a:effectLst/>
          </c:spPr>
          <c:marker>
            <c:symbol val="none"/>
          </c:marker>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Data'!$AE$2:$AE$46</c:f>
              <c:numCache>
                <c:formatCode>#,##0</c:formatCode>
                <c:ptCount val="45"/>
                <c:pt idx="0">
                  <c:v>70341.652945640002</c:v>
                </c:pt>
                <c:pt idx="1">
                  <c:v>6971.5400858399989</c:v>
                </c:pt>
                <c:pt idx="2">
                  <c:v>19663.422240959997</c:v>
                </c:pt>
                <c:pt idx="3">
                  <c:v>21984.803184239994</c:v>
                </c:pt>
                <c:pt idx="4">
                  <c:v>15651.099441630002</c:v>
                </c:pt>
                <c:pt idx="5">
                  <c:v>24947.873617439996</c:v>
                </c:pt>
                <c:pt idx="6">
                  <c:v>65817.357542369995</c:v>
                </c:pt>
                <c:pt idx="7">
                  <c:v>26897.39260240001</c:v>
                </c:pt>
                <c:pt idx="8">
                  <c:v>84239</c:v>
                </c:pt>
                <c:pt idx="9">
                  <c:v>13061</c:v>
                </c:pt>
                <c:pt idx="10">
                  <c:v>51106</c:v>
                </c:pt>
                <c:pt idx="11">
                  <c:v>22110</c:v>
                </c:pt>
                <c:pt idx="12">
                  <c:v>25210</c:v>
                </c:pt>
                <c:pt idx="13">
                  <c:v>39245</c:v>
                </c:pt>
                <c:pt idx="14">
                  <c:v>39765</c:v>
                </c:pt>
                <c:pt idx="15">
                  <c:v>27402</c:v>
                </c:pt>
                <c:pt idx="16">
                  <c:v>43389</c:v>
                </c:pt>
                <c:pt idx="17">
                  <c:v>10750</c:v>
                </c:pt>
                <c:pt idx="18">
                  <c:v>3640</c:v>
                </c:pt>
                <c:pt idx="19">
                  <c:v>8137</c:v>
                </c:pt>
                <c:pt idx="20">
                  <c:v>12682</c:v>
                </c:pt>
                <c:pt idx="21">
                  <c:v>5813</c:v>
                </c:pt>
                <c:pt idx="22">
                  <c:v>1653</c:v>
                </c:pt>
                <c:pt idx="23">
                  <c:v>23326</c:v>
                </c:pt>
                <c:pt idx="24">
                  <c:v>37607</c:v>
                </c:pt>
                <c:pt idx="25">
                  <c:v>37045</c:v>
                </c:pt>
                <c:pt idx="26">
                  <c:v>5696</c:v>
                </c:pt>
                <c:pt idx="27">
                  <c:v>37392</c:v>
                </c:pt>
                <c:pt idx="28">
                  <c:v>16689</c:v>
                </c:pt>
                <c:pt idx="29">
                  <c:v>10740</c:v>
                </c:pt>
                <c:pt idx="30">
                  <c:v>2762</c:v>
                </c:pt>
                <c:pt idx="31">
                  <c:v>33674</c:v>
                </c:pt>
                <c:pt idx="32">
                  <c:v>31654</c:v>
                </c:pt>
                <c:pt idx="33">
                  <c:v>53052</c:v>
                </c:pt>
                <c:pt idx="34">
                  <c:v>23396</c:v>
                </c:pt>
                <c:pt idx="35">
                  <c:v>87955</c:v>
                </c:pt>
                <c:pt idx="36">
                  <c:v>34977</c:v>
                </c:pt>
                <c:pt idx="37">
                  <c:v>110360</c:v>
                </c:pt>
                <c:pt idx="38">
                  <c:v>102667</c:v>
                </c:pt>
                <c:pt idx="39">
                  <c:v>86977</c:v>
                </c:pt>
                <c:pt idx="40">
                  <c:v>32687</c:v>
                </c:pt>
                <c:pt idx="41">
                  <c:v>16267</c:v>
                </c:pt>
                <c:pt idx="42">
                  <c:v>9626</c:v>
                </c:pt>
                <c:pt idx="43">
                  <c:v>54490</c:v>
                </c:pt>
                <c:pt idx="44">
                  <c:v>44349</c:v>
                </c:pt>
              </c:numCache>
            </c:numRef>
          </c:val>
          <c:smooth val="0"/>
          <c:extLst>
            <c:ext xmlns:c16="http://schemas.microsoft.com/office/drawing/2014/chart" uri="{C3380CC4-5D6E-409C-BE32-E72D297353CC}">
              <c16:uniqueId val="{00000001-C535-43AC-A700-1375A50A7304}"/>
            </c:ext>
          </c:extLst>
        </c:ser>
        <c:dLbls>
          <c:showLegendKey val="0"/>
          <c:showVal val="0"/>
          <c:showCatName val="0"/>
          <c:showSerName val="0"/>
          <c:showPercent val="0"/>
          <c:showBubbleSize val="0"/>
        </c:dLbls>
        <c:marker val="1"/>
        <c:smooth val="0"/>
        <c:axId val="1522497871"/>
        <c:axId val="1522506191"/>
      </c:lineChart>
      <c:catAx>
        <c:axId val="6610824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661080832"/>
        <c:crosses val="autoZero"/>
        <c:auto val="1"/>
        <c:lblAlgn val="ctr"/>
        <c:lblOffset val="100"/>
        <c:tickLblSkip val="2"/>
        <c:noMultiLvlLbl val="0"/>
      </c:catAx>
      <c:valAx>
        <c:axId val="661080832"/>
        <c:scaling>
          <c:orientation val="minMax"/>
          <c:max val="48000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a:solidFill>
                      <a:schemeClr val="accent1">
                        <a:lumMod val="75000"/>
                      </a:schemeClr>
                    </a:solidFill>
                  </a:rPr>
                  <a:t>OSOYOOS</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solidFill>
              <a:srgbClr val="0000FF"/>
            </a:solid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661082496"/>
        <c:crosses val="autoZero"/>
        <c:crossBetween val="midCat"/>
        <c:majorUnit val="80000"/>
        <c:dispUnits>
          <c:builtInUnit val="thousands"/>
          <c:dispUnitsLbl>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solidFill>
                        <a:schemeClr val="accent1">
                          <a:lumMod val="75000"/>
                        </a:schemeClr>
                      </a:solidFill>
                    </a:rPr>
                    <a:t>Thousands</a:t>
                  </a:r>
                </a:p>
              </c:rich>
            </c:tx>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valAx>
        <c:axId val="1522506191"/>
        <c:scaling>
          <c:orientation val="minMax"/>
        </c:scaling>
        <c:delete val="0"/>
        <c:axPos val="r"/>
        <c:title>
          <c:tx>
            <c:rich>
              <a:bodyPr rot="5400000" spcFirstLastPara="1" vertOverflow="ellipsis"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a:solidFill>
                      <a:srgbClr val="FF0000"/>
                    </a:solidFill>
                  </a:rPr>
                  <a:t>WENATCHEE</a:t>
                </a:r>
              </a:p>
            </c:rich>
          </c:tx>
          <c:overlay val="0"/>
          <c:spPr>
            <a:noFill/>
            <a:ln>
              <a:noFill/>
            </a:ln>
            <a:effectLst/>
          </c:spPr>
          <c:txPr>
            <a:bodyPr rot="5400000" spcFirstLastPara="1" vertOverflow="ellipsis"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522497871"/>
        <c:crosses val="max"/>
        <c:crossBetween val="between"/>
        <c:dispUnits>
          <c:builtInUnit val="thousands"/>
          <c:dispUnitsLbl>
            <c:tx>
              <c:rich>
                <a:bodyPr rot="540000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solidFill>
                        <a:srgbClr val="FF0000"/>
                      </a:solidFill>
                    </a:rPr>
                    <a:t>Thousands</a:t>
                  </a:r>
                </a:p>
              </c:rich>
            </c:tx>
            <c:spPr>
              <a:noFill/>
              <a:ln>
                <a:noFill/>
              </a:ln>
              <a:effectLst/>
            </c:spPr>
            <c:txPr>
              <a:bodyPr rot="540000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catAx>
        <c:axId val="1522497871"/>
        <c:scaling>
          <c:orientation val="minMax"/>
        </c:scaling>
        <c:delete val="1"/>
        <c:axPos val="b"/>
        <c:numFmt formatCode="General" sourceLinked="1"/>
        <c:majorTickMark val="out"/>
        <c:minorTickMark val="none"/>
        <c:tickLblPos val="nextTo"/>
        <c:crossAx val="1522506191"/>
        <c:crosses val="autoZero"/>
        <c:auto val="1"/>
        <c:lblAlgn val="ctr"/>
        <c:lblOffset val="100"/>
        <c:noMultiLvlLbl val="0"/>
      </c:catAx>
      <c:spPr>
        <a:noFill/>
        <a:ln>
          <a:noFill/>
        </a:ln>
        <a:effectLst/>
      </c:spPr>
    </c:plotArea>
    <c:legend>
      <c:legendPos val="b"/>
      <c:overlay val="0"/>
      <c:spPr>
        <a:noFill/>
        <a:ln>
          <a:solidFill>
            <a:schemeClr val="bg1">
              <a:lumMod val="65000"/>
            </a:schemeClr>
          </a:solid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Mid-Columbia Sockeye Returns by Stock and Return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v>Wenatchee</c:v>
          </c:tx>
          <c:spPr>
            <a:solidFill>
              <a:schemeClr val="tx1"/>
            </a:solidFill>
            <a:ln>
              <a:noFill/>
            </a:ln>
            <a:effectLst/>
          </c:spPr>
          <c:invertIfNegative val="0"/>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extLst xmlns:c15="http://schemas.microsoft.com/office/drawing/2012/chart"/>
            </c:numRef>
          </c:cat>
          <c:val>
            <c:numRef>
              <c:f>'Sockeye Returns Data'!$AE$2:$AE$46</c:f>
              <c:numCache>
                <c:formatCode>#,##0</c:formatCode>
                <c:ptCount val="45"/>
                <c:pt idx="0">
                  <c:v>70341.652945640002</c:v>
                </c:pt>
                <c:pt idx="1">
                  <c:v>6971.5400858399989</c:v>
                </c:pt>
                <c:pt idx="2">
                  <c:v>19663.422240959997</c:v>
                </c:pt>
                <c:pt idx="3">
                  <c:v>21984.803184239994</c:v>
                </c:pt>
                <c:pt idx="4">
                  <c:v>15651.099441630002</c:v>
                </c:pt>
                <c:pt idx="5">
                  <c:v>24947.873617439996</c:v>
                </c:pt>
                <c:pt idx="6">
                  <c:v>65817.357542369995</c:v>
                </c:pt>
                <c:pt idx="7">
                  <c:v>26897.39260240001</c:v>
                </c:pt>
                <c:pt idx="8">
                  <c:v>84239</c:v>
                </c:pt>
                <c:pt idx="9">
                  <c:v>13061</c:v>
                </c:pt>
                <c:pt idx="10">
                  <c:v>51106</c:v>
                </c:pt>
                <c:pt idx="11">
                  <c:v>22110</c:v>
                </c:pt>
                <c:pt idx="12">
                  <c:v>25210</c:v>
                </c:pt>
                <c:pt idx="13">
                  <c:v>39245</c:v>
                </c:pt>
                <c:pt idx="14">
                  <c:v>39765</c:v>
                </c:pt>
                <c:pt idx="15">
                  <c:v>27402</c:v>
                </c:pt>
                <c:pt idx="16">
                  <c:v>43389</c:v>
                </c:pt>
                <c:pt idx="17">
                  <c:v>10750</c:v>
                </c:pt>
                <c:pt idx="18">
                  <c:v>3640</c:v>
                </c:pt>
                <c:pt idx="19">
                  <c:v>8137</c:v>
                </c:pt>
                <c:pt idx="20">
                  <c:v>12682</c:v>
                </c:pt>
                <c:pt idx="21">
                  <c:v>5813</c:v>
                </c:pt>
                <c:pt idx="22">
                  <c:v>1653</c:v>
                </c:pt>
                <c:pt idx="23">
                  <c:v>23326</c:v>
                </c:pt>
                <c:pt idx="24">
                  <c:v>37607</c:v>
                </c:pt>
                <c:pt idx="25">
                  <c:v>37045</c:v>
                </c:pt>
                <c:pt idx="26">
                  <c:v>5696</c:v>
                </c:pt>
                <c:pt idx="27">
                  <c:v>37392</c:v>
                </c:pt>
                <c:pt idx="28">
                  <c:v>16689</c:v>
                </c:pt>
                <c:pt idx="29">
                  <c:v>10740</c:v>
                </c:pt>
                <c:pt idx="30">
                  <c:v>2762</c:v>
                </c:pt>
                <c:pt idx="31">
                  <c:v>33674</c:v>
                </c:pt>
                <c:pt idx="32">
                  <c:v>31654</c:v>
                </c:pt>
                <c:pt idx="33">
                  <c:v>53052</c:v>
                </c:pt>
                <c:pt idx="34">
                  <c:v>23396</c:v>
                </c:pt>
                <c:pt idx="35">
                  <c:v>87955</c:v>
                </c:pt>
                <c:pt idx="36">
                  <c:v>34977</c:v>
                </c:pt>
                <c:pt idx="37">
                  <c:v>110360</c:v>
                </c:pt>
                <c:pt idx="38">
                  <c:v>102667</c:v>
                </c:pt>
                <c:pt idx="39">
                  <c:v>86977</c:v>
                </c:pt>
                <c:pt idx="40">
                  <c:v>32687</c:v>
                </c:pt>
                <c:pt idx="41">
                  <c:v>16267</c:v>
                </c:pt>
                <c:pt idx="42">
                  <c:v>9626</c:v>
                </c:pt>
                <c:pt idx="43">
                  <c:v>54490</c:v>
                </c:pt>
                <c:pt idx="44">
                  <c:v>44349</c:v>
                </c:pt>
              </c:numCache>
              <c:extLst xmlns:c15="http://schemas.microsoft.com/office/drawing/2012/chart"/>
            </c:numRef>
          </c:val>
          <c:extLst xmlns:c15="http://schemas.microsoft.com/office/drawing/2012/chart">
            <c:ext xmlns:c16="http://schemas.microsoft.com/office/drawing/2014/chart" uri="{C3380CC4-5D6E-409C-BE32-E72D297353CC}">
              <c16:uniqueId val="{00000008-8776-49F2-8ACF-A293CBF3407E}"/>
            </c:ext>
          </c:extLst>
        </c:ser>
        <c:ser>
          <c:idx val="5"/>
          <c:order val="1"/>
          <c:tx>
            <c:strRef>
              <c:f>'Sockeye Returns Data'!$BJ$1</c:f>
              <c:strCache>
                <c:ptCount val="1"/>
              </c:strCache>
            </c:strRef>
          </c:tx>
          <c:spPr>
            <a:solidFill>
              <a:schemeClr val="accent6"/>
            </a:solidFill>
            <a:ln>
              <a:noFill/>
            </a:ln>
            <a:effectLst/>
          </c:spPr>
          <c:invertIfNegative val="0"/>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Data'!$BJ$2:$BJ$46</c:f>
            </c:numRef>
          </c:val>
          <c:extLst>
            <c:ext xmlns:c16="http://schemas.microsoft.com/office/drawing/2014/chart" uri="{C3380CC4-5D6E-409C-BE32-E72D297353CC}">
              <c16:uniqueId val="{00000004-8776-49F2-8ACF-A293CBF3407E}"/>
            </c:ext>
          </c:extLst>
        </c:ser>
        <c:ser>
          <c:idx val="8"/>
          <c:order val="2"/>
          <c:tx>
            <c:v>Osoyoos</c:v>
          </c:tx>
          <c:spPr>
            <a:solidFill>
              <a:schemeClr val="accent1"/>
            </a:solidFill>
            <a:ln w="19050">
              <a:noFill/>
            </a:ln>
            <a:effectLst/>
          </c:spPr>
          <c:invertIfNegative val="0"/>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Data'!$BW$2:$BW$46</c:f>
              <c:numCache>
                <c:formatCode>_(* #,##0_);_(* \(#,##0\);_(* "-"??_);_(@_)</c:formatCode>
                <c:ptCount val="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formatCode="#,##0">
                  <c:v>2202</c:v>
                </c:pt>
                <c:pt idx="18" formatCode="#,##0">
                  <c:v>5238</c:v>
                </c:pt>
                <c:pt idx="19" formatCode="#,##0">
                  <c:v>23160</c:v>
                </c:pt>
                <c:pt idx="20" formatCode="#,##0">
                  <c:v>36095</c:v>
                </c:pt>
                <c:pt idx="21" formatCode="#,##0">
                  <c:v>7705</c:v>
                </c:pt>
                <c:pt idx="22" formatCode="#,##0">
                  <c:v>16715</c:v>
                </c:pt>
                <c:pt idx="23" formatCode="#,##0">
                  <c:v>73866</c:v>
                </c:pt>
                <c:pt idx="24" formatCode="#,##0">
                  <c:v>83707</c:v>
                </c:pt>
                <c:pt idx="25" formatCode="#,##0">
                  <c:v>14406</c:v>
                </c:pt>
                <c:pt idx="26" formatCode="#,##0">
                  <c:v>34992</c:v>
                </c:pt>
                <c:pt idx="27" formatCode="#,##0">
                  <c:v>91547</c:v>
                </c:pt>
                <c:pt idx="28" formatCode="#,##0">
                  <c:v>59170</c:v>
                </c:pt>
                <c:pt idx="29" formatCode="#,##0">
                  <c:v>27616</c:v>
                </c:pt>
                <c:pt idx="30" formatCode="#,##0">
                  <c:v>19662.388732394367</c:v>
                </c:pt>
                <c:pt idx="31" formatCode="#,##0">
                  <c:v>178797.7576709826</c:v>
                </c:pt>
                <c:pt idx="32" formatCode="#,##0">
                  <c:v>133812.08702041057</c:v>
                </c:pt>
                <c:pt idx="33" formatCode="#,##0">
                  <c:v>339944.98455698858</c:v>
                </c:pt>
                <c:pt idx="34" formatCode="#,##0">
                  <c:v>56956.489206796672</c:v>
                </c:pt>
                <c:pt idx="35" formatCode="#,##0">
                  <c:v>401558.28786681773</c:v>
                </c:pt>
                <c:pt idx="36" formatCode="#,##0">
                  <c:v>104583.98942719486</c:v>
                </c:pt>
                <c:pt idx="37" formatCode="#,##0">
                  <c:v>391663.6338020282</c:v>
                </c:pt>
                <c:pt idx="38" formatCode="#,##0">
                  <c:v>180919.31652446877</c:v>
                </c:pt>
                <c:pt idx="39" formatCode="#,##0">
                  <c:v>162368.05036650912</c:v>
                </c:pt>
                <c:pt idx="40" formatCode="#,##0">
                  <c:v>15714.374307684035</c:v>
                </c:pt>
                <c:pt idx="41" formatCode="#,##0">
                  <c:v>78967.627382958686</c:v>
                </c:pt>
                <c:pt idx="42" formatCode="#,##0">
                  <c:v>27808.12446155211</c:v>
                </c:pt>
                <c:pt idx="43" formatCode="#,##0">
                  <c:v>159970.04156710723</c:v>
                </c:pt>
                <c:pt idx="44" formatCode="#,##0">
                  <c:v>55371.464605909532</c:v>
                </c:pt>
              </c:numCache>
            </c:numRef>
          </c:val>
          <c:extLst>
            <c:ext xmlns:c16="http://schemas.microsoft.com/office/drawing/2014/chart" uri="{C3380CC4-5D6E-409C-BE32-E72D297353CC}">
              <c16:uniqueId val="{00000007-8776-49F2-8ACF-A293CBF3407E}"/>
            </c:ext>
          </c:extLst>
        </c:ser>
        <c:ser>
          <c:idx val="9"/>
          <c:order val="3"/>
          <c:tx>
            <c:v>Skaha</c:v>
          </c:tx>
          <c:spPr>
            <a:solidFill>
              <a:srgbClr val="C00000"/>
            </a:solidFill>
            <a:ln w="19050">
              <a:noFill/>
            </a:ln>
            <a:effectLst/>
          </c:spPr>
          <c:invertIfNegative val="0"/>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Data'!$BX$2:$BX$46</c:f>
              <c:numCache>
                <c:formatCode>#,##0</c:formatCode>
                <c:ptCount val="45"/>
                <c:pt idx="30" formatCode="_(* #,##0_);_(* \(#,##0\);_(* &quot;-&quot;??_);_(@_)">
                  <c:v>2681.6112676056337</c:v>
                </c:pt>
                <c:pt idx="31" formatCode="_(* #,##0_);_(* \(#,##0\);_(* &quot;-&quot;??_);_(@_)">
                  <c:v>12021.242329017421</c:v>
                </c:pt>
                <c:pt idx="32" formatCode="_(* #,##0_);_(* \(#,##0\);_(* &quot;-&quot;??_);_(@_)">
                  <c:v>20733.912979589437</c:v>
                </c:pt>
                <c:pt idx="33" formatCode="_(* #,##0_);_(* \(#,##0\);_(* &quot;-&quot;??_);_(@_)">
                  <c:v>15092.015443011389</c:v>
                </c:pt>
                <c:pt idx="34" formatCode="_(* #,##0_);_(* \(#,##0\);_(* &quot;-&quot;??_);_(@_)">
                  <c:v>114615.51079320333</c:v>
                </c:pt>
                <c:pt idx="35" formatCode="_(* #,##0_);_(* \(#,##0\);_(* &quot;-&quot;??_);_(@_)">
                  <c:v>60206.7121331823</c:v>
                </c:pt>
                <c:pt idx="36" formatCode="_(* #,##0_);_(* \(#,##0\);_(* &quot;-&quot;??_);_(@_)">
                  <c:v>54755.010572805135</c:v>
                </c:pt>
                <c:pt idx="37" formatCode="_(* #,##0_);_(* \(#,##0\);_(* &quot;-&quot;??_);_(@_)">
                  <c:v>147155.36619797183</c:v>
                </c:pt>
                <c:pt idx="38" formatCode="_(* #,##0_);_(* \(#,##0\);_(* &quot;-&quot;??_);_(@_)">
                  <c:v>256767.68347553123</c:v>
                </c:pt>
                <c:pt idx="39" formatCode="_(* #,##0_);_(* \(#,##0\);_(* &quot;-&quot;??_);_(@_)">
                  <c:v>111873.78138264046</c:v>
                </c:pt>
                <c:pt idx="40" formatCode="_(* #,##0_);_(* \(#,##0\);_(* &quot;-&quot;??_);_(@_)">
                  <c:v>42396.625692315967</c:v>
                </c:pt>
                <c:pt idx="41" formatCode="_(* #,##0_);_(* \(#,##0\);_(* &quot;-&quot;??_);_(@_)">
                  <c:v>107909.42316944095</c:v>
                </c:pt>
                <c:pt idx="42" formatCode="_(* #,##0_);_(* \(#,##0\);_(* &quot;-&quot;??_);_(@_)">
                  <c:v>25264.300600963616</c:v>
                </c:pt>
                <c:pt idx="43" formatCode="_(* #,##0_);_(* \(#,##0\);_(* &quot;-&quot;??_);_(@_)">
                  <c:v>144557.96617889882</c:v>
                </c:pt>
                <c:pt idx="44" formatCode="_(* #,##0_);_(* \(#,##0\);_(* &quot;-&quot;??_);_(@_)">
                  <c:v>55262.001124478731</c:v>
                </c:pt>
              </c:numCache>
            </c:numRef>
          </c:val>
          <c:extLst>
            <c:ext xmlns:c16="http://schemas.microsoft.com/office/drawing/2014/chart" uri="{C3380CC4-5D6E-409C-BE32-E72D297353CC}">
              <c16:uniqueId val="{00000009-8776-49F2-8ACF-A293CBF3407E}"/>
            </c:ext>
          </c:extLst>
        </c:ser>
        <c:dLbls>
          <c:showLegendKey val="0"/>
          <c:showVal val="0"/>
          <c:showCatName val="0"/>
          <c:showSerName val="0"/>
          <c:showPercent val="0"/>
          <c:showBubbleSize val="0"/>
        </c:dLbls>
        <c:gapWidth val="150"/>
        <c:overlap val="100"/>
        <c:axId val="661082496"/>
        <c:axId val="661080832"/>
        <c:extLst/>
      </c:barChart>
      <c:catAx>
        <c:axId val="6610824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661080832"/>
        <c:crosses val="autoZero"/>
        <c:auto val="1"/>
        <c:lblAlgn val="ctr"/>
        <c:lblOffset val="100"/>
        <c:noMultiLvlLbl val="0"/>
      </c:catAx>
      <c:valAx>
        <c:axId val="66108083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661082496"/>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b"/>
      <c:overlay val="0"/>
      <c:spPr>
        <a:noFill/>
        <a:ln>
          <a:solidFill>
            <a:schemeClr val="bg1">
              <a:lumMod val="65000"/>
            </a:schemeClr>
          </a:solid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Mid-Columbia Sockeye Stock Returns </a:t>
            </a:r>
            <a:r>
              <a:rPr lang="en-US" baseline="0"/>
              <a:t>by Return Year</a:t>
            </a:r>
            <a:endParaRPr lang="en-US"/>
          </a:p>
        </c:rich>
      </c:tx>
      <c:overlay val="0"/>
      <c:spPr>
        <a:noFill/>
        <a:ln>
          <a:noFill/>
        </a:ln>
        <a:effectLst/>
      </c:spPr>
    </c:title>
    <c:autoTitleDeleted val="0"/>
    <c:plotArea>
      <c:layout/>
      <c:barChart>
        <c:barDir val="col"/>
        <c:grouping val="percentStacked"/>
        <c:varyColors val="0"/>
        <c:ser>
          <c:idx val="10"/>
          <c:order val="0"/>
          <c:tx>
            <c:v>Wenatchee</c:v>
          </c:tx>
          <c:spPr>
            <a:solidFill>
              <a:schemeClr val="tx1"/>
            </a:solidFill>
          </c:spPr>
          <c:invertIfNegative val="0"/>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Data'!$AE$2:$AE$46</c:f>
              <c:numCache>
                <c:formatCode>#,##0</c:formatCode>
                <c:ptCount val="45"/>
                <c:pt idx="0">
                  <c:v>70341.652945640002</c:v>
                </c:pt>
                <c:pt idx="1">
                  <c:v>6971.5400858399989</c:v>
                </c:pt>
                <c:pt idx="2">
                  <c:v>19663.422240959997</c:v>
                </c:pt>
                <c:pt idx="3">
                  <c:v>21984.803184239994</c:v>
                </c:pt>
                <c:pt idx="4">
                  <c:v>15651.099441630002</c:v>
                </c:pt>
                <c:pt idx="5">
                  <c:v>24947.873617439996</c:v>
                </c:pt>
                <c:pt idx="6">
                  <c:v>65817.357542369995</c:v>
                </c:pt>
                <c:pt idx="7">
                  <c:v>26897.39260240001</c:v>
                </c:pt>
                <c:pt idx="8">
                  <c:v>84239</c:v>
                </c:pt>
                <c:pt idx="9">
                  <c:v>13061</c:v>
                </c:pt>
                <c:pt idx="10">
                  <c:v>51106</c:v>
                </c:pt>
                <c:pt idx="11">
                  <c:v>22110</c:v>
                </c:pt>
                <c:pt idx="12">
                  <c:v>25210</c:v>
                </c:pt>
                <c:pt idx="13">
                  <c:v>39245</c:v>
                </c:pt>
                <c:pt idx="14">
                  <c:v>39765</c:v>
                </c:pt>
                <c:pt idx="15">
                  <c:v>27402</c:v>
                </c:pt>
                <c:pt idx="16">
                  <c:v>43389</c:v>
                </c:pt>
                <c:pt idx="17">
                  <c:v>10750</c:v>
                </c:pt>
                <c:pt idx="18">
                  <c:v>3640</c:v>
                </c:pt>
                <c:pt idx="19">
                  <c:v>8137</c:v>
                </c:pt>
                <c:pt idx="20">
                  <c:v>12682</c:v>
                </c:pt>
                <c:pt idx="21">
                  <c:v>5813</c:v>
                </c:pt>
                <c:pt idx="22">
                  <c:v>1653</c:v>
                </c:pt>
                <c:pt idx="23">
                  <c:v>23326</c:v>
                </c:pt>
                <c:pt idx="24">
                  <c:v>37607</c:v>
                </c:pt>
                <c:pt idx="25">
                  <c:v>37045</c:v>
                </c:pt>
                <c:pt idx="26">
                  <c:v>5696</c:v>
                </c:pt>
                <c:pt idx="27">
                  <c:v>37392</c:v>
                </c:pt>
                <c:pt idx="28">
                  <c:v>16689</c:v>
                </c:pt>
                <c:pt idx="29">
                  <c:v>10740</c:v>
                </c:pt>
                <c:pt idx="30">
                  <c:v>2762</c:v>
                </c:pt>
                <c:pt idx="31">
                  <c:v>33674</c:v>
                </c:pt>
                <c:pt idx="32">
                  <c:v>31654</c:v>
                </c:pt>
                <c:pt idx="33">
                  <c:v>53052</c:v>
                </c:pt>
                <c:pt idx="34">
                  <c:v>23396</c:v>
                </c:pt>
                <c:pt idx="35">
                  <c:v>87955</c:v>
                </c:pt>
                <c:pt idx="36">
                  <c:v>34977</c:v>
                </c:pt>
                <c:pt idx="37">
                  <c:v>110360</c:v>
                </c:pt>
                <c:pt idx="38">
                  <c:v>102667</c:v>
                </c:pt>
                <c:pt idx="39">
                  <c:v>86977</c:v>
                </c:pt>
                <c:pt idx="40">
                  <c:v>32687</c:v>
                </c:pt>
                <c:pt idx="41">
                  <c:v>16267</c:v>
                </c:pt>
                <c:pt idx="42">
                  <c:v>9626</c:v>
                </c:pt>
                <c:pt idx="43">
                  <c:v>54490</c:v>
                </c:pt>
                <c:pt idx="44">
                  <c:v>44349</c:v>
                </c:pt>
              </c:numCache>
            </c:numRef>
          </c:val>
          <c:extLst>
            <c:ext xmlns:c16="http://schemas.microsoft.com/office/drawing/2014/chart" uri="{C3380CC4-5D6E-409C-BE32-E72D297353CC}">
              <c16:uniqueId val="{00000015-88CE-433A-B3B9-0A46CF025434}"/>
            </c:ext>
          </c:extLst>
        </c:ser>
        <c:ser>
          <c:idx val="15"/>
          <c:order val="1"/>
          <c:tx>
            <c:strRef>
              <c:f>'Sockeye Returns Data'!$BJ$1</c:f>
              <c:strCache>
                <c:ptCount val="1"/>
              </c:strCache>
            </c:strRef>
          </c:tx>
          <c:invertIfNegative val="0"/>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Data'!$BJ$2:$BJ$46</c:f>
            </c:numRef>
          </c:val>
          <c:extLst>
            <c:ext xmlns:c16="http://schemas.microsoft.com/office/drawing/2014/chart" uri="{C3380CC4-5D6E-409C-BE32-E72D297353CC}">
              <c16:uniqueId val="{0000001A-88CE-433A-B3B9-0A46CF025434}"/>
            </c:ext>
          </c:extLst>
        </c:ser>
        <c:ser>
          <c:idx val="18"/>
          <c:order val="2"/>
          <c:tx>
            <c:v>Osoyoos</c:v>
          </c:tx>
          <c:spPr>
            <a:solidFill>
              <a:schemeClr val="accent1"/>
            </a:solidFill>
            <a:ln w="19050"/>
          </c:spPr>
          <c:invertIfNegative val="0"/>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Data'!$BW$2:$BW$46</c:f>
              <c:numCache>
                <c:formatCode>_(* #,##0_);_(* \(#,##0\);_(* "-"??_);_(@_)</c:formatCode>
                <c:ptCount val="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formatCode="#,##0">
                  <c:v>2202</c:v>
                </c:pt>
                <c:pt idx="18" formatCode="#,##0">
                  <c:v>5238</c:v>
                </c:pt>
                <c:pt idx="19" formatCode="#,##0">
                  <c:v>23160</c:v>
                </c:pt>
                <c:pt idx="20" formatCode="#,##0">
                  <c:v>36095</c:v>
                </c:pt>
                <c:pt idx="21" formatCode="#,##0">
                  <c:v>7705</c:v>
                </c:pt>
                <c:pt idx="22" formatCode="#,##0">
                  <c:v>16715</c:v>
                </c:pt>
                <c:pt idx="23" formatCode="#,##0">
                  <c:v>73866</c:v>
                </c:pt>
                <c:pt idx="24" formatCode="#,##0">
                  <c:v>83707</c:v>
                </c:pt>
                <c:pt idx="25" formatCode="#,##0">
                  <c:v>14406</c:v>
                </c:pt>
                <c:pt idx="26" formatCode="#,##0">
                  <c:v>34992</c:v>
                </c:pt>
                <c:pt idx="27" formatCode="#,##0">
                  <c:v>91547</c:v>
                </c:pt>
                <c:pt idx="28" formatCode="#,##0">
                  <c:v>59170</c:v>
                </c:pt>
                <c:pt idx="29" formatCode="#,##0">
                  <c:v>27616</c:v>
                </c:pt>
                <c:pt idx="30" formatCode="#,##0">
                  <c:v>19662.388732394367</c:v>
                </c:pt>
                <c:pt idx="31" formatCode="#,##0">
                  <c:v>178797.7576709826</c:v>
                </c:pt>
                <c:pt idx="32" formatCode="#,##0">
                  <c:v>133812.08702041057</c:v>
                </c:pt>
                <c:pt idx="33" formatCode="#,##0">
                  <c:v>339944.98455698858</c:v>
                </c:pt>
                <c:pt idx="34" formatCode="#,##0">
                  <c:v>56956.489206796672</c:v>
                </c:pt>
                <c:pt idx="35" formatCode="#,##0">
                  <c:v>401558.28786681773</c:v>
                </c:pt>
                <c:pt idx="36" formatCode="#,##0">
                  <c:v>104583.98942719486</c:v>
                </c:pt>
                <c:pt idx="37" formatCode="#,##0">
                  <c:v>391663.6338020282</c:v>
                </c:pt>
                <c:pt idx="38" formatCode="#,##0">
                  <c:v>180919.31652446877</c:v>
                </c:pt>
                <c:pt idx="39" formatCode="#,##0">
                  <c:v>162368.05036650912</c:v>
                </c:pt>
                <c:pt idx="40" formatCode="#,##0">
                  <c:v>15714.374307684035</c:v>
                </c:pt>
                <c:pt idx="41" formatCode="#,##0">
                  <c:v>78967.627382958686</c:v>
                </c:pt>
                <c:pt idx="42" formatCode="#,##0">
                  <c:v>27808.12446155211</c:v>
                </c:pt>
                <c:pt idx="43" formatCode="#,##0">
                  <c:v>159970.04156710723</c:v>
                </c:pt>
                <c:pt idx="44" formatCode="#,##0">
                  <c:v>55371.464605909532</c:v>
                </c:pt>
              </c:numCache>
            </c:numRef>
          </c:val>
          <c:extLst>
            <c:ext xmlns:c16="http://schemas.microsoft.com/office/drawing/2014/chart" uri="{C3380CC4-5D6E-409C-BE32-E72D297353CC}">
              <c16:uniqueId val="{0000001D-88CE-433A-B3B9-0A46CF025434}"/>
            </c:ext>
          </c:extLst>
        </c:ser>
        <c:ser>
          <c:idx val="19"/>
          <c:order val="3"/>
          <c:tx>
            <c:v>Skaha</c:v>
          </c:tx>
          <c:spPr>
            <a:solidFill>
              <a:srgbClr val="C00000"/>
            </a:solidFill>
            <a:ln w="19050"/>
          </c:spPr>
          <c:invertIfNegative val="0"/>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Data'!$BX$2:$BX$46</c:f>
              <c:numCache>
                <c:formatCode>#,##0</c:formatCode>
                <c:ptCount val="45"/>
                <c:pt idx="30" formatCode="_(* #,##0_);_(* \(#,##0\);_(* &quot;-&quot;??_);_(@_)">
                  <c:v>2681.6112676056337</c:v>
                </c:pt>
                <c:pt idx="31" formatCode="_(* #,##0_);_(* \(#,##0\);_(* &quot;-&quot;??_);_(@_)">
                  <c:v>12021.242329017421</c:v>
                </c:pt>
                <c:pt idx="32" formatCode="_(* #,##0_);_(* \(#,##0\);_(* &quot;-&quot;??_);_(@_)">
                  <c:v>20733.912979589437</c:v>
                </c:pt>
                <c:pt idx="33" formatCode="_(* #,##0_);_(* \(#,##0\);_(* &quot;-&quot;??_);_(@_)">
                  <c:v>15092.015443011389</c:v>
                </c:pt>
                <c:pt idx="34" formatCode="_(* #,##0_);_(* \(#,##0\);_(* &quot;-&quot;??_);_(@_)">
                  <c:v>114615.51079320333</c:v>
                </c:pt>
                <c:pt idx="35" formatCode="_(* #,##0_);_(* \(#,##0\);_(* &quot;-&quot;??_);_(@_)">
                  <c:v>60206.7121331823</c:v>
                </c:pt>
                <c:pt idx="36" formatCode="_(* #,##0_);_(* \(#,##0\);_(* &quot;-&quot;??_);_(@_)">
                  <c:v>54755.010572805135</c:v>
                </c:pt>
                <c:pt idx="37" formatCode="_(* #,##0_);_(* \(#,##0\);_(* &quot;-&quot;??_);_(@_)">
                  <c:v>147155.36619797183</c:v>
                </c:pt>
                <c:pt idx="38" formatCode="_(* #,##0_);_(* \(#,##0\);_(* &quot;-&quot;??_);_(@_)">
                  <c:v>256767.68347553123</c:v>
                </c:pt>
                <c:pt idx="39" formatCode="_(* #,##0_);_(* \(#,##0\);_(* &quot;-&quot;??_);_(@_)">
                  <c:v>111873.78138264046</c:v>
                </c:pt>
                <c:pt idx="40" formatCode="_(* #,##0_);_(* \(#,##0\);_(* &quot;-&quot;??_);_(@_)">
                  <c:v>42396.625692315967</c:v>
                </c:pt>
                <c:pt idx="41" formatCode="_(* #,##0_);_(* \(#,##0\);_(* &quot;-&quot;??_);_(@_)">
                  <c:v>107909.42316944095</c:v>
                </c:pt>
                <c:pt idx="42" formatCode="_(* #,##0_);_(* \(#,##0\);_(* &quot;-&quot;??_);_(@_)">
                  <c:v>25264.300600963616</c:v>
                </c:pt>
                <c:pt idx="43" formatCode="_(* #,##0_);_(* \(#,##0\);_(* &quot;-&quot;??_);_(@_)">
                  <c:v>144557.96617889882</c:v>
                </c:pt>
                <c:pt idx="44" formatCode="_(* #,##0_);_(* \(#,##0\);_(* &quot;-&quot;??_);_(@_)">
                  <c:v>55262.001124478731</c:v>
                </c:pt>
              </c:numCache>
            </c:numRef>
          </c:val>
          <c:extLst>
            <c:ext xmlns:c16="http://schemas.microsoft.com/office/drawing/2014/chart" uri="{C3380CC4-5D6E-409C-BE32-E72D297353CC}">
              <c16:uniqueId val="{0000001E-88CE-433A-B3B9-0A46CF025434}"/>
            </c:ext>
          </c:extLst>
        </c:ser>
        <c:ser>
          <c:idx val="5"/>
          <c:order val="4"/>
          <c:tx>
            <c:strRef>
              <c:f>'Sockeye Returns Data'!$BJ$1</c:f>
              <c:strCache>
                <c:ptCount val="1"/>
              </c:strCache>
            </c:strRef>
          </c:tx>
          <c:invertIfNegative val="0"/>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Data'!$BJ$2:$BJ$46</c:f>
            </c:numRef>
          </c:val>
          <c:extLst>
            <c:ext xmlns:c16="http://schemas.microsoft.com/office/drawing/2014/chart" uri="{C3380CC4-5D6E-409C-BE32-E72D297353CC}">
              <c16:uniqueId val="{0000000C-88CE-433A-B3B9-0A46CF025434}"/>
            </c:ext>
          </c:extLst>
        </c:ser>
        <c:dLbls>
          <c:showLegendKey val="0"/>
          <c:showVal val="0"/>
          <c:showCatName val="0"/>
          <c:showSerName val="0"/>
          <c:showPercent val="0"/>
          <c:showBubbleSize val="0"/>
        </c:dLbls>
        <c:gapWidth val="150"/>
        <c:overlap val="100"/>
        <c:axId val="661082496"/>
        <c:axId val="661080832"/>
      </c:barChart>
      <c:catAx>
        <c:axId val="6610824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661080832"/>
        <c:crosses val="autoZero"/>
        <c:auto val="1"/>
        <c:lblAlgn val="ctr"/>
        <c:lblOffset val="100"/>
        <c:noMultiLvlLbl val="0"/>
      </c:catAx>
      <c:valAx>
        <c:axId val="661080832"/>
        <c:scaling>
          <c:orientation val="minMax"/>
        </c:scaling>
        <c:delete val="0"/>
        <c:axPos val="l"/>
        <c:majorGridlines>
          <c:spPr>
            <a:ln w="9525" cap="flat" cmpd="sng" algn="ctr">
              <a:solidFill>
                <a:schemeClr val="tx1">
                  <a:lumMod val="50000"/>
                  <a:lumOff val="5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661082496"/>
        <c:crosses val="autoZero"/>
        <c:crossBetween val="between"/>
        <c:majorUnit val="0.2"/>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plotArea>
    <c:legend>
      <c:legendPos val="b"/>
      <c:overlay val="0"/>
      <c:spPr>
        <a:noFill/>
        <a:ln>
          <a:solidFill>
            <a:schemeClr val="bg1">
              <a:lumMod val="65000"/>
            </a:schemeClr>
          </a:solid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Okanagan</a:t>
            </a:r>
            <a:r>
              <a:rPr lang="en-US" baseline="0"/>
              <a:t> </a:t>
            </a:r>
            <a:r>
              <a:rPr lang="en-US"/>
              <a:t>Sockeye Returns by Sub-Stock and Return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5"/>
          <c:order val="1"/>
          <c:tx>
            <c:strRef>
              <c:f>'Sockeye Returns Data'!$BJ$1</c:f>
              <c:strCache>
                <c:ptCount val="1"/>
              </c:strCache>
            </c:strRef>
          </c:tx>
          <c:spPr>
            <a:solidFill>
              <a:schemeClr val="accent6"/>
            </a:solidFill>
            <a:ln>
              <a:noFill/>
            </a:ln>
            <a:effectLst/>
          </c:spPr>
          <c:invertIfNegative val="0"/>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Data'!$BJ$2:$BJ$46</c:f>
            </c:numRef>
          </c:val>
          <c:extLst>
            <c:ext xmlns:c16="http://schemas.microsoft.com/office/drawing/2014/chart" uri="{C3380CC4-5D6E-409C-BE32-E72D297353CC}">
              <c16:uniqueId val="{00000001-C9F8-4B26-9EB5-AD40540E9045}"/>
            </c:ext>
          </c:extLst>
        </c:ser>
        <c:ser>
          <c:idx val="8"/>
          <c:order val="2"/>
          <c:tx>
            <c:v>Osoyoos</c:v>
          </c:tx>
          <c:spPr>
            <a:solidFill>
              <a:schemeClr val="accent1">
                <a:lumMod val="75000"/>
              </a:schemeClr>
            </a:solidFill>
            <a:ln w="19050">
              <a:noFill/>
            </a:ln>
            <a:effectLst/>
          </c:spPr>
          <c:invertIfNegative val="0"/>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Data'!$BW$2:$BW$46</c:f>
              <c:numCache>
                <c:formatCode>_(* #,##0_);_(* \(#,##0\);_(* "-"??_);_(@_)</c:formatCode>
                <c:ptCount val="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formatCode="#,##0">
                  <c:v>2202</c:v>
                </c:pt>
                <c:pt idx="18" formatCode="#,##0">
                  <c:v>5238</c:v>
                </c:pt>
                <c:pt idx="19" formatCode="#,##0">
                  <c:v>23160</c:v>
                </c:pt>
                <c:pt idx="20" formatCode="#,##0">
                  <c:v>36095</c:v>
                </c:pt>
                <c:pt idx="21" formatCode="#,##0">
                  <c:v>7705</c:v>
                </c:pt>
                <c:pt idx="22" formatCode="#,##0">
                  <c:v>16715</c:v>
                </c:pt>
                <c:pt idx="23" formatCode="#,##0">
                  <c:v>73866</c:v>
                </c:pt>
                <c:pt idx="24" formatCode="#,##0">
                  <c:v>83707</c:v>
                </c:pt>
                <c:pt idx="25" formatCode="#,##0">
                  <c:v>14406</c:v>
                </c:pt>
                <c:pt idx="26" formatCode="#,##0">
                  <c:v>34992</c:v>
                </c:pt>
                <c:pt idx="27" formatCode="#,##0">
                  <c:v>91547</c:v>
                </c:pt>
                <c:pt idx="28" formatCode="#,##0">
                  <c:v>59170</c:v>
                </c:pt>
                <c:pt idx="29" formatCode="#,##0">
                  <c:v>27616</c:v>
                </c:pt>
                <c:pt idx="30" formatCode="#,##0">
                  <c:v>19662.388732394367</c:v>
                </c:pt>
                <c:pt idx="31" formatCode="#,##0">
                  <c:v>178797.7576709826</c:v>
                </c:pt>
                <c:pt idx="32" formatCode="#,##0">
                  <c:v>133812.08702041057</c:v>
                </c:pt>
                <c:pt idx="33" formatCode="#,##0">
                  <c:v>339944.98455698858</c:v>
                </c:pt>
                <c:pt idx="34" formatCode="#,##0">
                  <c:v>56956.489206796672</c:v>
                </c:pt>
                <c:pt idx="35" formatCode="#,##0">
                  <c:v>401558.28786681773</c:v>
                </c:pt>
                <c:pt idx="36" formatCode="#,##0">
                  <c:v>104583.98942719486</c:v>
                </c:pt>
                <c:pt idx="37" formatCode="#,##0">
                  <c:v>391663.6338020282</c:v>
                </c:pt>
                <c:pt idx="38" formatCode="#,##0">
                  <c:v>180919.31652446877</c:v>
                </c:pt>
                <c:pt idx="39" formatCode="#,##0">
                  <c:v>162368.05036650912</c:v>
                </c:pt>
                <c:pt idx="40" formatCode="#,##0">
                  <c:v>15714.374307684035</c:v>
                </c:pt>
                <c:pt idx="41" formatCode="#,##0">
                  <c:v>78967.627382958686</c:v>
                </c:pt>
                <c:pt idx="42" formatCode="#,##0">
                  <c:v>27808.12446155211</c:v>
                </c:pt>
                <c:pt idx="43" formatCode="#,##0">
                  <c:v>159970.04156710723</c:v>
                </c:pt>
                <c:pt idx="44" formatCode="#,##0">
                  <c:v>55371.464605909532</c:v>
                </c:pt>
              </c:numCache>
            </c:numRef>
          </c:val>
          <c:extLst>
            <c:ext xmlns:c16="http://schemas.microsoft.com/office/drawing/2014/chart" uri="{C3380CC4-5D6E-409C-BE32-E72D297353CC}">
              <c16:uniqueId val="{00000002-C9F8-4B26-9EB5-AD40540E9045}"/>
            </c:ext>
          </c:extLst>
        </c:ser>
        <c:ser>
          <c:idx val="9"/>
          <c:order val="3"/>
          <c:tx>
            <c:v>Skaha</c:v>
          </c:tx>
          <c:spPr>
            <a:solidFill>
              <a:srgbClr val="C00000"/>
            </a:solidFill>
            <a:ln w="19050">
              <a:noFill/>
            </a:ln>
            <a:effectLst/>
          </c:spPr>
          <c:invertIfNegative val="0"/>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Data'!$BX$2:$BX$46</c:f>
              <c:numCache>
                <c:formatCode>#,##0</c:formatCode>
                <c:ptCount val="45"/>
                <c:pt idx="30" formatCode="_(* #,##0_);_(* \(#,##0\);_(* &quot;-&quot;??_);_(@_)">
                  <c:v>2681.6112676056337</c:v>
                </c:pt>
                <c:pt idx="31" formatCode="_(* #,##0_);_(* \(#,##0\);_(* &quot;-&quot;??_);_(@_)">
                  <c:v>12021.242329017421</c:v>
                </c:pt>
                <c:pt idx="32" formatCode="_(* #,##0_);_(* \(#,##0\);_(* &quot;-&quot;??_);_(@_)">
                  <c:v>20733.912979589437</c:v>
                </c:pt>
                <c:pt idx="33" formatCode="_(* #,##0_);_(* \(#,##0\);_(* &quot;-&quot;??_);_(@_)">
                  <c:v>15092.015443011389</c:v>
                </c:pt>
                <c:pt idx="34" formatCode="_(* #,##0_);_(* \(#,##0\);_(* &quot;-&quot;??_);_(@_)">
                  <c:v>114615.51079320333</c:v>
                </c:pt>
                <c:pt idx="35" formatCode="_(* #,##0_);_(* \(#,##0\);_(* &quot;-&quot;??_);_(@_)">
                  <c:v>60206.7121331823</c:v>
                </c:pt>
                <c:pt idx="36" formatCode="_(* #,##0_);_(* \(#,##0\);_(* &quot;-&quot;??_);_(@_)">
                  <c:v>54755.010572805135</c:v>
                </c:pt>
                <c:pt idx="37" formatCode="_(* #,##0_);_(* \(#,##0\);_(* &quot;-&quot;??_);_(@_)">
                  <c:v>147155.36619797183</c:v>
                </c:pt>
                <c:pt idx="38" formatCode="_(* #,##0_);_(* \(#,##0\);_(* &quot;-&quot;??_);_(@_)">
                  <c:v>256767.68347553123</c:v>
                </c:pt>
                <c:pt idx="39" formatCode="_(* #,##0_);_(* \(#,##0\);_(* &quot;-&quot;??_);_(@_)">
                  <c:v>111873.78138264046</c:v>
                </c:pt>
                <c:pt idx="40" formatCode="_(* #,##0_);_(* \(#,##0\);_(* &quot;-&quot;??_);_(@_)">
                  <c:v>42396.625692315967</c:v>
                </c:pt>
                <c:pt idx="41" formatCode="_(* #,##0_);_(* \(#,##0\);_(* &quot;-&quot;??_);_(@_)">
                  <c:v>107909.42316944095</c:v>
                </c:pt>
                <c:pt idx="42" formatCode="_(* #,##0_);_(* \(#,##0\);_(* &quot;-&quot;??_);_(@_)">
                  <c:v>25264.300600963616</c:v>
                </c:pt>
                <c:pt idx="43" formatCode="_(* #,##0_);_(* \(#,##0\);_(* &quot;-&quot;??_);_(@_)">
                  <c:v>144557.96617889882</c:v>
                </c:pt>
                <c:pt idx="44" formatCode="_(* #,##0_);_(* \(#,##0\);_(* &quot;-&quot;??_);_(@_)">
                  <c:v>55262.001124478731</c:v>
                </c:pt>
              </c:numCache>
            </c:numRef>
          </c:val>
          <c:extLst>
            <c:ext xmlns:c16="http://schemas.microsoft.com/office/drawing/2014/chart" uri="{C3380CC4-5D6E-409C-BE32-E72D297353CC}">
              <c16:uniqueId val="{00000003-C9F8-4B26-9EB5-AD40540E9045}"/>
            </c:ext>
          </c:extLst>
        </c:ser>
        <c:dLbls>
          <c:showLegendKey val="0"/>
          <c:showVal val="0"/>
          <c:showCatName val="0"/>
          <c:showSerName val="0"/>
          <c:showPercent val="0"/>
          <c:showBubbleSize val="0"/>
        </c:dLbls>
        <c:gapWidth val="150"/>
        <c:overlap val="100"/>
        <c:axId val="661082496"/>
        <c:axId val="661080832"/>
        <c:extLst>
          <c:ext xmlns:c15="http://schemas.microsoft.com/office/drawing/2012/chart" uri="{02D57815-91ED-43cb-92C2-25804820EDAC}">
            <c15:filteredBarSeries>
              <c15:ser>
                <c:idx val="0"/>
                <c:order val="0"/>
                <c:tx>
                  <c:v>Wenatchee</c:v>
                </c:tx>
                <c:spPr>
                  <a:solidFill>
                    <a:schemeClr val="accent1"/>
                  </a:solidFill>
                  <a:ln w="19050">
                    <a:solidFill>
                      <a:sysClr val="windowText" lastClr="000000"/>
                    </a:solidFill>
                    <a:prstDash val="sysDash"/>
                  </a:ln>
                  <a:effectLst/>
                </c:spPr>
                <c:invertIfNegative val="0"/>
                <c:cat>
                  <c:numRef>
                    <c:extLst>
                      <c:ext uri="{02D57815-91ED-43cb-92C2-25804820EDAC}">
                        <c15:formulaRef>
                          <c15:sqref>'Sockeye Returns Data'!$A$2:$A$46</c15:sqref>
                        </c15:formulaRef>
                      </c:ext>
                    </c:extLst>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extLst>
                      <c:ext uri="{02D57815-91ED-43cb-92C2-25804820EDAC}">
                        <c15:formulaRef>
                          <c15:sqref>'Sockeye Returns Data'!$AE$2:$AE$46</c15:sqref>
                        </c15:formulaRef>
                      </c:ext>
                    </c:extLst>
                    <c:numCache>
                      <c:formatCode>#,##0</c:formatCode>
                      <c:ptCount val="45"/>
                      <c:pt idx="0">
                        <c:v>70341.652945640002</c:v>
                      </c:pt>
                      <c:pt idx="1">
                        <c:v>6971.5400858399989</c:v>
                      </c:pt>
                      <c:pt idx="2">
                        <c:v>19663.422240959997</c:v>
                      </c:pt>
                      <c:pt idx="3">
                        <c:v>21984.803184239994</c:v>
                      </c:pt>
                      <c:pt idx="4">
                        <c:v>15651.099441630002</c:v>
                      </c:pt>
                      <c:pt idx="5">
                        <c:v>24947.873617439996</c:v>
                      </c:pt>
                      <c:pt idx="6">
                        <c:v>65817.357542369995</c:v>
                      </c:pt>
                      <c:pt idx="7">
                        <c:v>26897.39260240001</c:v>
                      </c:pt>
                      <c:pt idx="8">
                        <c:v>84239</c:v>
                      </c:pt>
                      <c:pt idx="9">
                        <c:v>13061</c:v>
                      </c:pt>
                      <c:pt idx="10">
                        <c:v>51106</c:v>
                      </c:pt>
                      <c:pt idx="11">
                        <c:v>22110</c:v>
                      </c:pt>
                      <c:pt idx="12">
                        <c:v>25210</c:v>
                      </c:pt>
                      <c:pt idx="13">
                        <c:v>39245</c:v>
                      </c:pt>
                      <c:pt idx="14">
                        <c:v>39765</c:v>
                      </c:pt>
                      <c:pt idx="15">
                        <c:v>27402</c:v>
                      </c:pt>
                      <c:pt idx="16">
                        <c:v>43389</c:v>
                      </c:pt>
                      <c:pt idx="17">
                        <c:v>10750</c:v>
                      </c:pt>
                      <c:pt idx="18">
                        <c:v>3640</c:v>
                      </c:pt>
                      <c:pt idx="19">
                        <c:v>8137</c:v>
                      </c:pt>
                      <c:pt idx="20">
                        <c:v>12682</c:v>
                      </c:pt>
                      <c:pt idx="21">
                        <c:v>5813</c:v>
                      </c:pt>
                      <c:pt idx="22">
                        <c:v>1653</c:v>
                      </c:pt>
                      <c:pt idx="23">
                        <c:v>23326</c:v>
                      </c:pt>
                      <c:pt idx="24">
                        <c:v>37607</c:v>
                      </c:pt>
                      <c:pt idx="25">
                        <c:v>37045</c:v>
                      </c:pt>
                      <c:pt idx="26">
                        <c:v>5696</c:v>
                      </c:pt>
                      <c:pt idx="27">
                        <c:v>37392</c:v>
                      </c:pt>
                      <c:pt idx="28">
                        <c:v>16689</c:v>
                      </c:pt>
                      <c:pt idx="29">
                        <c:v>10740</c:v>
                      </c:pt>
                      <c:pt idx="30">
                        <c:v>2762</c:v>
                      </c:pt>
                      <c:pt idx="31">
                        <c:v>33674</c:v>
                      </c:pt>
                      <c:pt idx="32">
                        <c:v>31654</c:v>
                      </c:pt>
                      <c:pt idx="33">
                        <c:v>53052</c:v>
                      </c:pt>
                      <c:pt idx="34">
                        <c:v>23396</c:v>
                      </c:pt>
                      <c:pt idx="35">
                        <c:v>87955</c:v>
                      </c:pt>
                      <c:pt idx="36">
                        <c:v>34977</c:v>
                      </c:pt>
                      <c:pt idx="37">
                        <c:v>110360</c:v>
                      </c:pt>
                      <c:pt idx="38">
                        <c:v>102667</c:v>
                      </c:pt>
                      <c:pt idx="39">
                        <c:v>86977</c:v>
                      </c:pt>
                      <c:pt idx="40">
                        <c:v>32687</c:v>
                      </c:pt>
                      <c:pt idx="41">
                        <c:v>16267</c:v>
                      </c:pt>
                      <c:pt idx="42">
                        <c:v>9626</c:v>
                      </c:pt>
                      <c:pt idx="43">
                        <c:v>54490</c:v>
                      </c:pt>
                      <c:pt idx="44">
                        <c:v>44349</c:v>
                      </c:pt>
                    </c:numCache>
                  </c:numRef>
                </c:val>
                <c:extLst>
                  <c:ext xmlns:c16="http://schemas.microsoft.com/office/drawing/2014/chart" uri="{C3380CC4-5D6E-409C-BE32-E72D297353CC}">
                    <c16:uniqueId val="{00000000-C9F8-4B26-9EB5-AD40540E9045}"/>
                  </c:ext>
                </c:extLst>
              </c15:ser>
            </c15:filteredBarSeries>
          </c:ext>
        </c:extLst>
      </c:barChart>
      <c:catAx>
        <c:axId val="6610824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661080832"/>
        <c:crosses val="autoZero"/>
        <c:auto val="1"/>
        <c:lblAlgn val="ctr"/>
        <c:lblOffset val="100"/>
        <c:noMultiLvlLbl val="0"/>
      </c:catAx>
      <c:valAx>
        <c:axId val="661080832"/>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661082496"/>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b"/>
      <c:overlay val="0"/>
      <c:spPr>
        <a:noFill/>
        <a:ln>
          <a:solidFill>
            <a:schemeClr val="bg1">
              <a:lumMod val="65000"/>
            </a:schemeClr>
          </a:solid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Proportional Returns to the</a:t>
            </a:r>
            <a:r>
              <a:rPr lang="en-US" baseline="0"/>
              <a:t> Okanagan, by Sub-Stock</a:t>
            </a:r>
            <a:endParaRPr lang="en-US"/>
          </a:p>
        </c:rich>
      </c:tx>
      <c:overlay val="0"/>
      <c:spPr>
        <a:noFill/>
        <a:ln>
          <a:noFill/>
        </a:ln>
        <a:effectLst/>
      </c:spPr>
    </c:title>
    <c:autoTitleDeleted val="0"/>
    <c:plotArea>
      <c:layout/>
      <c:barChart>
        <c:barDir val="col"/>
        <c:grouping val="percentStacked"/>
        <c:varyColors val="0"/>
        <c:ser>
          <c:idx val="15"/>
          <c:order val="1"/>
          <c:tx>
            <c:strRef>
              <c:f>'Sockeye Returns Data'!$BJ$1</c:f>
              <c:strCache>
                <c:ptCount val="1"/>
              </c:strCache>
            </c:strRef>
          </c:tx>
          <c:invertIfNegative val="0"/>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Data'!$BJ$2:$BJ$46</c:f>
            </c:numRef>
          </c:val>
          <c:extLst>
            <c:ext xmlns:c16="http://schemas.microsoft.com/office/drawing/2014/chart" uri="{C3380CC4-5D6E-409C-BE32-E72D297353CC}">
              <c16:uniqueId val="{00000001-1FBF-43CD-A7E7-17F81EFCC7C0}"/>
            </c:ext>
          </c:extLst>
        </c:ser>
        <c:ser>
          <c:idx val="18"/>
          <c:order val="2"/>
          <c:tx>
            <c:v>Osoyoos</c:v>
          </c:tx>
          <c:spPr>
            <a:solidFill>
              <a:schemeClr val="accent1"/>
            </a:solidFill>
            <a:ln w="19050"/>
          </c:spPr>
          <c:invertIfNegative val="0"/>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Data'!$BW$2:$BW$46</c:f>
              <c:numCache>
                <c:formatCode>_(* #,##0_);_(* \(#,##0\);_(* "-"??_);_(@_)</c:formatCode>
                <c:ptCount val="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formatCode="#,##0">
                  <c:v>2202</c:v>
                </c:pt>
                <c:pt idx="18" formatCode="#,##0">
                  <c:v>5238</c:v>
                </c:pt>
                <c:pt idx="19" formatCode="#,##0">
                  <c:v>23160</c:v>
                </c:pt>
                <c:pt idx="20" formatCode="#,##0">
                  <c:v>36095</c:v>
                </c:pt>
                <c:pt idx="21" formatCode="#,##0">
                  <c:v>7705</c:v>
                </c:pt>
                <c:pt idx="22" formatCode="#,##0">
                  <c:v>16715</c:v>
                </c:pt>
                <c:pt idx="23" formatCode="#,##0">
                  <c:v>73866</c:v>
                </c:pt>
                <c:pt idx="24" formatCode="#,##0">
                  <c:v>83707</c:v>
                </c:pt>
                <c:pt idx="25" formatCode="#,##0">
                  <c:v>14406</c:v>
                </c:pt>
                <c:pt idx="26" formatCode="#,##0">
                  <c:v>34992</c:v>
                </c:pt>
                <c:pt idx="27" formatCode="#,##0">
                  <c:v>91547</c:v>
                </c:pt>
                <c:pt idx="28" formatCode="#,##0">
                  <c:v>59170</c:v>
                </c:pt>
                <c:pt idx="29" formatCode="#,##0">
                  <c:v>27616</c:v>
                </c:pt>
                <c:pt idx="30" formatCode="#,##0">
                  <c:v>19662.388732394367</c:v>
                </c:pt>
                <c:pt idx="31" formatCode="#,##0">
                  <c:v>178797.7576709826</c:v>
                </c:pt>
                <c:pt idx="32" formatCode="#,##0">
                  <c:v>133812.08702041057</c:v>
                </c:pt>
                <c:pt idx="33" formatCode="#,##0">
                  <c:v>339944.98455698858</c:v>
                </c:pt>
                <c:pt idx="34" formatCode="#,##0">
                  <c:v>56956.489206796672</c:v>
                </c:pt>
                <c:pt idx="35" formatCode="#,##0">
                  <c:v>401558.28786681773</c:v>
                </c:pt>
                <c:pt idx="36" formatCode="#,##0">
                  <c:v>104583.98942719486</c:v>
                </c:pt>
                <c:pt idx="37" formatCode="#,##0">
                  <c:v>391663.6338020282</c:v>
                </c:pt>
                <c:pt idx="38" formatCode="#,##0">
                  <c:v>180919.31652446877</c:v>
                </c:pt>
                <c:pt idx="39" formatCode="#,##0">
                  <c:v>162368.05036650912</c:v>
                </c:pt>
                <c:pt idx="40" formatCode="#,##0">
                  <c:v>15714.374307684035</c:v>
                </c:pt>
                <c:pt idx="41" formatCode="#,##0">
                  <c:v>78967.627382958686</c:v>
                </c:pt>
                <c:pt idx="42" formatCode="#,##0">
                  <c:v>27808.12446155211</c:v>
                </c:pt>
                <c:pt idx="43" formatCode="#,##0">
                  <c:v>159970.04156710723</c:v>
                </c:pt>
                <c:pt idx="44" formatCode="#,##0">
                  <c:v>55371.464605909532</c:v>
                </c:pt>
              </c:numCache>
            </c:numRef>
          </c:val>
          <c:extLst>
            <c:ext xmlns:c16="http://schemas.microsoft.com/office/drawing/2014/chart" uri="{C3380CC4-5D6E-409C-BE32-E72D297353CC}">
              <c16:uniqueId val="{00000002-1FBF-43CD-A7E7-17F81EFCC7C0}"/>
            </c:ext>
          </c:extLst>
        </c:ser>
        <c:ser>
          <c:idx val="19"/>
          <c:order val="3"/>
          <c:tx>
            <c:v>Skaha</c:v>
          </c:tx>
          <c:spPr>
            <a:solidFill>
              <a:srgbClr val="C00000"/>
            </a:solidFill>
            <a:ln w="19050"/>
          </c:spPr>
          <c:invertIfNegative val="0"/>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Data'!$BX$2:$BX$46</c:f>
              <c:numCache>
                <c:formatCode>#,##0</c:formatCode>
                <c:ptCount val="45"/>
                <c:pt idx="30" formatCode="_(* #,##0_);_(* \(#,##0\);_(* &quot;-&quot;??_);_(@_)">
                  <c:v>2681.6112676056337</c:v>
                </c:pt>
                <c:pt idx="31" formatCode="_(* #,##0_);_(* \(#,##0\);_(* &quot;-&quot;??_);_(@_)">
                  <c:v>12021.242329017421</c:v>
                </c:pt>
                <c:pt idx="32" formatCode="_(* #,##0_);_(* \(#,##0\);_(* &quot;-&quot;??_);_(@_)">
                  <c:v>20733.912979589437</c:v>
                </c:pt>
                <c:pt idx="33" formatCode="_(* #,##0_);_(* \(#,##0\);_(* &quot;-&quot;??_);_(@_)">
                  <c:v>15092.015443011389</c:v>
                </c:pt>
                <c:pt idx="34" formatCode="_(* #,##0_);_(* \(#,##0\);_(* &quot;-&quot;??_);_(@_)">
                  <c:v>114615.51079320333</c:v>
                </c:pt>
                <c:pt idx="35" formatCode="_(* #,##0_);_(* \(#,##0\);_(* &quot;-&quot;??_);_(@_)">
                  <c:v>60206.7121331823</c:v>
                </c:pt>
                <c:pt idx="36" formatCode="_(* #,##0_);_(* \(#,##0\);_(* &quot;-&quot;??_);_(@_)">
                  <c:v>54755.010572805135</c:v>
                </c:pt>
                <c:pt idx="37" formatCode="_(* #,##0_);_(* \(#,##0\);_(* &quot;-&quot;??_);_(@_)">
                  <c:v>147155.36619797183</c:v>
                </c:pt>
                <c:pt idx="38" formatCode="_(* #,##0_);_(* \(#,##0\);_(* &quot;-&quot;??_);_(@_)">
                  <c:v>256767.68347553123</c:v>
                </c:pt>
                <c:pt idx="39" formatCode="_(* #,##0_);_(* \(#,##0\);_(* &quot;-&quot;??_);_(@_)">
                  <c:v>111873.78138264046</c:v>
                </c:pt>
                <c:pt idx="40" formatCode="_(* #,##0_);_(* \(#,##0\);_(* &quot;-&quot;??_);_(@_)">
                  <c:v>42396.625692315967</c:v>
                </c:pt>
                <c:pt idx="41" formatCode="_(* #,##0_);_(* \(#,##0\);_(* &quot;-&quot;??_);_(@_)">
                  <c:v>107909.42316944095</c:v>
                </c:pt>
                <c:pt idx="42" formatCode="_(* #,##0_);_(* \(#,##0\);_(* &quot;-&quot;??_);_(@_)">
                  <c:v>25264.300600963616</c:v>
                </c:pt>
                <c:pt idx="43" formatCode="_(* #,##0_);_(* \(#,##0\);_(* &quot;-&quot;??_);_(@_)">
                  <c:v>144557.96617889882</c:v>
                </c:pt>
                <c:pt idx="44" formatCode="_(* #,##0_);_(* \(#,##0\);_(* &quot;-&quot;??_);_(@_)">
                  <c:v>55262.001124478731</c:v>
                </c:pt>
              </c:numCache>
            </c:numRef>
          </c:val>
          <c:extLst>
            <c:ext xmlns:c16="http://schemas.microsoft.com/office/drawing/2014/chart" uri="{C3380CC4-5D6E-409C-BE32-E72D297353CC}">
              <c16:uniqueId val="{00000003-1FBF-43CD-A7E7-17F81EFCC7C0}"/>
            </c:ext>
          </c:extLst>
        </c:ser>
        <c:ser>
          <c:idx val="5"/>
          <c:order val="4"/>
          <c:tx>
            <c:strRef>
              <c:f>'Sockeye Returns Data'!$BJ$1</c:f>
              <c:strCache>
                <c:ptCount val="1"/>
              </c:strCache>
            </c:strRef>
          </c:tx>
          <c:invertIfNegative val="0"/>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Data'!$BJ$2:$BJ$46</c:f>
            </c:numRef>
          </c:val>
          <c:extLst>
            <c:ext xmlns:c16="http://schemas.microsoft.com/office/drawing/2014/chart" uri="{C3380CC4-5D6E-409C-BE32-E72D297353CC}">
              <c16:uniqueId val="{00000004-1FBF-43CD-A7E7-17F81EFCC7C0}"/>
            </c:ext>
          </c:extLst>
        </c:ser>
        <c:dLbls>
          <c:showLegendKey val="0"/>
          <c:showVal val="0"/>
          <c:showCatName val="0"/>
          <c:showSerName val="0"/>
          <c:showPercent val="0"/>
          <c:showBubbleSize val="0"/>
        </c:dLbls>
        <c:gapWidth val="150"/>
        <c:overlap val="100"/>
        <c:axId val="661082496"/>
        <c:axId val="661080832"/>
        <c:extLst>
          <c:ext xmlns:c15="http://schemas.microsoft.com/office/drawing/2012/chart" uri="{02D57815-91ED-43cb-92C2-25804820EDAC}">
            <c15:filteredBarSeries>
              <c15:ser>
                <c:idx val="10"/>
                <c:order val="0"/>
                <c:tx>
                  <c:v>Wenatchee</c:v>
                </c:tx>
                <c:spPr>
                  <a:solidFill>
                    <a:schemeClr val="tx1"/>
                  </a:solidFill>
                </c:spPr>
                <c:invertIfNegative val="0"/>
                <c:cat>
                  <c:numRef>
                    <c:extLst>
                      <c:ext uri="{02D57815-91ED-43cb-92C2-25804820EDAC}">
                        <c15:formulaRef>
                          <c15:sqref>'Sockeye Returns Data'!$A$2:$A$46</c15:sqref>
                        </c15:formulaRef>
                      </c:ext>
                    </c:extLst>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extLst>
                      <c:ext uri="{02D57815-91ED-43cb-92C2-25804820EDAC}">
                        <c15:formulaRef>
                          <c15:sqref>'Sockeye Returns Data'!$AE$2:$AE$46</c15:sqref>
                        </c15:formulaRef>
                      </c:ext>
                    </c:extLst>
                    <c:numCache>
                      <c:formatCode>#,##0</c:formatCode>
                      <c:ptCount val="45"/>
                      <c:pt idx="0">
                        <c:v>70341.652945640002</c:v>
                      </c:pt>
                      <c:pt idx="1">
                        <c:v>6971.5400858399989</c:v>
                      </c:pt>
                      <c:pt idx="2">
                        <c:v>19663.422240959997</c:v>
                      </c:pt>
                      <c:pt idx="3">
                        <c:v>21984.803184239994</c:v>
                      </c:pt>
                      <c:pt idx="4">
                        <c:v>15651.099441630002</c:v>
                      </c:pt>
                      <c:pt idx="5">
                        <c:v>24947.873617439996</c:v>
                      </c:pt>
                      <c:pt idx="6">
                        <c:v>65817.357542369995</c:v>
                      </c:pt>
                      <c:pt idx="7">
                        <c:v>26897.39260240001</c:v>
                      </c:pt>
                      <c:pt idx="8">
                        <c:v>84239</c:v>
                      </c:pt>
                      <c:pt idx="9">
                        <c:v>13061</c:v>
                      </c:pt>
                      <c:pt idx="10">
                        <c:v>51106</c:v>
                      </c:pt>
                      <c:pt idx="11">
                        <c:v>22110</c:v>
                      </c:pt>
                      <c:pt idx="12">
                        <c:v>25210</c:v>
                      </c:pt>
                      <c:pt idx="13">
                        <c:v>39245</c:v>
                      </c:pt>
                      <c:pt idx="14">
                        <c:v>39765</c:v>
                      </c:pt>
                      <c:pt idx="15">
                        <c:v>27402</c:v>
                      </c:pt>
                      <c:pt idx="16">
                        <c:v>43389</c:v>
                      </c:pt>
                      <c:pt idx="17">
                        <c:v>10750</c:v>
                      </c:pt>
                      <c:pt idx="18">
                        <c:v>3640</c:v>
                      </c:pt>
                      <c:pt idx="19">
                        <c:v>8137</c:v>
                      </c:pt>
                      <c:pt idx="20">
                        <c:v>12682</c:v>
                      </c:pt>
                      <c:pt idx="21">
                        <c:v>5813</c:v>
                      </c:pt>
                      <c:pt idx="22">
                        <c:v>1653</c:v>
                      </c:pt>
                      <c:pt idx="23">
                        <c:v>23326</c:v>
                      </c:pt>
                      <c:pt idx="24">
                        <c:v>37607</c:v>
                      </c:pt>
                      <c:pt idx="25">
                        <c:v>37045</c:v>
                      </c:pt>
                      <c:pt idx="26">
                        <c:v>5696</c:v>
                      </c:pt>
                      <c:pt idx="27">
                        <c:v>37392</c:v>
                      </c:pt>
                      <c:pt idx="28">
                        <c:v>16689</c:v>
                      </c:pt>
                      <c:pt idx="29">
                        <c:v>10740</c:v>
                      </c:pt>
                      <c:pt idx="30">
                        <c:v>2762</c:v>
                      </c:pt>
                      <c:pt idx="31">
                        <c:v>33674</c:v>
                      </c:pt>
                      <c:pt idx="32">
                        <c:v>31654</c:v>
                      </c:pt>
                      <c:pt idx="33">
                        <c:v>53052</c:v>
                      </c:pt>
                      <c:pt idx="34">
                        <c:v>23396</c:v>
                      </c:pt>
                      <c:pt idx="35">
                        <c:v>87955</c:v>
                      </c:pt>
                      <c:pt idx="36">
                        <c:v>34977</c:v>
                      </c:pt>
                      <c:pt idx="37">
                        <c:v>110360</c:v>
                      </c:pt>
                      <c:pt idx="38">
                        <c:v>102667</c:v>
                      </c:pt>
                      <c:pt idx="39">
                        <c:v>86977</c:v>
                      </c:pt>
                      <c:pt idx="40">
                        <c:v>32687</c:v>
                      </c:pt>
                      <c:pt idx="41">
                        <c:v>16267</c:v>
                      </c:pt>
                      <c:pt idx="42">
                        <c:v>9626</c:v>
                      </c:pt>
                      <c:pt idx="43">
                        <c:v>54490</c:v>
                      </c:pt>
                      <c:pt idx="44">
                        <c:v>44349</c:v>
                      </c:pt>
                    </c:numCache>
                  </c:numRef>
                </c:val>
                <c:extLst>
                  <c:ext xmlns:c16="http://schemas.microsoft.com/office/drawing/2014/chart" uri="{C3380CC4-5D6E-409C-BE32-E72D297353CC}">
                    <c16:uniqueId val="{00000000-1FBF-43CD-A7E7-17F81EFCC7C0}"/>
                  </c:ext>
                </c:extLst>
              </c15:ser>
            </c15:filteredBarSeries>
          </c:ext>
        </c:extLst>
      </c:barChart>
      <c:catAx>
        <c:axId val="6610824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noFill/>
            <a:round/>
          </a:ln>
          <a:effectLst/>
        </c:spPr>
        <c:txPr>
          <a:bodyPr rot="-5400000" spcFirstLastPara="1" vertOverflow="ellipsis"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661080832"/>
        <c:crosses val="autoZero"/>
        <c:auto val="1"/>
        <c:lblAlgn val="ctr"/>
        <c:lblOffset val="100"/>
        <c:noMultiLvlLbl val="0"/>
      </c:catAx>
      <c:valAx>
        <c:axId val="661080832"/>
        <c:scaling>
          <c:orientation val="minMax"/>
        </c:scaling>
        <c:delete val="0"/>
        <c:axPos val="l"/>
        <c:majorGridlines>
          <c:spPr>
            <a:ln w="9525" cap="flat" cmpd="sng" algn="ctr">
              <a:solidFill>
                <a:schemeClr val="tx1">
                  <a:lumMod val="50000"/>
                  <a:lumOff val="5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661082496"/>
        <c:crosses val="autoZero"/>
        <c:crossBetween val="between"/>
        <c:majorUnit val="0.25"/>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plotArea>
    <c:legend>
      <c:legendPos val="b"/>
      <c:overlay val="0"/>
      <c:spPr>
        <a:noFill/>
        <a:ln>
          <a:solidFill>
            <a:schemeClr val="bg1">
              <a:lumMod val="65000"/>
            </a:schemeClr>
          </a:solid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noFill/>
    </a:ln>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[SIS - Data - OSOYOOS - 24.07.04.xlsx]Spawn Grounds Sumry by Substock!PivotTable2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Okanagan Sockeye - Sub-stock Composition by Spawning Ground Location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75000"/>
            </a:schemeClr>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40000"/>
              <a:lumOff val="60000"/>
            </a:schemeClr>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lumMod val="40000"/>
              <a:lumOff val="60000"/>
            </a:schemeClr>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'Spawn Grounds Sumry by Substock'!$B$3:$B$5</c:f>
              <c:strCache>
                <c:ptCount val="1"/>
                <c:pt idx="0">
                  <c:v>Skaha - Penticton Channel</c:v>
                </c:pt>
              </c:strCache>
            </c:strRef>
          </c:tx>
          <c:spPr>
            <a:solidFill>
              <a:schemeClr val="accent2">
                <a:lumMod val="75000"/>
              </a:schemeClr>
            </a:solidFill>
            <a:ln>
              <a:solidFill>
                <a:schemeClr val="tx1"/>
              </a:solidFill>
            </a:ln>
            <a:effectLst/>
          </c:spPr>
          <c:invertIfNegative val="0"/>
          <c:cat>
            <c:strRef>
              <c:f>'Spawn Grounds Sumry by Substock'!$A$6:$A$28</c:f>
              <c:strCach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strCache>
            </c:strRef>
          </c:cat>
          <c:val>
            <c:numRef>
              <c:f>'Spawn Grounds Sumry by Substock'!$B$6:$B$28</c:f>
              <c:numCache>
                <c:formatCode>#,##0</c:formatCode>
                <c:ptCount val="22"/>
                <c:pt idx="11">
                  <c:v>22879</c:v>
                </c:pt>
                <c:pt idx="12">
                  <c:v>10994</c:v>
                </c:pt>
                <c:pt idx="13">
                  <c:v>8904</c:v>
                </c:pt>
                <c:pt idx="14">
                  <c:v>49549</c:v>
                </c:pt>
                <c:pt idx="15">
                  <c:v>14257</c:v>
                </c:pt>
                <c:pt idx="16">
                  <c:v>36853</c:v>
                </c:pt>
                <c:pt idx="17">
                  <c:v>27136</c:v>
                </c:pt>
                <c:pt idx="18">
                  <c:v>41257</c:v>
                </c:pt>
                <c:pt idx="19">
                  <c:v>10175</c:v>
                </c:pt>
                <c:pt idx="20">
                  <c:v>28369</c:v>
                </c:pt>
                <c:pt idx="21">
                  <c:v>8687</c:v>
                </c:pt>
              </c:numCache>
            </c:numRef>
          </c:val>
          <c:extLst>
            <c:ext xmlns:c16="http://schemas.microsoft.com/office/drawing/2014/chart" uri="{C3380CC4-5D6E-409C-BE32-E72D297353CC}">
              <c16:uniqueId val="{00000000-4541-4B67-8232-A8441A341756}"/>
            </c:ext>
          </c:extLst>
        </c:ser>
        <c:ser>
          <c:idx val="1"/>
          <c:order val="1"/>
          <c:tx>
            <c:strRef>
              <c:f>'Spawn Grounds Sumry by Substock'!$C$3:$C$5</c:f>
              <c:strCache>
                <c:ptCount val="1"/>
                <c:pt idx="0">
                  <c:v>Skaha - Shingle Creek</c:v>
                </c:pt>
              </c:strCache>
            </c:strRef>
          </c:tx>
          <c:spPr>
            <a:solidFill>
              <a:schemeClr val="accent2">
                <a:lumMod val="40000"/>
                <a:lumOff val="60000"/>
              </a:schemeClr>
            </a:solidFill>
            <a:ln>
              <a:solidFill>
                <a:schemeClr val="tx1"/>
              </a:solidFill>
            </a:ln>
            <a:effectLst/>
          </c:spPr>
          <c:invertIfNegative val="0"/>
          <c:cat>
            <c:strRef>
              <c:f>'Spawn Grounds Sumry by Substock'!$A$6:$A$28</c:f>
              <c:strCach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strCache>
            </c:strRef>
          </c:cat>
          <c:val>
            <c:numRef>
              <c:f>'Spawn Grounds Sumry by Substock'!$C$6:$C$28</c:f>
              <c:numCache>
                <c:formatCode>#,##0</c:formatCode>
                <c:ptCount val="22"/>
                <c:pt idx="14">
                  <c:v>188</c:v>
                </c:pt>
                <c:pt idx="15">
                  <c:v>150</c:v>
                </c:pt>
                <c:pt idx="18">
                  <c:v>489</c:v>
                </c:pt>
                <c:pt idx="20">
                  <c:v>11495</c:v>
                </c:pt>
              </c:numCache>
            </c:numRef>
          </c:val>
          <c:extLst>
            <c:ext xmlns:c16="http://schemas.microsoft.com/office/drawing/2014/chart" uri="{C3380CC4-5D6E-409C-BE32-E72D297353CC}">
              <c16:uniqueId val="{00000001-4541-4B67-8232-A8441A341756}"/>
            </c:ext>
          </c:extLst>
        </c:ser>
        <c:ser>
          <c:idx val="2"/>
          <c:order val="2"/>
          <c:tx>
            <c:strRef>
              <c:f>'Spawn Grounds Sumry by Substock'!$E$3:$E$5</c:f>
              <c:strCache>
                <c:ptCount val="1"/>
                <c:pt idx="0">
                  <c:v>Osoyoos - Lower Ok River</c:v>
                </c:pt>
              </c:strCache>
            </c:strRef>
          </c:tx>
          <c:spPr>
            <a:solidFill>
              <a:schemeClr val="accent1">
                <a:lumMod val="75000"/>
              </a:schemeClr>
            </a:solidFill>
            <a:ln>
              <a:solidFill>
                <a:schemeClr val="tx1"/>
              </a:solidFill>
            </a:ln>
            <a:effectLst/>
          </c:spPr>
          <c:invertIfNegative val="0"/>
          <c:cat>
            <c:strRef>
              <c:f>'Spawn Grounds Sumry by Substock'!$A$6:$A$28</c:f>
              <c:strCach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strCache>
            </c:strRef>
          </c:cat>
          <c:val>
            <c:numRef>
              <c:f>'Spawn Grounds Sumry by Substock'!$E$6:$E$28</c:f>
              <c:numCache>
                <c:formatCode>#,##0</c:formatCode>
                <c:ptCount val="22"/>
                <c:pt idx="0">
                  <c:v>21838</c:v>
                </c:pt>
                <c:pt idx="1">
                  <c:v>39024</c:v>
                </c:pt>
                <c:pt idx="2">
                  <c:v>3560</c:v>
                </c:pt>
                <c:pt idx="3">
                  <c:v>17753</c:v>
                </c:pt>
                <c:pt idx="4">
                  <c:v>41791</c:v>
                </c:pt>
                <c:pt idx="5">
                  <c:v>31260</c:v>
                </c:pt>
                <c:pt idx="6">
                  <c:v>20819</c:v>
                </c:pt>
                <c:pt idx="7">
                  <c:v>13490</c:v>
                </c:pt>
                <c:pt idx="8">
                  <c:v>126972</c:v>
                </c:pt>
                <c:pt idx="9">
                  <c:v>64024</c:v>
                </c:pt>
                <c:pt idx="10">
                  <c:v>182122</c:v>
                </c:pt>
                <c:pt idx="11">
                  <c:v>10813</c:v>
                </c:pt>
                <c:pt idx="12">
                  <c:v>90862</c:v>
                </c:pt>
                <c:pt idx="13">
                  <c:v>33820</c:v>
                </c:pt>
                <c:pt idx="14">
                  <c:v>145206</c:v>
                </c:pt>
                <c:pt idx="15">
                  <c:v>10255</c:v>
                </c:pt>
                <c:pt idx="16">
                  <c:v>54281</c:v>
                </c:pt>
                <c:pt idx="17">
                  <c:v>9893</c:v>
                </c:pt>
                <c:pt idx="18">
                  <c:v>30755</c:v>
                </c:pt>
                <c:pt idx="19">
                  <c:v>12913</c:v>
                </c:pt>
                <c:pt idx="20">
                  <c:v>46510</c:v>
                </c:pt>
                <c:pt idx="21">
                  <c:v>10457</c:v>
                </c:pt>
              </c:numCache>
            </c:numRef>
          </c:val>
          <c:extLst>
            <c:ext xmlns:c16="http://schemas.microsoft.com/office/drawing/2014/chart" uri="{C3380CC4-5D6E-409C-BE32-E72D297353CC}">
              <c16:uniqueId val="{00000002-4541-4B67-8232-A8441A341756}"/>
            </c:ext>
          </c:extLst>
        </c:ser>
        <c:ser>
          <c:idx val="3"/>
          <c:order val="3"/>
          <c:tx>
            <c:strRef>
              <c:f>'Spawn Grounds Sumry by Substock'!$F$3:$F$5</c:f>
              <c:strCache>
                <c:ptCount val="1"/>
                <c:pt idx="0">
                  <c:v>Osoyoos - Middle Ok River</c:v>
                </c:pt>
              </c:strCache>
            </c:strRef>
          </c:tx>
          <c:spPr>
            <a:solidFill>
              <a:schemeClr val="accent1">
                <a:lumMod val="40000"/>
                <a:lumOff val="60000"/>
              </a:schemeClr>
            </a:solidFill>
            <a:ln>
              <a:solidFill>
                <a:schemeClr val="tx1"/>
              </a:solidFill>
            </a:ln>
            <a:effectLst/>
          </c:spPr>
          <c:invertIfNegative val="0"/>
          <c:cat>
            <c:strRef>
              <c:f>'Spawn Grounds Sumry by Substock'!$A$6:$A$28</c:f>
              <c:strCach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strCache>
            </c:strRef>
          </c:cat>
          <c:val>
            <c:numRef>
              <c:f>'Spawn Grounds Sumry by Substock'!$F$6:$F$28</c:f>
              <c:numCache>
                <c:formatCode>#,##0</c:formatCode>
                <c:ptCount val="22"/>
                <c:pt idx="9">
                  <c:v>4029</c:v>
                </c:pt>
                <c:pt idx="10">
                  <c:v>17839</c:v>
                </c:pt>
                <c:pt idx="11">
                  <c:v>2208</c:v>
                </c:pt>
                <c:pt idx="12">
                  <c:v>3203</c:v>
                </c:pt>
                <c:pt idx="13">
                  <c:v>2108</c:v>
                </c:pt>
                <c:pt idx="14">
                  <c:v>1489</c:v>
                </c:pt>
                <c:pt idx="15">
                  <c:v>186</c:v>
                </c:pt>
                <c:pt idx="16">
                  <c:v>531.56600000000003</c:v>
                </c:pt>
                <c:pt idx="17">
                  <c:v>165</c:v>
                </c:pt>
                <c:pt idx="18">
                  <c:v>250</c:v>
                </c:pt>
                <c:pt idx="19">
                  <c:v>54</c:v>
                </c:pt>
                <c:pt idx="20">
                  <c:v>1441</c:v>
                </c:pt>
                <c:pt idx="21">
                  <c:v>40</c:v>
                </c:pt>
              </c:numCache>
            </c:numRef>
          </c:val>
          <c:extLst>
            <c:ext xmlns:c16="http://schemas.microsoft.com/office/drawing/2014/chart" uri="{C3380CC4-5D6E-409C-BE32-E72D297353CC}">
              <c16:uniqueId val="{00000003-4541-4B67-8232-A8441A341756}"/>
            </c:ext>
          </c:extLst>
        </c:ser>
        <c:dLbls>
          <c:showLegendKey val="0"/>
          <c:showVal val="0"/>
          <c:showCatName val="0"/>
          <c:showSerName val="0"/>
          <c:showPercent val="0"/>
          <c:showBubbleSize val="0"/>
        </c:dLbls>
        <c:gapWidth val="75"/>
        <c:overlap val="100"/>
        <c:axId val="1049358496"/>
        <c:axId val="107171616"/>
      </c:barChart>
      <c:catAx>
        <c:axId val="1049358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07171616"/>
        <c:crosses val="autoZero"/>
        <c:auto val="1"/>
        <c:lblAlgn val="ctr"/>
        <c:lblOffset val="100"/>
        <c:noMultiLvlLbl val="0"/>
      </c:catAx>
      <c:valAx>
        <c:axId val="10717161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0493584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[SIS - Data - OSOYOOS - 24.07.04.xlsx]Spawn Grounds Sumry by Origin2!PivotTable2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Okanagan Sockeye - Aggregate Stock Composition by Origin</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'Spawn Grounds Sumry by Origin2'!$B$3</c:f>
              <c:strCache>
                <c:ptCount val="1"/>
                <c:pt idx="0">
                  <c:v>Sockeye (NO)</c:v>
                </c:pt>
              </c:strCache>
            </c:strRef>
          </c:tx>
          <c:spPr>
            <a:solidFill>
              <a:schemeClr val="accent1"/>
            </a:solidFill>
            <a:ln>
              <a:noFill/>
            </a:ln>
            <a:effectLst/>
          </c:spPr>
          <c:invertIfNegative val="0"/>
          <c:cat>
            <c:strRef>
              <c:f>'Spawn Grounds Sumry by Origin2'!$A$4:$A$26</c:f>
              <c:strCach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strCache>
            </c:strRef>
          </c:cat>
          <c:val>
            <c:numRef>
              <c:f>'Spawn Grounds Sumry by Origin2'!$B$4:$B$26</c:f>
              <c:numCache>
                <c:formatCode>#,##0</c:formatCode>
                <c:ptCount val="22"/>
                <c:pt idx="0">
                  <c:v>21838</c:v>
                </c:pt>
                <c:pt idx="1">
                  <c:v>39024</c:v>
                </c:pt>
                <c:pt idx="2">
                  <c:v>3560</c:v>
                </c:pt>
                <c:pt idx="3">
                  <c:v>17753</c:v>
                </c:pt>
                <c:pt idx="4">
                  <c:v>41791</c:v>
                </c:pt>
                <c:pt idx="5">
                  <c:v>31260</c:v>
                </c:pt>
                <c:pt idx="6">
                  <c:v>20819</c:v>
                </c:pt>
                <c:pt idx="7">
                  <c:v>11871</c:v>
                </c:pt>
                <c:pt idx="8">
                  <c:v>118973</c:v>
                </c:pt>
                <c:pt idx="9">
                  <c:v>58923</c:v>
                </c:pt>
                <c:pt idx="10">
                  <c:v>191461</c:v>
                </c:pt>
                <c:pt idx="11">
                  <c:v>16493.466999999997</c:v>
                </c:pt>
                <c:pt idx="12">
                  <c:v>94098</c:v>
                </c:pt>
                <c:pt idx="13">
                  <c:v>33043</c:v>
                </c:pt>
                <c:pt idx="14">
                  <c:v>172238.3301176613</c:v>
                </c:pt>
                <c:pt idx="15">
                  <c:v>24678</c:v>
                </c:pt>
                <c:pt idx="16">
                  <c:v>90513</c:v>
                </c:pt>
                <c:pt idx="17">
                  <c:v>37108</c:v>
                </c:pt>
                <c:pt idx="18">
                  <c:v>67822</c:v>
                </c:pt>
                <c:pt idx="19">
                  <c:v>18213.00835</c:v>
                </c:pt>
                <c:pt idx="20">
                  <c:v>69471</c:v>
                </c:pt>
                <c:pt idx="21">
                  <c:v>16941</c:v>
                </c:pt>
              </c:numCache>
            </c:numRef>
          </c:val>
          <c:extLst>
            <c:ext xmlns:c16="http://schemas.microsoft.com/office/drawing/2014/chart" uri="{C3380CC4-5D6E-409C-BE32-E72D297353CC}">
              <c16:uniqueId val="{00000000-EEDD-4A1F-B4B2-F51FD45FED30}"/>
            </c:ext>
          </c:extLst>
        </c:ser>
        <c:ser>
          <c:idx val="1"/>
          <c:order val="1"/>
          <c:tx>
            <c:strRef>
              <c:f>'Spawn Grounds Sumry by Origin2'!$C$3</c:f>
              <c:strCache>
                <c:ptCount val="1"/>
                <c:pt idx="0">
                  <c:v>Sockeye (HO)</c:v>
                </c:pt>
              </c:strCache>
            </c:strRef>
          </c:tx>
          <c:spPr>
            <a:solidFill>
              <a:schemeClr val="accent2"/>
            </a:solidFill>
            <a:ln>
              <a:noFill/>
            </a:ln>
            <a:effectLst/>
          </c:spPr>
          <c:invertIfNegative val="0"/>
          <c:cat>
            <c:strRef>
              <c:f>'Spawn Grounds Sumry by Origin2'!$A$4:$A$26</c:f>
              <c:strCach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strCache>
            </c:strRef>
          </c:cat>
          <c:val>
            <c:numRef>
              <c:f>'Spawn Grounds Sumry by Origin2'!$C$4:$C$26</c:f>
              <c:numCache>
                <c:formatCode>#,##0</c:formatCode>
                <c:ptCount val="22"/>
                <c:pt idx="0">
                  <c:v>0</c:v>
                </c:pt>
                <c:pt idx="1">
                  <c:v>0</c:v>
                </c:pt>
                <c:pt idx="2">
                  <c:v>0</c:v>
                </c:pt>
                <c:pt idx="3">
                  <c:v>0</c:v>
                </c:pt>
                <c:pt idx="4">
                  <c:v>0</c:v>
                </c:pt>
                <c:pt idx="5">
                  <c:v>0</c:v>
                </c:pt>
                <c:pt idx="6">
                  <c:v>0</c:v>
                </c:pt>
                <c:pt idx="7">
                  <c:v>1619</c:v>
                </c:pt>
                <c:pt idx="8">
                  <c:v>7999</c:v>
                </c:pt>
                <c:pt idx="9">
                  <c:v>9130</c:v>
                </c:pt>
                <c:pt idx="10">
                  <c:v>8500</c:v>
                </c:pt>
                <c:pt idx="11">
                  <c:v>19406.532999999999</c:v>
                </c:pt>
                <c:pt idx="12">
                  <c:v>10961</c:v>
                </c:pt>
                <c:pt idx="13">
                  <c:v>11789</c:v>
                </c:pt>
                <c:pt idx="14">
                  <c:v>24193.669882338694</c:v>
                </c:pt>
                <c:pt idx="15">
                  <c:v>170</c:v>
                </c:pt>
                <c:pt idx="16">
                  <c:v>621</c:v>
                </c:pt>
                <c:pt idx="17">
                  <c:v>86</c:v>
                </c:pt>
                <c:pt idx="18">
                  <c:v>4929</c:v>
                </c:pt>
                <c:pt idx="19">
                  <c:v>4874.9916499999999</c:v>
                </c:pt>
                <c:pt idx="20">
                  <c:v>18344</c:v>
                </c:pt>
                <c:pt idx="21">
                  <c:v>2243</c:v>
                </c:pt>
              </c:numCache>
            </c:numRef>
          </c:val>
          <c:extLst>
            <c:ext xmlns:c16="http://schemas.microsoft.com/office/drawing/2014/chart" uri="{C3380CC4-5D6E-409C-BE32-E72D297353CC}">
              <c16:uniqueId val="{00000001-EEDD-4A1F-B4B2-F51FD45FED30}"/>
            </c:ext>
          </c:extLst>
        </c:ser>
        <c:dLbls>
          <c:showLegendKey val="0"/>
          <c:showVal val="0"/>
          <c:showCatName val="0"/>
          <c:showSerName val="0"/>
          <c:showPercent val="0"/>
          <c:showBubbleSize val="0"/>
        </c:dLbls>
        <c:gapWidth val="75"/>
        <c:overlap val="100"/>
        <c:axId val="250882672"/>
        <c:axId val="1093896384"/>
      </c:barChart>
      <c:catAx>
        <c:axId val="250882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093896384"/>
        <c:crosses val="autoZero"/>
        <c:auto val="1"/>
        <c:lblAlgn val="ctr"/>
        <c:lblOffset val="100"/>
        <c:noMultiLvlLbl val="0"/>
      </c:catAx>
      <c:valAx>
        <c:axId val="109389638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250882672"/>
        <c:crosses val="autoZero"/>
        <c:crossBetween val="between"/>
      </c:valAx>
      <c:spPr>
        <a:noFill/>
        <a:ln>
          <a:noFill/>
        </a:ln>
        <a:effectLst/>
      </c:spPr>
    </c:plotArea>
    <c:legend>
      <c:legendPos val="b"/>
      <c:overlay val="0"/>
      <c:spPr>
        <a:noFill/>
        <a:ln>
          <a:solidFill>
            <a:schemeClr val="bg1">
              <a:lumMod val="65000"/>
            </a:schemeClr>
          </a:solid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Bonneville Dam 2013-2022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'BON Count Adjustments'!$D$1</c:f>
              <c:strCache>
                <c:ptCount val="1"/>
                <c:pt idx="0">
                  <c:v>24hr_total</c:v>
                </c:pt>
              </c:strCache>
            </c:strRef>
          </c:tx>
          <c:spPr>
            <a:ln w="25400" cap="rnd">
              <a:noFill/>
              <a:round/>
            </a:ln>
            <a:effectLst/>
          </c:spPr>
          <c:marker>
            <c:symbol val="circle"/>
            <c:size val="5"/>
            <c:spPr>
              <a:solidFill>
                <a:schemeClr val="accent1"/>
              </a:solidFill>
              <a:ln w="9525">
                <a:solidFill>
                  <a:schemeClr val="accent1"/>
                </a:solidFill>
              </a:ln>
              <a:effectLst/>
            </c:spPr>
          </c:marker>
          <c:dLbls>
            <c:dLbl>
              <c:idx val="0"/>
              <c:tx>
                <c:rich>
                  <a:bodyPr/>
                  <a:lstStyle/>
                  <a:p>
                    <a:fld id="{D43BB6DD-2722-45D9-B46F-19F5361CE1A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0-B25F-46AC-A172-72D6A5C53DBD}"/>
                </c:ext>
              </c:extLst>
            </c:dLbl>
            <c:dLbl>
              <c:idx val="1"/>
              <c:tx>
                <c:rich>
                  <a:bodyPr/>
                  <a:lstStyle/>
                  <a:p>
                    <a:fld id="{2D5E1D19-FC6C-4D83-AC89-7CF96D80A08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B25F-46AC-A172-72D6A5C53DBD}"/>
                </c:ext>
              </c:extLst>
            </c:dLbl>
            <c:dLbl>
              <c:idx val="2"/>
              <c:tx>
                <c:rich>
                  <a:bodyPr/>
                  <a:lstStyle/>
                  <a:p>
                    <a:fld id="{51658165-1B84-4CD9-B0D2-4999E83E8DA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B25F-46AC-A172-72D6A5C53DBD}"/>
                </c:ext>
              </c:extLst>
            </c:dLbl>
            <c:dLbl>
              <c:idx val="3"/>
              <c:tx>
                <c:rich>
                  <a:bodyPr/>
                  <a:lstStyle/>
                  <a:p>
                    <a:fld id="{D416AA81-1F60-432E-A56A-6CBE812A598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B25F-46AC-A172-72D6A5C53DBD}"/>
                </c:ext>
              </c:extLst>
            </c:dLbl>
            <c:dLbl>
              <c:idx val="4"/>
              <c:tx>
                <c:rich>
                  <a:bodyPr/>
                  <a:lstStyle/>
                  <a:p>
                    <a:fld id="{CCFE4EC9-098B-41E5-8F42-737835131935}"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B25F-46AC-A172-72D6A5C53DBD}"/>
                </c:ext>
              </c:extLst>
            </c:dLbl>
            <c:dLbl>
              <c:idx val="5"/>
              <c:tx>
                <c:rich>
                  <a:bodyPr/>
                  <a:lstStyle/>
                  <a:p>
                    <a:fld id="{A0F35455-A200-4358-B667-BBE30CB9A1C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B25F-46AC-A172-72D6A5C53DBD}"/>
                </c:ext>
              </c:extLst>
            </c:dLbl>
            <c:dLbl>
              <c:idx val="6"/>
              <c:tx>
                <c:rich>
                  <a:bodyPr/>
                  <a:lstStyle/>
                  <a:p>
                    <a:fld id="{DB1A9D96-1CDB-481B-9D35-FEFC1995E8B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B25F-46AC-A172-72D6A5C53DBD}"/>
                </c:ext>
              </c:extLst>
            </c:dLbl>
            <c:dLbl>
              <c:idx val="7"/>
              <c:tx>
                <c:rich>
                  <a:bodyPr/>
                  <a:lstStyle/>
                  <a:p>
                    <a:fld id="{66FE5D69-4CD2-4855-AD31-07829C44DD8A}"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B25F-46AC-A172-72D6A5C53DBD}"/>
                </c:ext>
              </c:extLst>
            </c:dLbl>
            <c:dLbl>
              <c:idx val="8"/>
              <c:tx>
                <c:rich>
                  <a:bodyPr/>
                  <a:lstStyle/>
                  <a:p>
                    <a:fld id="{E51EDBEC-964E-4F80-8E3E-2EC4B65A41C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B25F-46AC-A172-72D6A5C53DBD}"/>
                </c:ext>
              </c:extLst>
            </c:dLbl>
            <c:dLbl>
              <c:idx val="9"/>
              <c:tx>
                <c:rich>
                  <a:bodyPr/>
                  <a:lstStyle/>
                  <a:p>
                    <a:fld id="{5FD2BC03-2416-453A-A557-61FD407D36C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B25F-46AC-A172-72D6A5C53DB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1"/>
            <c:dispEq val="1"/>
            <c:trendlineLbl>
              <c:layout>
                <c:manualLayout>
                  <c:x val="-4.3469646939293879E-2"/>
                  <c:y val="0.31831450474661327"/>
                </c:manualLayout>
              </c:layout>
              <c:numFmt formatCode="General" sourceLinked="0"/>
              <c:spPr>
                <a:solidFill>
                  <a:sysClr val="window" lastClr="FFFFFF"/>
                </a:solid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rendlineLbl>
          </c:trendline>
          <c:xVal>
            <c:numRef>
              <c:f>'BON Count Adjustments'!$G$2:$G$11</c:f>
              <c:numCache>
                <c:formatCode>_-* #,##0_-;\-* #,##0_-;_-* "-"??_-;_-@_-</c:formatCode>
                <c:ptCount val="10"/>
                <c:pt idx="0">
                  <c:v>185438</c:v>
                </c:pt>
                <c:pt idx="1">
                  <c:v>614113</c:v>
                </c:pt>
                <c:pt idx="2">
                  <c:v>510662</c:v>
                </c:pt>
                <c:pt idx="3">
                  <c:v>342459</c:v>
                </c:pt>
                <c:pt idx="4">
                  <c:v>87606</c:v>
                </c:pt>
                <c:pt idx="5">
                  <c:v>193755</c:v>
                </c:pt>
                <c:pt idx="6">
                  <c:v>63046</c:v>
                </c:pt>
                <c:pt idx="7">
                  <c:v>341739</c:v>
                </c:pt>
                <c:pt idx="8">
                  <c:v>151765</c:v>
                </c:pt>
                <c:pt idx="9">
                  <c:v>663253</c:v>
                </c:pt>
              </c:numCache>
            </c:numRef>
          </c:xVal>
          <c:yVal>
            <c:numRef>
              <c:f>'BON Count Adjustments'!$D$2:$D$11</c:f>
              <c:numCache>
                <c:formatCode>_-* #,##0_-;\-* #,##0_-;_-* "-"??_-;_-@_-</c:formatCode>
                <c:ptCount val="10"/>
                <c:pt idx="0">
                  <c:v>197737</c:v>
                </c:pt>
                <c:pt idx="1">
                  <c:v>655983</c:v>
                </c:pt>
                <c:pt idx="2">
                  <c:v>545156</c:v>
                </c:pt>
                <c:pt idx="3">
                  <c:v>357826</c:v>
                </c:pt>
                <c:pt idx="4">
                  <c:v>89955</c:v>
                </c:pt>
                <c:pt idx="5">
                  <c:v>198150</c:v>
                </c:pt>
                <c:pt idx="6">
                  <c:v>66279</c:v>
                </c:pt>
                <c:pt idx="7">
                  <c:v>357555</c:v>
                </c:pt>
                <c:pt idx="8">
                  <c:v>161564</c:v>
                </c:pt>
                <c:pt idx="9">
                  <c:v>696983</c:v>
                </c:pt>
              </c:numCache>
            </c:numRef>
          </c:yVal>
          <c:smooth val="0"/>
          <c:extLst>
            <c:ext xmlns:c15="http://schemas.microsoft.com/office/drawing/2012/chart" uri="{02D57815-91ED-43cb-92C2-25804820EDAC}">
              <c15:datalabelsRange>
                <c15:f>'BON Count Adjustments'!$A$2:$A$11</c15:f>
                <c15:dlblRangeCache>
                  <c:ptCount val="10"/>
                  <c:pt idx="0">
                    <c:v>2013</c:v>
                  </c:pt>
                  <c:pt idx="1">
                    <c:v>2014</c:v>
                  </c:pt>
                  <c:pt idx="2">
                    <c:v>2015</c:v>
                  </c:pt>
                  <c:pt idx="3">
                    <c:v>2016</c:v>
                  </c:pt>
                  <c:pt idx="4">
                    <c:v>2017</c:v>
                  </c:pt>
                  <c:pt idx="5">
                    <c:v>2018</c:v>
                  </c:pt>
                  <c:pt idx="6">
                    <c:v>2019</c:v>
                  </c:pt>
                  <c:pt idx="7">
                    <c:v>2020</c:v>
                  </c:pt>
                  <c:pt idx="8">
                    <c:v>2021</c:v>
                  </c:pt>
                  <c:pt idx="9">
                    <c:v>2022</c:v>
                  </c:pt>
                </c15:dlblRangeCache>
              </c15:datalabelsRange>
            </c:ext>
            <c:ext xmlns:c16="http://schemas.microsoft.com/office/drawing/2014/chart" uri="{C3380CC4-5D6E-409C-BE32-E72D297353CC}">
              <c16:uniqueId val="{0000000D-B25F-46AC-A172-72D6A5C53DBD}"/>
            </c:ext>
          </c:extLst>
        </c:ser>
        <c:dLbls>
          <c:showLegendKey val="0"/>
          <c:showVal val="0"/>
          <c:showCatName val="0"/>
          <c:showSerName val="0"/>
          <c:showPercent val="0"/>
          <c:showBubbleSize val="0"/>
        </c:dLbls>
        <c:axId val="2068985711"/>
        <c:axId val="2068989455"/>
      </c:scatterChart>
      <c:valAx>
        <c:axId val="206898571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a:t>16-hr Counts</a:t>
                </a:r>
              </a:p>
            </c:rich>
          </c:tx>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8989455"/>
        <c:crosses val="autoZero"/>
        <c:crossBetween val="midCat"/>
        <c:dispUnits>
          <c:builtInUnit val="thousand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valAx>
        <c:axId val="206898945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a:t>24-hr Counts</a:t>
                </a:r>
              </a:p>
              <a:p>
                <a:pPr>
                  <a:defRPr sz="1200"/>
                </a:pPr>
                <a:endParaRPr lang="en-US" sz="1200"/>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8985711"/>
        <c:crosses val="autoZero"/>
        <c:crossBetween val="midCat"/>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baseline="0">
                <a:effectLst/>
              </a:rPr>
              <a:t>Bonneville Dam 1994-2000, 2002</a:t>
            </a:r>
            <a:endParaRPr lang="en-US" sz="14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1"/>
          <c:order val="0"/>
          <c:tx>
            <c:strRef>
              <c:f>'BON Count Adjustments'!$C$14</c:f>
              <c:strCache>
                <c:ptCount val="1"/>
                <c:pt idx="0">
                  <c:v>16-hr_Counts</c:v>
                </c:pt>
              </c:strCache>
            </c:strRef>
          </c:tx>
          <c:spPr>
            <a:ln w="19050" cap="rnd">
              <a:noFill/>
              <a:round/>
            </a:ln>
            <a:effectLst/>
          </c:spPr>
          <c:marker>
            <c:symbol val="circle"/>
            <c:size val="5"/>
            <c:spPr>
              <a:solidFill>
                <a:schemeClr val="accent2"/>
              </a:solidFill>
              <a:ln w="9525">
                <a:solidFill>
                  <a:schemeClr val="accent2"/>
                </a:solidFill>
              </a:ln>
              <a:effectLst/>
            </c:spPr>
          </c:marker>
          <c:dLbls>
            <c:dLbl>
              <c:idx val="0"/>
              <c:tx>
                <c:rich>
                  <a:bodyPr/>
                  <a:lstStyle/>
                  <a:p>
                    <a:fld id="{7238025C-5AB1-46DF-9623-77361C5A37DF}"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10BC-42D5-87CE-804533087039}"/>
                </c:ext>
              </c:extLst>
            </c:dLbl>
            <c:dLbl>
              <c:idx val="1"/>
              <c:tx>
                <c:rich>
                  <a:bodyPr/>
                  <a:lstStyle/>
                  <a:p>
                    <a:fld id="{DA205276-27E6-4F7C-99B5-513BF0A6656E}"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10BC-42D5-87CE-804533087039}"/>
                </c:ext>
              </c:extLst>
            </c:dLbl>
            <c:dLbl>
              <c:idx val="2"/>
              <c:tx>
                <c:rich>
                  <a:bodyPr/>
                  <a:lstStyle/>
                  <a:p>
                    <a:fld id="{49677FE1-461C-488B-A5E7-6E224241413A}"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10BC-42D5-87CE-804533087039}"/>
                </c:ext>
              </c:extLst>
            </c:dLbl>
            <c:dLbl>
              <c:idx val="3"/>
              <c:tx>
                <c:rich>
                  <a:bodyPr/>
                  <a:lstStyle/>
                  <a:p>
                    <a:fld id="{49E74529-C98E-4A5F-AED8-4E1A86F54D68}"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10BC-42D5-87CE-804533087039}"/>
                </c:ext>
              </c:extLst>
            </c:dLbl>
            <c:dLbl>
              <c:idx val="4"/>
              <c:tx>
                <c:rich>
                  <a:bodyPr/>
                  <a:lstStyle/>
                  <a:p>
                    <a:fld id="{8B556711-34F3-46BD-98F1-F6D8D4DE447D}"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10BC-42D5-87CE-804533087039}"/>
                </c:ext>
              </c:extLst>
            </c:dLbl>
            <c:dLbl>
              <c:idx val="5"/>
              <c:tx>
                <c:rich>
                  <a:bodyPr/>
                  <a:lstStyle/>
                  <a:p>
                    <a:fld id="{ABA4EFFC-D347-4948-9FAC-CB7C0B152DEC}"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10BC-42D5-87CE-804533087039}"/>
                </c:ext>
              </c:extLst>
            </c:dLbl>
            <c:dLbl>
              <c:idx val="6"/>
              <c:tx>
                <c:rich>
                  <a:bodyPr/>
                  <a:lstStyle/>
                  <a:p>
                    <a:fld id="{308CE3F9-4282-4DDF-B64F-3EDD957EBD7F}"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10BC-42D5-87CE-804533087039}"/>
                </c:ext>
              </c:extLst>
            </c:dLbl>
            <c:dLbl>
              <c:idx val="7"/>
              <c:tx>
                <c:rich>
                  <a:bodyPr/>
                  <a:lstStyle/>
                  <a:p>
                    <a:fld id="{51190733-46D8-4049-B148-22E3EF78EAAC}"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10BC-42D5-87CE-8045330870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2"/>
                </a:solidFill>
                <a:prstDash val="sysDot"/>
              </a:ln>
              <a:effectLst/>
            </c:spPr>
            <c:trendlineType val="linear"/>
            <c:dispRSqr val="1"/>
            <c:dispEq val="1"/>
            <c:trendlineLbl>
              <c:layout>
                <c:manualLayout>
                  <c:x val="-2.1542291084582169E-2"/>
                  <c:y val="0.3174484237857364"/>
                </c:manualLayout>
              </c:layout>
              <c:numFmt formatCode="General" sourceLinked="0"/>
              <c:spPr>
                <a:solidFill>
                  <a:sysClr val="window" lastClr="FFFFFF"/>
                </a:solid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rendlineLbl>
          </c:trendline>
          <c:xVal>
            <c:numRef>
              <c:f>'BON Count Adjustments'!$C$15:$C$22</c:f>
              <c:numCache>
                <c:formatCode>_-* #,##0_-;\-* #,##0_-;_-* "-"??_-;_-@_-</c:formatCode>
                <c:ptCount val="8"/>
                <c:pt idx="0">
                  <c:v>12666</c:v>
                </c:pt>
                <c:pt idx="1">
                  <c:v>8717</c:v>
                </c:pt>
                <c:pt idx="2">
                  <c:v>30208</c:v>
                </c:pt>
                <c:pt idx="3">
                  <c:v>46617</c:v>
                </c:pt>
                <c:pt idx="4">
                  <c:v>13127</c:v>
                </c:pt>
                <c:pt idx="5">
                  <c:v>17817</c:v>
                </c:pt>
                <c:pt idx="6">
                  <c:v>93192</c:v>
                </c:pt>
                <c:pt idx="7">
                  <c:v>49519</c:v>
                </c:pt>
              </c:numCache>
            </c:numRef>
          </c:xVal>
          <c:yVal>
            <c:numRef>
              <c:f>'BON Count Adjustments'!$D$15:$D$22</c:f>
              <c:numCache>
                <c:formatCode>_-* #,##0_-;\-* #,##0_-;_-* "-"??_-;_-@_-</c:formatCode>
                <c:ptCount val="8"/>
                <c:pt idx="0">
                  <c:v>13141</c:v>
                </c:pt>
                <c:pt idx="1">
                  <c:v>9075</c:v>
                </c:pt>
                <c:pt idx="2">
                  <c:v>31149</c:v>
                </c:pt>
                <c:pt idx="3">
                  <c:v>47951</c:v>
                </c:pt>
                <c:pt idx="4">
                  <c:v>13517</c:v>
                </c:pt>
                <c:pt idx="5">
                  <c:v>18242</c:v>
                </c:pt>
                <c:pt idx="6">
                  <c:v>97326</c:v>
                </c:pt>
                <c:pt idx="7">
                  <c:v>51109</c:v>
                </c:pt>
              </c:numCache>
            </c:numRef>
          </c:yVal>
          <c:smooth val="0"/>
          <c:extLst>
            <c:ext xmlns:c15="http://schemas.microsoft.com/office/drawing/2012/chart" uri="{02D57815-91ED-43cb-92C2-25804820EDAC}">
              <c15:datalabelsRange>
                <c15:f>'BON Count Adjustments'!$A$15:$A$22</c15:f>
                <c15:dlblRangeCache>
                  <c:ptCount val="8"/>
                  <c:pt idx="0">
                    <c:v>1994</c:v>
                  </c:pt>
                  <c:pt idx="1">
                    <c:v>1995</c:v>
                  </c:pt>
                  <c:pt idx="2">
                    <c:v>1996</c:v>
                  </c:pt>
                  <c:pt idx="3">
                    <c:v>1997</c:v>
                  </c:pt>
                  <c:pt idx="4">
                    <c:v>1998</c:v>
                  </c:pt>
                  <c:pt idx="5">
                    <c:v>1999</c:v>
                  </c:pt>
                  <c:pt idx="6">
                    <c:v>2000</c:v>
                  </c:pt>
                  <c:pt idx="7">
                    <c:v>2002</c:v>
                  </c:pt>
                </c15:dlblRangeCache>
              </c15:datalabelsRange>
            </c:ext>
            <c:ext xmlns:c16="http://schemas.microsoft.com/office/drawing/2014/chart" uri="{C3380CC4-5D6E-409C-BE32-E72D297353CC}">
              <c16:uniqueId val="{00000009-10BC-42D5-87CE-804533087039}"/>
            </c:ext>
          </c:extLst>
        </c:ser>
        <c:dLbls>
          <c:showLegendKey val="0"/>
          <c:showVal val="0"/>
          <c:showCatName val="0"/>
          <c:showSerName val="0"/>
          <c:showPercent val="0"/>
          <c:showBubbleSize val="0"/>
        </c:dLbls>
        <c:axId val="1477718591"/>
        <c:axId val="1477720255"/>
      </c:scatterChart>
      <c:valAx>
        <c:axId val="147771859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a:t>16-hr Counts</a:t>
                </a:r>
              </a:p>
            </c:rich>
          </c:tx>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7720255"/>
        <c:crosses val="autoZero"/>
        <c:crossBetween val="midCat"/>
        <c:dispUnits>
          <c:builtInUnit val="thousand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valAx>
        <c:axId val="147772025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a:t>24-hr Counts</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7718591"/>
        <c:crosses val="autoZero"/>
        <c:crossBetween val="midCat"/>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1"/>
          <c:order val="0"/>
          <c:tx>
            <c:strRef>
              <c:f>'BON Count Adjustments'!$F$82</c:f>
              <c:strCache>
                <c:ptCount val="1"/>
                <c:pt idx="0">
                  <c:v>diff</c:v>
                </c:pt>
              </c:strCache>
            </c:strRef>
          </c:tx>
          <c:spPr>
            <a:ln w="19050" cap="rnd">
              <a:no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linear"/>
            <c:dispRSqr val="0"/>
            <c:dispEq val="0"/>
          </c:trendline>
          <c:xVal>
            <c:numRef>
              <c:f>'BON Count Adjustments'!$D$83:$D$100</c:f>
              <c:numCache>
                <c:formatCode>_(* #,##0_);_(* \(#,##0\);_(* "-"??_);_(@_)</c:formatCode>
                <c:ptCount val="18"/>
                <c:pt idx="0">
                  <c:v>12666</c:v>
                </c:pt>
                <c:pt idx="1">
                  <c:v>8717</c:v>
                </c:pt>
                <c:pt idx="2">
                  <c:v>30208</c:v>
                </c:pt>
                <c:pt idx="3">
                  <c:v>46617</c:v>
                </c:pt>
                <c:pt idx="4">
                  <c:v>13127</c:v>
                </c:pt>
                <c:pt idx="5">
                  <c:v>17817</c:v>
                </c:pt>
                <c:pt idx="6">
                  <c:v>93192</c:v>
                </c:pt>
                <c:pt idx="7">
                  <c:v>49519</c:v>
                </c:pt>
                <c:pt idx="8">
                  <c:v>185438</c:v>
                </c:pt>
                <c:pt idx="9">
                  <c:v>614113</c:v>
                </c:pt>
                <c:pt idx="10">
                  <c:v>510662</c:v>
                </c:pt>
                <c:pt idx="11">
                  <c:v>342459</c:v>
                </c:pt>
                <c:pt idx="12">
                  <c:v>87606</c:v>
                </c:pt>
                <c:pt idx="13">
                  <c:v>193755</c:v>
                </c:pt>
                <c:pt idx="14">
                  <c:v>63046</c:v>
                </c:pt>
                <c:pt idx="15">
                  <c:v>341739</c:v>
                </c:pt>
                <c:pt idx="16">
                  <c:v>151765</c:v>
                </c:pt>
                <c:pt idx="17">
                  <c:v>663253</c:v>
                </c:pt>
              </c:numCache>
            </c:numRef>
          </c:xVal>
          <c:yVal>
            <c:numRef>
              <c:f>'BON Count Adjustments'!$F$83:$F$100</c:f>
              <c:numCache>
                <c:formatCode>_(* #,##0_);_(* \(#,##0\);_(* "-"??_);_(@_)</c:formatCode>
                <c:ptCount val="18"/>
                <c:pt idx="0">
                  <c:v>475</c:v>
                </c:pt>
                <c:pt idx="1">
                  <c:v>358</c:v>
                </c:pt>
                <c:pt idx="2">
                  <c:v>941</c:v>
                </c:pt>
                <c:pt idx="3">
                  <c:v>1334</c:v>
                </c:pt>
                <c:pt idx="4">
                  <c:v>390</c:v>
                </c:pt>
                <c:pt idx="5">
                  <c:v>425</c:v>
                </c:pt>
                <c:pt idx="6">
                  <c:v>4134</c:v>
                </c:pt>
                <c:pt idx="7">
                  <c:v>1590</c:v>
                </c:pt>
                <c:pt idx="8">
                  <c:v>12299</c:v>
                </c:pt>
                <c:pt idx="9">
                  <c:v>41870</c:v>
                </c:pt>
                <c:pt idx="10">
                  <c:v>34494</c:v>
                </c:pt>
                <c:pt idx="11">
                  <c:v>15367</c:v>
                </c:pt>
                <c:pt idx="12">
                  <c:v>2349</c:v>
                </c:pt>
                <c:pt idx="13">
                  <c:v>4395</c:v>
                </c:pt>
                <c:pt idx="14">
                  <c:v>3233</c:v>
                </c:pt>
                <c:pt idx="15">
                  <c:v>15816</c:v>
                </c:pt>
                <c:pt idx="16">
                  <c:v>9799</c:v>
                </c:pt>
                <c:pt idx="17">
                  <c:v>33730</c:v>
                </c:pt>
              </c:numCache>
            </c:numRef>
          </c:yVal>
          <c:smooth val="0"/>
          <c:extLst>
            <c:ext xmlns:c16="http://schemas.microsoft.com/office/drawing/2014/chart" uri="{C3380CC4-5D6E-409C-BE32-E72D297353CC}">
              <c16:uniqueId val="{00000001-5351-45FB-BB67-FC2FB3814FB3}"/>
            </c:ext>
          </c:extLst>
        </c:ser>
        <c:dLbls>
          <c:showLegendKey val="0"/>
          <c:showVal val="0"/>
          <c:showCatName val="0"/>
          <c:showSerName val="0"/>
          <c:showPercent val="0"/>
          <c:showBubbleSize val="0"/>
        </c:dLbls>
        <c:axId val="103962768"/>
        <c:axId val="1365050800"/>
      </c:scatterChart>
      <c:valAx>
        <c:axId val="103962768"/>
        <c:scaling>
          <c:logBase val="10"/>
          <c:orientation val="minMax"/>
          <c:min val="9000"/>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5050800"/>
        <c:crosses val="autoZero"/>
        <c:crossBetween val="midCat"/>
      </c:valAx>
      <c:valAx>
        <c:axId val="1365050800"/>
        <c:scaling>
          <c:logBase val="10"/>
          <c:orientation val="minMax"/>
          <c:min val="10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962768"/>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none" spc="20" baseline="0">
                <a:solidFill>
                  <a:schemeClr val="dk1">
                    <a:lumMod val="50000"/>
                    <a:lumOff val="50000"/>
                  </a:schemeClr>
                </a:solidFill>
                <a:latin typeface="+mn-lt"/>
                <a:ea typeface="+mn-ea"/>
                <a:cs typeface="+mn-cs"/>
              </a:defRPr>
            </a:pPr>
            <a:r>
              <a:rPr lang="en-US"/>
              <a:t>Pre-Smolt-to-Adult Survival (%) by Smolt Year</a:t>
            </a:r>
          </a:p>
        </c:rich>
      </c:tx>
      <c:overlay val="0"/>
      <c:spPr>
        <a:noFill/>
        <a:ln>
          <a:noFill/>
        </a:ln>
        <a:effectLst/>
      </c:spPr>
      <c:txPr>
        <a:bodyPr rot="0" spcFirstLastPara="1" vertOverflow="ellipsis" vert="horz" wrap="square" anchor="ctr" anchorCtr="1"/>
        <a:lstStyle/>
        <a:p>
          <a:pPr>
            <a:defRPr sz="1600" b="1" i="0" u="none" strike="noStrike" kern="1200" cap="none" spc="20" baseline="0">
              <a:solidFill>
                <a:schemeClr val="dk1">
                  <a:lumMod val="50000"/>
                  <a:lumOff val="50000"/>
                </a:schemeClr>
              </a:solidFill>
              <a:latin typeface="+mn-lt"/>
              <a:ea typeface="+mn-ea"/>
              <a:cs typeface="+mn-cs"/>
            </a:defRPr>
          </a:pPr>
          <a:endParaRPr lang="en-US"/>
        </a:p>
      </c:txPr>
    </c:title>
    <c:autoTitleDeleted val="0"/>
    <c:plotArea>
      <c:layout/>
      <c:lineChart>
        <c:grouping val="standard"/>
        <c:varyColors val="0"/>
        <c:ser>
          <c:idx val="0"/>
          <c:order val="0"/>
          <c:tx>
            <c:strRef>
              <c:f>'Smolt to Adult Survival'!$E$2:$E$3</c:f>
              <c:strCache>
                <c:ptCount val="2"/>
                <c:pt idx="0">
                  <c:v>SAR</c:v>
                </c:pt>
              </c:strCache>
            </c:strRef>
          </c:tx>
          <c:spPr>
            <a:ln w="22225" cap="rnd" cmpd="sng" algn="ctr">
              <a:solidFill>
                <a:schemeClr val="accent1"/>
              </a:solidFill>
              <a:round/>
            </a:ln>
            <a:effectLst/>
          </c:spPr>
          <c:marker>
            <c:symbol val="none"/>
          </c:marker>
          <c:cat>
            <c:numRef>
              <c:f>'Smolt to Adult Survival'!$B$9:$B$44</c:f>
              <c:numCache>
                <c:formatCode>General</c:formatCode>
                <c:ptCount val="36"/>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pt idx="33">
                  <c:v>2018</c:v>
                </c:pt>
                <c:pt idx="34">
                  <c:v>2019</c:v>
                </c:pt>
                <c:pt idx="35">
                  <c:v>2020</c:v>
                </c:pt>
              </c:numCache>
            </c:numRef>
          </c:cat>
          <c:val>
            <c:numRef>
              <c:f>'Smolt to Adult Survival'!$E$9:$E$44</c:f>
              <c:numCache>
                <c:formatCode>0.0%</c:formatCode>
                <c:ptCount val="36"/>
                <c:pt idx="0">
                  <c:v>0</c:v>
                </c:pt>
                <c:pt idx="1">
                  <c:v>0</c:v>
                </c:pt>
                <c:pt idx="2">
                  <c:v>0</c:v>
                </c:pt>
                <c:pt idx="3">
                  <c:v>0</c:v>
                </c:pt>
                <c:pt idx="4">
                  <c:v>0</c:v>
                </c:pt>
                <c:pt idx="5">
                  <c:v>0</c:v>
                </c:pt>
                <c:pt idx="6">
                  <c:v>0</c:v>
                </c:pt>
                <c:pt idx="7">
                  <c:v>0</c:v>
                </c:pt>
                <c:pt idx="8">
                  <c:v>0</c:v>
                </c:pt>
                <c:pt idx="9">
                  <c:v>0</c:v>
                </c:pt>
                <c:pt idx="10">
                  <c:v>0</c:v>
                </c:pt>
                <c:pt idx="11">
                  <c:v>0</c:v>
                </c:pt>
                <c:pt idx="12">
                  <c:v>0</c:v>
                </c:pt>
                <c:pt idx="13">
                  <c:v>5.5547192976618184E-2</c:v>
                </c:pt>
                <c:pt idx="14">
                  <c:v>2.9999370809164944E-2</c:v>
                </c:pt>
                <c:pt idx="15">
                  <c:v>6.10211704452676E-2</c:v>
                </c:pt>
                <c:pt idx="16">
                  <c:v>2.1560461641168229E-2</c:v>
                </c:pt>
                <c:pt idx="17">
                  <c:v>3.1126797580781101E-2</c:v>
                </c:pt>
                <c:pt idx="18">
                  <c:v>3.0146049630900222E-2</c:v>
                </c:pt>
                <c:pt idx="19">
                  <c:v>4.3960006675285143E-2</c:v>
                </c:pt>
                <c:pt idx="20">
                  <c:v>1.6826264095705794E-2</c:v>
                </c:pt>
                <c:pt idx="21">
                  <c:v>0.10326532298394375</c:v>
                </c:pt>
                <c:pt idx="22">
                  <c:v>7.6446574308200413E-2</c:v>
                </c:pt>
                <c:pt idx="23">
                  <c:v>0.14666776570815485</c:v>
                </c:pt>
                <c:pt idx="24">
                  <c:v>7.2256767120507118E-2</c:v>
                </c:pt>
                <c:pt idx="25">
                  <c:v>5.445649710450251E-2</c:v>
                </c:pt>
                <c:pt idx="26">
                  <c:v>0.11286966195222624</c:v>
                </c:pt>
                <c:pt idx="27">
                  <c:v>8.57689420540345E-2</c:v>
                </c:pt>
                <c:pt idx="28">
                  <c:v>7.7695425987646435E-2</c:v>
                </c:pt>
                <c:pt idx="29">
                  <c:v>3.2593985138640855E-2</c:v>
                </c:pt>
                <c:pt idx="30">
                  <c:v>6.7769373373122877E-3</c:v>
                </c:pt>
                <c:pt idx="31">
                  <c:v>1.1874747631106923E-2</c:v>
                </c:pt>
                <c:pt idx="32">
                  <c:v>9.6919993127911712E-3</c:v>
                </c:pt>
                <c:pt idx="33">
                  <c:v>4.0838887433818756E-2</c:v>
                </c:pt>
                <c:pt idx="34">
                  <c:v>5.9341498348256479E-2</c:v>
                </c:pt>
                <c:pt idx="35">
                  <c:v>0.14185026259887781</c:v>
                </c:pt>
              </c:numCache>
            </c:numRef>
          </c:val>
          <c:smooth val="0"/>
          <c:extLst>
            <c:ext xmlns:c16="http://schemas.microsoft.com/office/drawing/2014/chart" uri="{C3380CC4-5D6E-409C-BE32-E72D297353CC}">
              <c16:uniqueId val="{00000000-EF86-4F7B-B091-A648E9570BE8}"/>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smooth val="0"/>
        <c:axId val="197416447"/>
        <c:axId val="197412703"/>
      </c:lineChart>
      <c:catAx>
        <c:axId val="197416447"/>
        <c:scaling>
          <c:orientation val="minMax"/>
        </c:scaling>
        <c:delete val="0"/>
        <c:axPos val="b"/>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200" b="1" i="0" u="none" strike="noStrike" kern="1200" spc="20" baseline="0">
                <a:solidFill>
                  <a:schemeClr val="dk1">
                    <a:lumMod val="65000"/>
                    <a:lumOff val="35000"/>
                  </a:schemeClr>
                </a:solidFill>
                <a:latin typeface="+mn-lt"/>
                <a:ea typeface="+mn-ea"/>
                <a:cs typeface="+mn-cs"/>
              </a:defRPr>
            </a:pPr>
            <a:endParaRPr lang="en-US"/>
          </a:p>
        </c:txPr>
        <c:crossAx val="197412703"/>
        <c:crosses val="autoZero"/>
        <c:auto val="1"/>
        <c:lblAlgn val="ctr"/>
        <c:lblOffset val="100"/>
        <c:tickLblSkip val="5"/>
        <c:tickMarkSkip val="5"/>
        <c:noMultiLvlLbl val="0"/>
      </c:catAx>
      <c:valAx>
        <c:axId val="197412703"/>
        <c:scaling>
          <c:orientation val="minMax"/>
        </c:scaling>
        <c:delete val="0"/>
        <c:axPos val="l"/>
        <c:majorGridlines>
          <c:spPr>
            <a:ln>
              <a:solidFill>
                <a:schemeClr val="dk1">
                  <a:lumMod val="15000"/>
                  <a:lumOff val="85000"/>
                </a:schemeClr>
              </a:solidFill>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spc="20" baseline="0">
                <a:solidFill>
                  <a:schemeClr val="dk1">
                    <a:lumMod val="65000"/>
                    <a:lumOff val="35000"/>
                  </a:schemeClr>
                </a:solidFill>
                <a:latin typeface="+mn-lt"/>
                <a:ea typeface="+mn-ea"/>
                <a:cs typeface="+mn-cs"/>
              </a:defRPr>
            </a:pPr>
            <a:endParaRPr lang="en-US"/>
          </a:p>
        </c:txPr>
        <c:crossAx val="197416447"/>
        <c:crosses val="autoZero"/>
        <c:crossBetween val="midCat"/>
      </c:valAx>
      <c:spPr>
        <a:gradFill>
          <a:gsLst>
            <a:gs pos="100000">
              <a:schemeClr val="lt1">
                <a:lumMod val="95000"/>
              </a:schemeClr>
            </a:gs>
            <a:gs pos="0">
              <a:schemeClr val="lt1"/>
            </a:gs>
          </a:gsLst>
          <a:lin ang="5400000" scaled="0"/>
        </a:gradFill>
        <a:ln>
          <a:noFill/>
        </a:ln>
        <a:effectLst/>
      </c:spPr>
    </c:plotArea>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%Skaha as a function of Total Okanagan Sockeye Returns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'Hatchery-Origin Returns (old)'!$M$16</c:f>
              <c:strCache>
                <c:ptCount val="1"/>
                <c:pt idx="0">
                  <c:v>H-O</c:v>
                </c:pt>
              </c:strCache>
            </c:strRef>
          </c:tx>
          <c:spPr>
            <a:ln w="25400" cap="rnd">
              <a:noFill/>
              <a:round/>
            </a:ln>
            <a:effectLst/>
          </c:spPr>
          <c:marker>
            <c:symbol val="circle"/>
            <c:size val="5"/>
            <c:spPr>
              <a:solidFill>
                <a:schemeClr val="accent1"/>
              </a:solidFill>
              <a:ln w="9525">
                <a:solidFill>
                  <a:schemeClr val="accent1"/>
                </a:solidFill>
              </a:ln>
              <a:effectLst/>
            </c:spPr>
          </c:marker>
          <c:dLbls>
            <c:dLbl>
              <c:idx val="0"/>
              <c:tx>
                <c:rich>
                  <a:bodyPr/>
                  <a:lstStyle/>
                  <a:p>
                    <a:fld id="{12EAFC08-0756-4C92-A0FF-AD66B36D5089}"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B5FD-4C14-808A-D3AD23DC8604}"/>
                </c:ext>
              </c:extLst>
            </c:dLbl>
            <c:dLbl>
              <c:idx val="1"/>
              <c:tx>
                <c:rich>
                  <a:bodyPr/>
                  <a:lstStyle/>
                  <a:p>
                    <a:fld id="{42C11525-546E-4306-B872-32EBA0353B53}"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B5FD-4C14-808A-D3AD23DC8604}"/>
                </c:ext>
              </c:extLst>
            </c:dLbl>
            <c:dLbl>
              <c:idx val="2"/>
              <c:tx>
                <c:rich>
                  <a:bodyPr/>
                  <a:lstStyle/>
                  <a:p>
                    <a:fld id="{4A35E31E-73C3-4AB9-9956-7093DE857632}"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B5FD-4C14-808A-D3AD23DC8604}"/>
                </c:ext>
              </c:extLst>
            </c:dLbl>
            <c:dLbl>
              <c:idx val="3"/>
              <c:tx>
                <c:rich>
                  <a:bodyPr/>
                  <a:lstStyle/>
                  <a:p>
                    <a:fld id="{E25B81BA-CF0A-4D42-B10B-96D752CF5241}"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B5FD-4C14-808A-D3AD23DC8604}"/>
                </c:ext>
              </c:extLst>
            </c:dLbl>
            <c:dLbl>
              <c:idx val="4"/>
              <c:tx>
                <c:rich>
                  <a:bodyPr/>
                  <a:lstStyle/>
                  <a:p>
                    <a:fld id="{F501C996-B856-417E-8720-50AB742DB15D}"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B5FD-4C14-808A-D3AD23DC8604}"/>
                </c:ext>
              </c:extLst>
            </c:dLbl>
            <c:dLbl>
              <c:idx val="5"/>
              <c:tx>
                <c:rich>
                  <a:bodyPr/>
                  <a:lstStyle/>
                  <a:p>
                    <a:fld id="{675E6689-636A-40E1-BF2B-63448E1149FF}"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B5FD-4C14-808A-D3AD23DC8604}"/>
                </c:ext>
              </c:extLst>
            </c:dLbl>
            <c:dLbl>
              <c:idx val="6"/>
              <c:tx>
                <c:rich>
                  <a:bodyPr/>
                  <a:lstStyle/>
                  <a:p>
                    <a:fld id="{DAA9B801-194C-4D8B-8AA1-4E0209733235}"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B5FD-4C14-808A-D3AD23DC8604}"/>
                </c:ext>
              </c:extLst>
            </c:dLbl>
            <c:dLbl>
              <c:idx val="7"/>
              <c:tx>
                <c:rich>
                  <a:bodyPr/>
                  <a:lstStyle/>
                  <a:p>
                    <a:fld id="{C89D5339-0E88-4D46-88AD-AD2C9A3D1903}"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B5FD-4C14-808A-D3AD23DC8604}"/>
                </c:ext>
              </c:extLst>
            </c:dLbl>
            <c:dLbl>
              <c:idx val="8"/>
              <c:tx>
                <c:rich>
                  <a:bodyPr/>
                  <a:lstStyle/>
                  <a:p>
                    <a:fld id="{5B605A40-9427-4FAB-8058-54B9633B0DE2}"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B5FD-4C14-808A-D3AD23DC8604}"/>
                </c:ext>
              </c:extLst>
            </c:dLbl>
            <c:dLbl>
              <c:idx val="9"/>
              <c:tx>
                <c:rich>
                  <a:bodyPr/>
                  <a:lstStyle/>
                  <a:p>
                    <a:fld id="{019805A1-A857-4EAB-B03B-398D9F205FC3}"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B5FD-4C14-808A-D3AD23DC8604}"/>
                </c:ext>
              </c:extLst>
            </c:dLbl>
            <c:dLbl>
              <c:idx val="10"/>
              <c:tx>
                <c:rich>
                  <a:bodyPr/>
                  <a:lstStyle/>
                  <a:p>
                    <a:fld id="{0AEB282C-0E81-48C9-9412-FEF0924D9C2D}"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E-B5FD-4C14-808A-D3AD23DC8604}"/>
                </c:ext>
              </c:extLst>
            </c:dLbl>
            <c:dLbl>
              <c:idx val="11"/>
              <c:tx>
                <c:rich>
                  <a:bodyPr/>
                  <a:lstStyle/>
                  <a:p>
                    <a:fld id="{AFB90DEE-6FC9-40FE-8EB7-D31B3D46AA66}"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F-B5FD-4C14-808A-D3AD23DC8604}"/>
                </c:ext>
              </c:extLst>
            </c:dLbl>
            <c:dLbl>
              <c:idx val="12"/>
              <c:tx>
                <c:rich>
                  <a:bodyPr/>
                  <a:lstStyle/>
                  <a:p>
                    <a:fld id="{3A4E0902-2CBA-4E0B-A108-96AC6FBB103F}"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0-B5FD-4C14-808A-D3AD23DC860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1"/>
            <c:dispEq val="0"/>
            <c:trendlineLbl>
              <c:layout>
                <c:manualLayout>
                  <c:x val="0.11270337531337994"/>
                  <c:y val="-0.38975687249620111"/>
                </c:manualLayout>
              </c:layout>
              <c:numFmt formatCode="General" sourceLinked="0"/>
              <c:spPr>
                <a:solidFill>
                  <a:sysClr val="window" lastClr="FFFFFF"/>
                </a:solid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'Hatchery-Origin Returns (old)'!$N$17:$N$29</c:f>
              <c:numCache>
                <c:formatCode>#,##0</c:formatCode>
                <c:ptCount val="13"/>
                <c:pt idx="0">
                  <c:v>127602.45454545454</c:v>
                </c:pt>
                <c:pt idx="1">
                  <c:v>64141.36363636364</c:v>
                </c:pt>
                <c:pt idx="2">
                  <c:v>209974</c:v>
                </c:pt>
                <c:pt idx="3">
                  <c:v>77650</c:v>
                </c:pt>
                <c:pt idx="4">
                  <c:v>94071.318181818177</c:v>
                </c:pt>
                <c:pt idx="5">
                  <c:v>36557</c:v>
                </c:pt>
                <c:pt idx="6">
                  <c:v>146700.86363636365</c:v>
                </c:pt>
                <c:pt idx="7">
                  <c:v>10443</c:v>
                </c:pt>
                <c:pt idx="8">
                  <c:v>55190</c:v>
                </c:pt>
                <c:pt idx="9">
                  <c:v>10040</c:v>
                </c:pt>
                <c:pt idx="10">
                  <c:v>31001</c:v>
                </c:pt>
                <c:pt idx="11">
                  <c:v>13108</c:v>
                </c:pt>
                <c:pt idx="12">
                  <c:v>48138</c:v>
                </c:pt>
              </c:numCache>
            </c:numRef>
          </c:xVal>
          <c:yVal>
            <c:numRef>
              <c:f>'Hatchery-Origin Returns (old)'!$M$17:$M$29</c:f>
              <c:numCache>
                <c:formatCode>0.0%</c:formatCode>
                <c:ptCount val="13"/>
                <c:pt idx="0">
                  <c:v>6.2999999999999945E-2</c:v>
                </c:pt>
                <c:pt idx="1">
                  <c:v>0.125</c:v>
                </c:pt>
                <c:pt idx="2">
                  <c:v>3.3000000000000029E-2</c:v>
                </c:pt>
                <c:pt idx="3">
                  <c:v>4.1000000000000036E-2</c:v>
                </c:pt>
                <c:pt idx="4">
                  <c:v>2.5000000000000022E-2</c:v>
                </c:pt>
                <c:pt idx="5">
                  <c:v>0.22899999999999998</c:v>
                </c:pt>
                <c:pt idx="6">
                  <c:v>2.5999999999999999E-2</c:v>
                </c:pt>
                <c:pt idx="7">
                  <c:v>1.9000000000000017E-2</c:v>
                </c:pt>
                <c:pt idx="8">
                  <c:v>7.0000000000000001E-3</c:v>
                </c:pt>
                <c:pt idx="9">
                  <c:v>0</c:v>
                </c:pt>
                <c:pt idx="10">
                  <c:v>3.9000000000000035E-2</c:v>
                </c:pt>
                <c:pt idx="11" formatCode="0%">
                  <c:v>0.04</c:v>
                </c:pt>
                <c:pt idx="12">
                  <c:v>2.6000000000000023E-2</c:v>
                </c:pt>
              </c:numCache>
            </c:numRef>
          </c:yVal>
          <c:smooth val="0"/>
          <c:extLst>
            <c:ext xmlns:c15="http://schemas.microsoft.com/office/drawing/2012/chart" uri="{02D57815-91ED-43cb-92C2-25804820EDAC}">
              <c15:datalabelsRange>
                <c15:f>'Hatchery-Origin Returns (old)'!$K$17:$K$29</c15:f>
                <c15:dlblRangeCache>
                  <c:ptCount val="13"/>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15:dlblRangeCache>
              </c15:datalabelsRange>
            </c:ext>
            <c:ext xmlns:c16="http://schemas.microsoft.com/office/drawing/2014/chart" uri="{C3380CC4-5D6E-409C-BE32-E72D297353CC}">
              <c16:uniqueId val="{00000003-B5FD-4C14-808A-D3AD23DC8604}"/>
            </c:ext>
          </c:extLst>
        </c:ser>
        <c:dLbls>
          <c:showLegendKey val="0"/>
          <c:showVal val="0"/>
          <c:showCatName val="0"/>
          <c:showSerName val="0"/>
          <c:showPercent val="0"/>
          <c:showBubbleSize val="0"/>
        </c:dLbls>
        <c:axId val="624419343"/>
        <c:axId val="624435567"/>
      </c:scatterChart>
      <c:valAx>
        <c:axId val="62441934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4435567"/>
        <c:crosses val="autoZero"/>
        <c:crossBetween val="midCat"/>
      </c:valAx>
      <c:valAx>
        <c:axId val="62443556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441934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9.bin"/></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132E426-0598-429E-BCC2-3B8A63C5250F}">
  <sheetPr codeName="Chart20"/>
  <sheetViews>
    <sheetView zoomScale="86" workbookViewId="0"/>
  </sheetViews>
  <pageMargins left="0.7" right="0.7" top="0.75" bottom="0.75" header="0.3" footer="0.3"/>
  <pageSetup orientation="landscape" r:id="rId1"/>
  <drawing r:id="rId2"/>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4.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3" Type="http://schemas.openxmlformats.org/officeDocument/2006/relationships/chart" Target="../charts/chart9.xml"/><Relationship Id="rId7" Type="http://schemas.openxmlformats.org/officeDocument/2006/relationships/chart" Target="../charts/chart13.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9.xml.rels><?xml version="1.0" encoding="UTF-8" standalone="yes"?>
<Relationships xmlns="http://schemas.openxmlformats.org/package/2006/relationships"><Relationship Id="rId3" Type="http://schemas.openxmlformats.org/officeDocument/2006/relationships/chart" Target="../charts/chart18.xml"/><Relationship Id="rId2" Type="http://schemas.openxmlformats.org/officeDocument/2006/relationships/chart" Target="../charts/chart17.xml"/><Relationship Id="rId1" Type="http://schemas.openxmlformats.org/officeDocument/2006/relationships/chart" Target="../charts/chart16.xml"/></Relationships>
</file>

<file path=xl/drawings/_rels/drawing10.xml.rels><?xml version="1.0" encoding="UTF-8" standalone="yes"?>
<Relationships xmlns="http://schemas.openxmlformats.org/package/2006/relationships"><Relationship Id="rId1" Type="http://schemas.openxmlformats.org/officeDocument/2006/relationships/image" Target="../media/image3.png"/></Relationships>
</file>

<file path=xl/drawings/_rels/drawing11.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1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chart" Target="../charts/chart20.xml"/><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7</xdr:col>
      <xdr:colOff>6</xdr:colOff>
      <xdr:row>14</xdr:row>
      <xdr:rowOff>152406</xdr:rowOff>
    </xdr:from>
    <xdr:to>
      <xdr:col>16</xdr:col>
      <xdr:colOff>0</xdr:colOff>
      <xdr:row>32</xdr:row>
      <xdr:rowOff>121920</xdr:rowOff>
    </xdr:to>
    <xdr:graphicFrame macro="">
      <xdr:nvGraphicFramePr>
        <xdr:cNvPr id="2" name="Chart 1">
          <a:extLst>
            <a:ext uri="{FF2B5EF4-FFF2-40B4-BE49-F238E27FC236}">
              <a16:creationId xmlns:a16="http://schemas.microsoft.com/office/drawing/2014/main" id="{A152A403-6BE1-4139-BCF9-7243DEDC00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51</xdr:col>
      <xdr:colOff>323850</xdr:colOff>
      <xdr:row>4</xdr:row>
      <xdr:rowOff>125730</xdr:rowOff>
    </xdr:from>
    <xdr:to>
      <xdr:col>63</xdr:col>
      <xdr:colOff>15240</xdr:colOff>
      <xdr:row>28</xdr:row>
      <xdr:rowOff>137160</xdr:rowOff>
    </xdr:to>
    <xdr:graphicFrame macro="">
      <xdr:nvGraphicFramePr>
        <xdr:cNvPr id="2" name="Chart 1">
          <a:extLst>
            <a:ext uri="{FF2B5EF4-FFF2-40B4-BE49-F238E27FC236}">
              <a16:creationId xmlns:a16="http://schemas.microsoft.com/office/drawing/2014/main" id="{A3F7CD67-57E2-0F4D-0B3F-B8E0EAC0AB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14</xdr:col>
      <xdr:colOff>333374</xdr:colOff>
      <xdr:row>21</xdr:row>
      <xdr:rowOff>307348</xdr:rowOff>
    </xdr:from>
    <xdr:to>
      <xdr:col>36</xdr:col>
      <xdr:colOff>527162</xdr:colOff>
      <xdr:row>31</xdr:row>
      <xdr:rowOff>440690</xdr:rowOff>
    </xdr:to>
    <xdr:graphicFrame macro="">
      <xdr:nvGraphicFramePr>
        <xdr:cNvPr id="2" name="Chart 1">
          <a:extLst>
            <a:ext uri="{FF2B5EF4-FFF2-40B4-BE49-F238E27FC236}">
              <a16:creationId xmlns:a16="http://schemas.microsoft.com/office/drawing/2014/main" id="{B04094BE-EDED-4247-B553-B942D23AFD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300998</xdr:colOff>
      <xdr:row>41</xdr:row>
      <xdr:rowOff>3810</xdr:rowOff>
    </xdr:from>
    <xdr:to>
      <xdr:col>40</xdr:col>
      <xdr:colOff>58953</xdr:colOff>
      <xdr:row>56</xdr:row>
      <xdr:rowOff>339090</xdr:rowOff>
    </xdr:to>
    <xdr:graphicFrame macro="">
      <xdr:nvGraphicFramePr>
        <xdr:cNvPr id="3" name="Chart 2">
          <a:extLst>
            <a:ext uri="{FF2B5EF4-FFF2-40B4-BE49-F238E27FC236}">
              <a16:creationId xmlns:a16="http://schemas.microsoft.com/office/drawing/2014/main" id="{15D986ED-F701-42A1-A43A-E2F67778EA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51</xdr:col>
      <xdr:colOff>487680</xdr:colOff>
      <xdr:row>33</xdr:row>
      <xdr:rowOff>407035</xdr:rowOff>
    </xdr:from>
    <xdr:to>
      <xdr:col>60</xdr:col>
      <xdr:colOff>16510</xdr:colOff>
      <xdr:row>41</xdr:row>
      <xdr:rowOff>492148</xdr:rowOff>
    </xdr:to>
    <xdr:pic>
      <xdr:nvPicPr>
        <xdr:cNvPr id="4" name="Picture 3">
          <a:extLst>
            <a:ext uri="{FF2B5EF4-FFF2-40B4-BE49-F238E27FC236}">
              <a16:creationId xmlns:a16="http://schemas.microsoft.com/office/drawing/2014/main" id="{15BB9F87-9508-BF76-3FCA-3585F7F3B82F}"/>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3"/>
        <a:stretch>
          <a:fillRect/>
        </a:stretch>
      </xdr:blipFill>
      <xdr:spPr>
        <a:xfrm>
          <a:off x="16113760" y="21113115"/>
          <a:ext cx="5011420" cy="439295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10</xdr:col>
      <xdr:colOff>76200</xdr:colOff>
      <xdr:row>13</xdr:row>
      <xdr:rowOff>26115</xdr:rowOff>
    </xdr:from>
    <xdr:to>
      <xdr:col>19</xdr:col>
      <xdr:colOff>476250</xdr:colOff>
      <xdr:row>35</xdr:row>
      <xdr:rowOff>91440</xdr:rowOff>
    </xdr:to>
    <xdr:graphicFrame macro="">
      <xdr:nvGraphicFramePr>
        <xdr:cNvPr id="2" name="Chart 1">
          <a:extLst>
            <a:ext uri="{FF2B5EF4-FFF2-40B4-BE49-F238E27FC236}">
              <a16:creationId xmlns:a16="http://schemas.microsoft.com/office/drawing/2014/main" id="{7AC58190-51CE-4A63-8CEF-9F9093A850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37</xdr:row>
      <xdr:rowOff>0</xdr:rowOff>
    </xdr:from>
    <xdr:to>
      <xdr:col>24</xdr:col>
      <xdr:colOff>285750</xdr:colOff>
      <xdr:row>70</xdr:row>
      <xdr:rowOff>91440</xdr:rowOff>
    </xdr:to>
    <xdr:graphicFrame macro="">
      <xdr:nvGraphicFramePr>
        <xdr:cNvPr id="3" name="Chart 2">
          <a:extLst>
            <a:ext uri="{FF2B5EF4-FFF2-40B4-BE49-F238E27FC236}">
              <a16:creationId xmlns:a16="http://schemas.microsoft.com/office/drawing/2014/main" id="{9416BA6E-93F4-4801-B51C-CE27D2BF63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92</xdr:col>
      <xdr:colOff>42124</xdr:colOff>
      <xdr:row>1</xdr:row>
      <xdr:rowOff>45720</xdr:rowOff>
    </xdr:from>
    <xdr:to>
      <xdr:col>101</xdr:col>
      <xdr:colOff>190500</xdr:colOff>
      <xdr:row>19</xdr:row>
      <xdr:rowOff>53340</xdr:rowOff>
    </xdr:to>
    <xdr:graphicFrame macro="">
      <xdr:nvGraphicFramePr>
        <xdr:cNvPr id="3" name="Chart 2">
          <a:extLst>
            <a:ext uri="{FF2B5EF4-FFF2-40B4-BE49-F238E27FC236}">
              <a16:creationId xmlns:a16="http://schemas.microsoft.com/office/drawing/2014/main" id="{3F436C7F-E2D9-48BC-B2B3-53593CB12A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92</xdr:col>
      <xdr:colOff>22860</xdr:colOff>
      <xdr:row>19</xdr:row>
      <xdr:rowOff>68586</xdr:rowOff>
    </xdr:from>
    <xdr:to>
      <xdr:col>101</xdr:col>
      <xdr:colOff>190500</xdr:colOff>
      <xdr:row>34</xdr:row>
      <xdr:rowOff>68586</xdr:rowOff>
    </xdr:to>
    <xdr:graphicFrame macro="">
      <xdr:nvGraphicFramePr>
        <xdr:cNvPr id="4" name="Chart 3">
          <a:extLst>
            <a:ext uri="{FF2B5EF4-FFF2-40B4-BE49-F238E27FC236}">
              <a16:creationId xmlns:a16="http://schemas.microsoft.com/office/drawing/2014/main" id="{9ABDEE01-721B-4617-B2AA-9A7BBD969F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92</xdr:col>
      <xdr:colOff>38100</xdr:colOff>
      <xdr:row>34</xdr:row>
      <xdr:rowOff>114306</xdr:rowOff>
    </xdr:from>
    <xdr:to>
      <xdr:col>102</xdr:col>
      <xdr:colOff>323850</xdr:colOff>
      <xdr:row>52</xdr:row>
      <xdr:rowOff>0</xdr:rowOff>
    </xdr:to>
    <xdr:graphicFrame macro="">
      <xdr:nvGraphicFramePr>
        <xdr:cNvPr id="5" name="Chart 4">
          <a:extLst>
            <a:ext uri="{FF2B5EF4-FFF2-40B4-BE49-F238E27FC236}">
              <a16:creationId xmlns:a16="http://schemas.microsoft.com/office/drawing/2014/main" id="{2B62EE5B-1836-436F-819E-0301B72441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92</xdr:col>
      <xdr:colOff>0</xdr:colOff>
      <xdr:row>52</xdr:row>
      <xdr:rowOff>0</xdr:rowOff>
    </xdr:from>
    <xdr:to>
      <xdr:col>101</xdr:col>
      <xdr:colOff>152400</xdr:colOff>
      <xdr:row>69</xdr:row>
      <xdr:rowOff>91434</xdr:rowOff>
    </xdr:to>
    <xdr:graphicFrame macro="">
      <xdr:nvGraphicFramePr>
        <xdr:cNvPr id="6" name="Chart 5">
          <a:extLst>
            <a:ext uri="{FF2B5EF4-FFF2-40B4-BE49-F238E27FC236}">
              <a16:creationId xmlns:a16="http://schemas.microsoft.com/office/drawing/2014/main" id="{BE3ED9DD-5598-4FE5-A8BA-6E630CD34B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102</xdr:col>
      <xdr:colOff>0</xdr:colOff>
      <xdr:row>52</xdr:row>
      <xdr:rowOff>0</xdr:rowOff>
    </xdr:from>
    <xdr:to>
      <xdr:col>111</xdr:col>
      <xdr:colOff>152400</xdr:colOff>
      <xdr:row>69</xdr:row>
      <xdr:rowOff>91434</xdr:rowOff>
    </xdr:to>
    <xdr:graphicFrame macro="">
      <xdr:nvGraphicFramePr>
        <xdr:cNvPr id="7" name="Chart 6">
          <a:extLst>
            <a:ext uri="{FF2B5EF4-FFF2-40B4-BE49-F238E27FC236}">
              <a16:creationId xmlns:a16="http://schemas.microsoft.com/office/drawing/2014/main" id="{71748E52-306C-49C2-BE71-A3A24BA269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89</xdr:col>
      <xdr:colOff>0</xdr:colOff>
      <xdr:row>71</xdr:row>
      <xdr:rowOff>0</xdr:rowOff>
    </xdr:from>
    <xdr:to>
      <xdr:col>101</xdr:col>
      <xdr:colOff>152400</xdr:colOff>
      <xdr:row>88</xdr:row>
      <xdr:rowOff>85719</xdr:rowOff>
    </xdr:to>
    <xdr:graphicFrame macro="">
      <xdr:nvGraphicFramePr>
        <xdr:cNvPr id="8" name="Chart 7">
          <a:extLst>
            <a:ext uri="{FF2B5EF4-FFF2-40B4-BE49-F238E27FC236}">
              <a16:creationId xmlns:a16="http://schemas.microsoft.com/office/drawing/2014/main" id="{3FDFEB4D-C662-4F36-B958-36A63F757E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102</xdr:col>
      <xdr:colOff>0</xdr:colOff>
      <xdr:row>71</xdr:row>
      <xdr:rowOff>0</xdr:rowOff>
    </xdr:from>
    <xdr:to>
      <xdr:col>111</xdr:col>
      <xdr:colOff>152400</xdr:colOff>
      <xdr:row>88</xdr:row>
      <xdr:rowOff>91434</xdr:rowOff>
    </xdr:to>
    <xdr:graphicFrame macro="">
      <xdr:nvGraphicFramePr>
        <xdr:cNvPr id="9" name="Chart 8">
          <a:extLst>
            <a:ext uri="{FF2B5EF4-FFF2-40B4-BE49-F238E27FC236}">
              <a16:creationId xmlns:a16="http://schemas.microsoft.com/office/drawing/2014/main" id="{E7B26BF0-1ABA-46AF-81F0-C96C855CF8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18</xdr:col>
      <xdr:colOff>379095</xdr:colOff>
      <xdr:row>82</xdr:row>
      <xdr:rowOff>161925</xdr:rowOff>
    </xdr:from>
    <xdr:to>
      <xdr:col>32</xdr:col>
      <xdr:colOff>555570</xdr:colOff>
      <xdr:row>111</xdr:row>
      <xdr:rowOff>172052</xdr:rowOff>
    </xdr:to>
    <xdr:pic>
      <xdr:nvPicPr>
        <xdr:cNvPr id="2" name="Picture 1">
          <a:extLst>
            <a:ext uri="{FF2B5EF4-FFF2-40B4-BE49-F238E27FC236}">
              <a16:creationId xmlns:a16="http://schemas.microsoft.com/office/drawing/2014/main" id="{D7DB8B63-70EA-F01F-A3AF-EE37C9CF0EF2}"/>
            </a:ext>
          </a:extLst>
        </xdr:cNvPr>
        <xdr:cNvPicPr>
          <a:picLocks noChangeAspect="1"/>
        </xdr:cNvPicPr>
      </xdr:nvPicPr>
      <xdr:blipFill>
        <a:blip xmlns:r="http://schemas.openxmlformats.org/officeDocument/2006/relationships" r:embed="rId1"/>
        <a:stretch>
          <a:fillRect/>
        </a:stretch>
      </xdr:blipFill>
      <xdr:spPr>
        <a:xfrm>
          <a:off x="13847445" y="5314950"/>
          <a:ext cx="8707065" cy="552129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8</xdr:col>
      <xdr:colOff>145204</xdr:colOff>
      <xdr:row>2</xdr:row>
      <xdr:rowOff>523876</xdr:rowOff>
    </xdr:from>
    <xdr:to>
      <xdr:col>19</xdr:col>
      <xdr:colOff>70274</xdr:colOff>
      <xdr:row>27</xdr:row>
      <xdr:rowOff>102024</xdr:rowOff>
    </xdr:to>
    <xdr:graphicFrame macro="">
      <xdr:nvGraphicFramePr>
        <xdr:cNvPr id="2" name="Chart 1">
          <a:extLst>
            <a:ext uri="{FF2B5EF4-FFF2-40B4-BE49-F238E27FC236}">
              <a16:creationId xmlns:a16="http://schemas.microsoft.com/office/drawing/2014/main" id="{A5FC1296-ED3D-F53A-7EA8-EA65642638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492549</xdr:colOff>
      <xdr:row>2</xdr:row>
      <xdr:rowOff>125307</xdr:rowOff>
    </xdr:from>
    <xdr:to>
      <xdr:col>12</xdr:col>
      <xdr:colOff>179917</xdr:colOff>
      <xdr:row>27</xdr:row>
      <xdr:rowOff>174202</xdr:rowOff>
    </xdr:to>
    <xdr:graphicFrame macro="">
      <xdr:nvGraphicFramePr>
        <xdr:cNvPr id="2" name="Chart 1">
          <a:extLst>
            <a:ext uri="{FF2B5EF4-FFF2-40B4-BE49-F238E27FC236}">
              <a16:creationId xmlns:a16="http://schemas.microsoft.com/office/drawing/2014/main" id="{A82016D9-E2BE-C8A1-83AA-91EECE8AE2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11</xdr:col>
      <xdr:colOff>160020</xdr:colOff>
      <xdr:row>0</xdr:row>
      <xdr:rowOff>53340</xdr:rowOff>
    </xdr:from>
    <xdr:to>
      <xdr:col>20</xdr:col>
      <xdr:colOff>579120</xdr:colOff>
      <xdr:row>19</xdr:row>
      <xdr:rowOff>114300</xdr:rowOff>
    </xdr:to>
    <xdr:graphicFrame macro="">
      <xdr:nvGraphicFramePr>
        <xdr:cNvPr id="2" name="Chart 1">
          <a:extLst>
            <a:ext uri="{FF2B5EF4-FFF2-40B4-BE49-F238E27FC236}">
              <a16:creationId xmlns:a16="http://schemas.microsoft.com/office/drawing/2014/main" id="{F556F7B6-0DE6-4562-BBE7-7659C10F1F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159174</xdr:colOff>
      <xdr:row>19</xdr:row>
      <xdr:rowOff>109221</xdr:rowOff>
    </xdr:from>
    <xdr:to>
      <xdr:col>20</xdr:col>
      <xdr:colOff>578274</xdr:colOff>
      <xdr:row>38</xdr:row>
      <xdr:rowOff>173567</xdr:rowOff>
    </xdr:to>
    <xdr:graphicFrame macro="">
      <xdr:nvGraphicFramePr>
        <xdr:cNvPr id="3" name="Chart 2">
          <a:extLst>
            <a:ext uri="{FF2B5EF4-FFF2-40B4-BE49-F238E27FC236}">
              <a16:creationId xmlns:a16="http://schemas.microsoft.com/office/drawing/2014/main" id="{0A4017F5-7385-457D-A152-F865064A9B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440267</xdr:colOff>
      <xdr:row>80</xdr:row>
      <xdr:rowOff>42333</xdr:rowOff>
    </xdr:from>
    <xdr:to>
      <xdr:col>14</xdr:col>
      <xdr:colOff>76200</xdr:colOff>
      <xdr:row>94</xdr:row>
      <xdr:rowOff>67733</xdr:rowOff>
    </xdr:to>
    <xdr:graphicFrame macro="">
      <xdr:nvGraphicFramePr>
        <xdr:cNvPr id="5" name="Chart 4">
          <a:extLst>
            <a:ext uri="{FF2B5EF4-FFF2-40B4-BE49-F238E27FC236}">
              <a16:creationId xmlns:a16="http://schemas.microsoft.com/office/drawing/2014/main" id="{EB411DBC-0C47-2F73-C1A7-9FB1C89B91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169545</xdr:colOff>
      <xdr:row>0</xdr:row>
      <xdr:rowOff>152400</xdr:rowOff>
    </xdr:to>
    <xdr:pic>
      <xdr:nvPicPr>
        <xdr:cNvPr id="2" name="Picture 1">
          <a:extLst>
            <a:ext uri="{FF2B5EF4-FFF2-40B4-BE49-F238E27FC236}">
              <a16:creationId xmlns:a16="http://schemas.microsoft.com/office/drawing/2014/main" id="{893C9D0F-738E-8B8D-F255-21F6FA92FE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0"/>
          <a:ext cx="18288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0</xdr:row>
      <xdr:rowOff>0</xdr:rowOff>
    </xdr:from>
    <xdr:to>
      <xdr:col>2</xdr:col>
      <xdr:colOff>169545</xdr:colOff>
      <xdr:row>0</xdr:row>
      <xdr:rowOff>152400</xdr:rowOff>
    </xdr:to>
    <xdr:pic>
      <xdr:nvPicPr>
        <xdr:cNvPr id="3" name="Picture 2">
          <a:extLst>
            <a:ext uri="{FF2B5EF4-FFF2-40B4-BE49-F238E27FC236}">
              <a16:creationId xmlns:a16="http://schemas.microsoft.com/office/drawing/2014/main" id="{4ECD9452-0EB9-129B-43E3-AB87E9738B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0"/>
          <a:ext cx="18288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0</xdr:row>
      <xdr:rowOff>0</xdr:rowOff>
    </xdr:from>
    <xdr:to>
      <xdr:col>3</xdr:col>
      <xdr:colOff>169545</xdr:colOff>
      <xdr:row>0</xdr:row>
      <xdr:rowOff>152400</xdr:rowOff>
    </xdr:to>
    <xdr:pic>
      <xdr:nvPicPr>
        <xdr:cNvPr id="4" name="Picture 3">
          <a:extLst>
            <a:ext uri="{FF2B5EF4-FFF2-40B4-BE49-F238E27FC236}">
              <a16:creationId xmlns:a16="http://schemas.microsoft.com/office/drawing/2014/main" id="{2D142F7C-5879-2E9B-7A61-5DC2E309AE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28800" y="0"/>
          <a:ext cx="18288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0</xdr:row>
      <xdr:rowOff>0</xdr:rowOff>
    </xdr:from>
    <xdr:to>
      <xdr:col>4</xdr:col>
      <xdr:colOff>169545</xdr:colOff>
      <xdr:row>0</xdr:row>
      <xdr:rowOff>152400</xdr:rowOff>
    </xdr:to>
    <xdr:pic>
      <xdr:nvPicPr>
        <xdr:cNvPr id="5" name="Picture 4">
          <a:extLst>
            <a:ext uri="{FF2B5EF4-FFF2-40B4-BE49-F238E27FC236}">
              <a16:creationId xmlns:a16="http://schemas.microsoft.com/office/drawing/2014/main" id="{F86D7052-7A5E-659B-718C-DB9C6D19D2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0"/>
          <a:ext cx="18288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0</xdr:row>
      <xdr:rowOff>0</xdr:rowOff>
    </xdr:from>
    <xdr:to>
      <xdr:col>5</xdr:col>
      <xdr:colOff>169545</xdr:colOff>
      <xdr:row>0</xdr:row>
      <xdr:rowOff>152400</xdr:rowOff>
    </xdr:to>
    <xdr:pic>
      <xdr:nvPicPr>
        <xdr:cNvPr id="6" name="Picture 5">
          <a:extLst>
            <a:ext uri="{FF2B5EF4-FFF2-40B4-BE49-F238E27FC236}">
              <a16:creationId xmlns:a16="http://schemas.microsoft.com/office/drawing/2014/main" id="{4246CCB6-2CB2-6AF1-39C4-F2EBC553C2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048000" y="0"/>
          <a:ext cx="18288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0</xdr:row>
      <xdr:rowOff>0</xdr:rowOff>
    </xdr:from>
    <xdr:to>
      <xdr:col>6</xdr:col>
      <xdr:colOff>169545</xdr:colOff>
      <xdr:row>0</xdr:row>
      <xdr:rowOff>152400</xdr:rowOff>
    </xdr:to>
    <xdr:pic>
      <xdr:nvPicPr>
        <xdr:cNvPr id="7" name="Picture 6">
          <a:extLst>
            <a:ext uri="{FF2B5EF4-FFF2-40B4-BE49-F238E27FC236}">
              <a16:creationId xmlns:a16="http://schemas.microsoft.com/office/drawing/2014/main" id="{690DE664-D2B3-2DD5-FC13-8123F92048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57600" y="0"/>
          <a:ext cx="18288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0</xdr:row>
      <xdr:rowOff>0</xdr:rowOff>
    </xdr:from>
    <xdr:to>
      <xdr:col>7</xdr:col>
      <xdr:colOff>169545</xdr:colOff>
      <xdr:row>0</xdr:row>
      <xdr:rowOff>152400</xdr:rowOff>
    </xdr:to>
    <xdr:pic>
      <xdr:nvPicPr>
        <xdr:cNvPr id="8" name="Picture 7">
          <a:extLst>
            <a:ext uri="{FF2B5EF4-FFF2-40B4-BE49-F238E27FC236}">
              <a16:creationId xmlns:a16="http://schemas.microsoft.com/office/drawing/2014/main" id="{EF766D6B-6F7C-CFCB-470D-ACA340CDB3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267200" y="0"/>
          <a:ext cx="18288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0</xdr:row>
      <xdr:rowOff>0</xdr:rowOff>
    </xdr:from>
    <xdr:to>
      <xdr:col>8</xdr:col>
      <xdr:colOff>169545</xdr:colOff>
      <xdr:row>0</xdr:row>
      <xdr:rowOff>152400</xdr:rowOff>
    </xdr:to>
    <xdr:pic>
      <xdr:nvPicPr>
        <xdr:cNvPr id="9" name="Picture 8">
          <a:extLst>
            <a:ext uri="{FF2B5EF4-FFF2-40B4-BE49-F238E27FC236}">
              <a16:creationId xmlns:a16="http://schemas.microsoft.com/office/drawing/2014/main" id="{F50DAEB2-2B7C-C59A-9491-F7FC61C9D4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76800" y="0"/>
          <a:ext cx="18288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0</xdr:row>
      <xdr:rowOff>0</xdr:rowOff>
    </xdr:from>
    <xdr:to>
      <xdr:col>9</xdr:col>
      <xdr:colOff>169545</xdr:colOff>
      <xdr:row>0</xdr:row>
      <xdr:rowOff>152400</xdr:rowOff>
    </xdr:to>
    <xdr:pic>
      <xdr:nvPicPr>
        <xdr:cNvPr id="10" name="Picture 9">
          <a:extLst>
            <a:ext uri="{FF2B5EF4-FFF2-40B4-BE49-F238E27FC236}">
              <a16:creationId xmlns:a16="http://schemas.microsoft.com/office/drawing/2014/main" id="{4BF96115-4573-585E-FA2E-1902F4B115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486400" y="0"/>
          <a:ext cx="18288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0</xdr:row>
      <xdr:rowOff>0</xdr:rowOff>
    </xdr:from>
    <xdr:to>
      <xdr:col>10</xdr:col>
      <xdr:colOff>169545</xdr:colOff>
      <xdr:row>0</xdr:row>
      <xdr:rowOff>152400</xdr:rowOff>
    </xdr:to>
    <xdr:pic>
      <xdr:nvPicPr>
        <xdr:cNvPr id="11" name="Picture 10">
          <a:extLst>
            <a:ext uri="{FF2B5EF4-FFF2-40B4-BE49-F238E27FC236}">
              <a16:creationId xmlns:a16="http://schemas.microsoft.com/office/drawing/2014/main" id="{B1908B75-AF06-9797-8290-9354A75F2D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0" y="0"/>
          <a:ext cx="18288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0</xdr:row>
      <xdr:rowOff>0</xdr:rowOff>
    </xdr:from>
    <xdr:to>
      <xdr:col>11</xdr:col>
      <xdr:colOff>169545</xdr:colOff>
      <xdr:row>0</xdr:row>
      <xdr:rowOff>152400</xdr:rowOff>
    </xdr:to>
    <xdr:pic>
      <xdr:nvPicPr>
        <xdr:cNvPr id="12" name="Picture 11">
          <a:extLst>
            <a:ext uri="{FF2B5EF4-FFF2-40B4-BE49-F238E27FC236}">
              <a16:creationId xmlns:a16="http://schemas.microsoft.com/office/drawing/2014/main" id="{FEB5B419-BF0E-705B-5E8A-EECA4C61BA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705600" y="0"/>
          <a:ext cx="18288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0</xdr:row>
      <xdr:rowOff>0</xdr:rowOff>
    </xdr:from>
    <xdr:to>
      <xdr:col>12</xdr:col>
      <xdr:colOff>169545</xdr:colOff>
      <xdr:row>0</xdr:row>
      <xdr:rowOff>152400</xdr:rowOff>
    </xdr:to>
    <xdr:pic>
      <xdr:nvPicPr>
        <xdr:cNvPr id="13" name="Picture 12">
          <a:extLst>
            <a:ext uri="{FF2B5EF4-FFF2-40B4-BE49-F238E27FC236}">
              <a16:creationId xmlns:a16="http://schemas.microsoft.com/office/drawing/2014/main" id="{C2BB8B41-4EB7-132F-FB95-833568C2FC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15200" y="0"/>
          <a:ext cx="18288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0</xdr:row>
      <xdr:rowOff>0</xdr:rowOff>
    </xdr:from>
    <xdr:to>
      <xdr:col>13</xdr:col>
      <xdr:colOff>169545</xdr:colOff>
      <xdr:row>0</xdr:row>
      <xdr:rowOff>152400</xdr:rowOff>
    </xdr:to>
    <xdr:pic>
      <xdr:nvPicPr>
        <xdr:cNvPr id="14" name="Picture 13">
          <a:extLst>
            <a:ext uri="{FF2B5EF4-FFF2-40B4-BE49-F238E27FC236}">
              <a16:creationId xmlns:a16="http://schemas.microsoft.com/office/drawing/2014/main" id="{0CCD5C3C-6D54-A7DF-EDED-0A7B54E75E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924800" y="0"/>
          <a:ext cx="18288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xml><?xml version="1.0" encoding="utf-8"?>
<xdr:wsDr xmlns:xdr="http://schemas.openxmlformats.org/drawingml/2006/spreadsheetDrawing" xmlns:a="http://schemas.openxmlformats.org/drawingml/2006/main">
  <xdr:absoluteAnchor>
    <xdr:pos x="0" y="0"/>
    <xdr:ext cx="10787616" cy="7852587"/>
    <xdr:graphicFrame macro="">
      <xdr:nvGraphicFramePr>
        <xdr:cNvPr id="2" name="Chart 1">
          <a:extLst>
            <a:ext uri="{FF2B5EF4-FFF2-40B4-BE49-F238E27FC236}">
              <a16:creationId xmlns:a16="http://schemas.microsoft.com/office/drawing/2014/main" id="{3CE27A7D-DB53-4C07-B623-6EA9EE54BDA8}"/>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xml><?xml version="1.0" encoding="utf-8"?>
<xdr:wsDr xmlns:xdr="http://schemas.openxmlformats.org/drawingml/2006/spreadsheetDrawing" xmlns:a="http://schemas.openxmlformats.org/drawingml/2006/main">
  <xdr:twoCellAnchor editAs="oneCell">
    <xdr:from>
      <xdr:col>9</xdr:col>
      <xdr:colOff>0</xdr:colOff>
      <xdr:row>0</xdr:row>
      <xdr:rowOff>0</xdr:rowOff>
    </xdr:from>
    <xdr:to>
      <xdr:col>18</xdr:col>
      <xdr:colOff>328229</xdr:colOff>
      <xdr:row>13</xdr:row>
      <xdr:rowOff>61315</xdr:rowOff>
    </xdr:to>
    <xdr:pic>
      <xdr:nvPicPr>
        <xdr:cNvPr id="2" name="Picture 1">
          <a:extLst>
            <a:ext uri="{FF2B5EF4-FFF2-40B4-BE49-F238E27FC236}">
              <a16:creationId xmlns:a16="http://schemas.microsoft.com/office/drawing/2014/main" id="{EED7B89A-DCDC-4603-94B8-AAF23DAC653A}"/>
            </a:ext>
          </a:extLst>
        </xdr:cNvPr>
        <xdr:cNvPicPr>
          <a:picLocks noChangeAspect="1"/>
        </xdr:cNvPicPr>
      </xdr:nvPicPr>
      <xdr:blipFill>
        <a:blip xmlns:r="http://schemas.openxmlformats.org/officeDocument/2006/relationships" r:embed="rId1"/>
        <a:stretch>
          <a:fillRect/>
        </a:stretch>
      </xdr:blipFill>
      <xdr:spPr>
        <a:xfrm>
          <a:off x="4876800" y="0"/>
          <a:ext cx="6569009" cy="4099915"/>
        </a:xfrm>
        <a:prstGeom prst="rect">
          <a:avLst/>
        </a:prstGeom>
      </xdr:spPr>
    </xdr:pic>
    <xdr:clientData/>
  </xdr:twoCellAnchor>
  <xdr:twoCellAnchor>
    <xdr:from>
      <xdr:col>8</xdr:col>
      <xdr:colOff>586740</xdr:colOff>
      <xdr:row>35</xdr:row>
      <xdr:rowOff>34290</xdr:rowOff>
    </xdr:from>
    <xdr:to>
      <xdr:col>17</xdr:col>
      <xdr:colOff>22860</xdr:colOff>
      <xdr:row>51</xdr:row>
      <xdr:rowOff>49530</xdr:rowOff>
    </xdr:to>
    <xdr:graphicFrame macro="">
      <xdr:nvGraphicFramePr>
        <xdr:cNvPr id="3" name="Chart 2">
          <a:extLst>
            <a:ext uri="{FF2B5EF4-FFF2-40B4-BE49-F238E27FC236}">
              <a16:creationId xmlns:a16="http://schemas.microsoft.com/office/drawing/2014/main" id="{8690B8DA-636B-4AC0-B237-5F1E6F4487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20</xdr:col>
      <xdr:colOff>220980</xdr:colOff>
      <xdr:row>0</xdr:row>
      <xdr:rowOff>83820</xdr:rowOff>
    </xdr:from>
    <xdr:to>
      <xdr:col>35</xdr:col>
      <xdr:colOff>115757</xdr:colOff>
      <xdr:row>28</xdr:row>
      <xdr:rowOff>77013</xdr:rowOff>
    </xdr:to>
    <xdr:pic>
      <xdr:nvPicPr>
        <xdr:cNvPr id="4" name="Picture 3">
          <a:extLst>
            <a:ext uri="{FF2B5EF4-FFF2-40B4-BE49-F238E27FC236}">
              <a16:creationId xmlns:a16="http://schemas.microsoft.com/office/drawing/2014/main" id="{F995072B-8BAC-4A8D-B3A3-A2F6CA7D9959}"/>
            </a:ext>
          </a:extLst>
        </xdr:cNvPr>
        <xdr:cNvPicPr>
          <a:picLocks noChangeAspect="1"/>
        </xdr:cNvPicPr>
      </xdr:nvPicPr>
      <xdr:blipFill>
        <a:blip xmlns:r="http://schemas.openxmlformats.org/officeDocument/2006/relationships" r:embed="rId3"/>
        <a:stretch>
          <a:fillRect/>
        </a:stretch>
      </xdr:blipFill>
      <xdr:spPr>
        <a:xfrm>
          <a:off x="13403580" y="83820"/>
          <a:ext cx="9709337" cy="7361733"/>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086gc-my.sharepoint.com/personal/howard_stiff_dfo-mpo_gc_ca/Documents/Sockeye%20Index%20Stocks/Okanagan/Osoyoos/SAR%20Analysis/PROGRAMS/R/DATA/Ok%20Sockeye%20Returns%20Data"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k Sockeye Returns Data"/>
    </sheetNames>
    <sheetDataSet>
      <sheetData sheetId="0"/>
    </sheetDataSet>
  </externalBook>
</externalLink>
</file>

<file path=xl/persons/person.xml><?xml version="1.0" encoding="utf-8"?>
<personList xmlns="http://schemas.microsoft.com/office/spreadsheetml/2018/threadedcomments" xmlns:x="http://schemas.openxmlformats.org/spreadsheetml/2006/main">
  <person displayName="Stiff, Howard" id="{294E98C2-59BB-4772-9417-CDE16FB47E13}" userId="S::Howard.Stiff@dfo-mpo.gc.ca::e77cfe4f-0f36-4fe2-9cbe-130767b5bc4f" providerId="AD"/>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s] " refreshedDate="45436.620841898148" createdVersion="8" refreshedVersion="8" minRefreshableVersion="3" recordCount="34" xr:uid="{D3AF16A3-170D-464F-A08B-DC76704C6DBC}">
  <cacheSource type="worksheet">
    <worksheetSource ref="A2:H44" sheet="Hatchery releases"/>
  </cacheSource>
  <cacheFields count="8">
    <cacheField name="Brood Year" numFmtId="0">
      <sharedItems containsString="0" containsBlank="1" containsNumber="1" containsInteger="1" minValue="2003" maxValue="2023" count="22">
        <n v="2003"/>
        <n v="2004"/>
        <n v="2005"/>
        <n v="2006"/>
        <n v="2007"/>
        <n v="2008"/>
        <n v="2009"/>
        <n v="2010"/>
        <n v="2011"/>
        <n v="2012"/>
        <n v="2013"/>
        <n v="2014"/>
        <n v="2015"/>
        <n v="2016"/>
        <n v="2017"/>
        <n v="2018"/>
        <n v="2019"/>
        <n v="2020"/>
        <n v="2021"/>
        <n v="2022"/>
        <n v="2023"/>
        <m/>
      </sharedItems>
    </cacheField>
    <cacheField name="Release Year" numFmtId="0">
      <sharedItems containsString="0" containsBlank="1" containsNumber="1" containsInteger="1" minValue="2004" maxValue="2024"/>
    </cacheField>
    <cacheField name="Smolt Year?" numFmtId="0">
      <sharedItems containsString="0" containsBlank="1" containsNumber="1" containsInteger="1" minValue="2005" maxValue="2025" count="22">
        <n v="2005"/>
        <n v="2006"/>
        <n v="2007"/>
        <n v="2008"/>
        <n v="2009"/>
        <n v="2010"/>
        <n v="2011"/>
        <n v="2012"/>
        <n v="2013"/>
        <n v="2014"/>
        <n v="2015"/>
        <n v="2016"/>
        <n v="2017"/>
        <n v="2018"/>
        <n v="2019"/>
        <n v="2020"/>
        <n v="2021"/>
        <n v="2022"/>
        <n v="2023"/>
        <n v="2024"/>
        <n v="2025"/>
        <m/>
      </sharedItems>
    </cacheField>
    <cacheField name="Return Year?" numFmtId="0">
      <sharedItems containsString="0" containsBlank="1" containsNumber="1" containsInteger="1" minValue="2007" maxValue="2027" count="22">
        <n v="2007"/>
        <n v="2008"/>
        <n v="2009"/>
        <n v="2010"/>
        <n v="2011"/>
        <n v="2012"/>
        <n v="2013"/>
        <n v="2014"/>
        <n v="2015"/>
        <n v="2016"/>
        <n v="2017"/>
        <n v="2018"/>
        <n v="2019"/>
        <n v="2020"/>
        <n v="2021"/>
        <n v="2022"/>
        <n v="2023"/>
        <n v="2024"/>
        <n v="2025"/>
        <n v="2026"/>
        <n v="2027"/>
        <m/>
      </sharedItems>
    </cacheField>
    <cacheField name="Release Date" numFmtId="0">
      <sharedItems containsBlank="1"/>
    </cacheField>
    <cacheField name="Waterbody Stocked" numFmtId="0">
      <sharedItems containsBlank="1"/>
    </cacheField>
    <cacheField name="which lake" numFmtId="0">
      <sharedItems containsBlank="1" count="9">
        <s v="Skaha"/>
        <s v="Osoyoos"/>
        <s v="Okanagan"/>
        <m/>
        <s v="Okanagan All Years" u="1"/>
        <s v="Upper Columbia 2018" u="1"/>
        <s v="Upper Columbia 2019" u="1"/>
        <s v="Upper Columbia 2020" u="1"/>
        <s v="Okanagan Grand total" u="1"/>
      </sharedItems>
    </cacheField>
    <cacheField name="Number stocked" numFmtId="0">
      <sharedItems containsString="0" containsBlank="1" containsNumber="1" containsInteger="1" minValue="0" maxValue="4493577"/>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s] " refreshedDate="45436.620842592594" createdVersion="7" refreshedVersion="8" minRefreshableVersion="3" recordCount="249" xr:uid="{FF7DBD69-91D5-4E98-984C-A7BB97B5159B}">
  <cacheSource type="worksheet">
    <worksheetSource ref="A1:AI250" sheet="Data at Age"/>
  </cacheSource>
  <cacheFields count="35">
    <cacheField name="Stock" numFmtId="0">
      <sharedItems containsBlank="1"/>
    </cacheField>
    <cacheField name="Decade" numFmtId="0">
      <sharedItems containsBlank="1"/>
    </cacheField>
    <cacheField name="Return Year" numFmtId="0">
      <sharedItems containsString="0" containsBlank="1" containsNumber="1" containsInteger="1" minValue="1980" maxValue="2023" count="45">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m/>
      </sharedItems>
    </cacheField>
    <cacheField name="Brood Year" numFmtId="0">
      <sharedItems containsString="0" containsBlank="1" containsNumber="1" containsInteger="1" minValue="1975" maxValue="2020"/>
    </cacheField>
    <cacheField name="Smolt Year" numFmtId="0">
      <sharedItems containsString="0" containsBlank="1" containsNumber="1" containsInteger="1" minValue="1977" maxValue="2022" count="47">
        <n v="1979"/>
        <n v="1978"/>
        <n v="1977"/>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m/>
      </sharedItems>
    </cacheField>
    <cacheField name="Total Sox (Mouth)  [16-hour]" numFmtId="0">
      <sharedItems containsString="0" containsBlank="1" containsNumber="1" containsInteger="1" minValue="9913" maxValue="663253"/>
    </cacheField>
    <cacheField name="Total Sox (Bonn)  [16-hour]" numFmtId="0">
      <sharedItems containsString="0" containsBlank="1" containsNumber="1" minValue="8883" maxValue="704203"/>
    </cacheField>
    <cacheField name="Total Sox (Rock)  [24-hour]" numFmtId="0">
      <sharedItems containsString="0" containsBlank="1" containsNumber="1" minValue="8882" maxValue="702522"/>
    </cacheField>
    <cacheField name="Total Sox (Wells) [24-hour]" numFmtId="0">
      <sharedItems containsString="0" containsBlank="1" containsNumber="1" minValue="1885.9119999999998" maxValue="490804"/>
    </cacheField>
    <cacheField name="Ok Stock Composition (Wells:Rock [adj])" numFmtId="0">
      <sharedItems containsString="0" containsBlank="1" containsNumber="1" minValue="0.16591114630069498" maxValue="0.95953691802619823"/>
    </cacheField>
    <cacheField name="OK Sox at Mouth" numFmtId="0">
      <sharedItems containsString="0" containsBlank="1" containsNumber="1" minValue="2202" maxValue="582555"/>
    </cacheField>
    <cacheField name="OK Stock 1 (Bonn)" numFmtId="0">
      <sharedItems containsString="0" containsBlank="1" containsNumber="1" minValue="2149.7107226181047" maxValue="550415.40128131665"/>
    </cacheField>
    <cacheField name="Ok Stock Comp 2 (Bonn)" numFmtId="0">
      <sharedItems containsString="0" containsBlank="1" containsNumber="1" minValue="8613.387999999999" maxValue="490804"/>
    </cacheField>
    <cacheField name="OK Stock 2 (Bonn)" numFmtId="0">
      <sharedItems containsString="0" containsBlank="1" containsNumber="1" minValue="444786742.93199992" maxValue="336903390854"/>
    </cacheField>
    <cacheField name="Bon to Wells (CR)" numFmtId="0">
      <sharedItems containsString="0" containsBlank="1" containsNumber="1" minValue="1.9365208466469142E-5" maxValue="7.9428481292837198E-3"/>
    </cacheField>
    <cacheField name="OKSox Harvest Below Wells" numFmtId="0">
      <sharedItems containsString="0" containsBlank="1" containsNumber="1" minValue="0.16591114630069498" maxValue="0.95953691802619823"/>
    </cacheField>
    <cacheField name="Harvest Below Wells (%)" numFmtId="0">
      <sharedItems containsString="0" containsBlank="1" containsNumber="1" minValue="0" maxValue="0.88812599785679791"/>
    </cacheField>
    <cacheField name="Total B4 Harvest (Wells)" numFmtId="3">
      <sharedItems containsString="0" containsBlank="1" containsNumber="1" minValue="0" maxValue="0.90199999999999991"/>
    </cacheField>
    <cacheField name="Bon to Wells (Adj CR)" numFmtId="0">
      <sharedItems containsString="0" containsBlank="1" containsNumber="1" minValue="0" maxValue="0.45124797124863747"/>
    </cacheField>
    <cacheField name="Age" numFmtId="0">
      <sharedItems containsString="0" containsBlank="1" containsNumber="1" minValue="1.1000000000000001" maxValue="4.0999999999999996" count="11">
        <n v="1.1000000000000001"/>
        <n v="1.2"/>
        <n v="1.3"/>
        <n v="2.1"/>
        <n v="2.2000000000000002"/>
        <n v="2.2999999999999998"/>
        <n v="3.1"/>
        <n v="3.2"/>
        <n v="3.3"/>
        <n v="4.0999999999999996"/>
        <m/>
      </sharedItems>
    </cacheField>
    <cacheField name="Total Age (Years)" numFmtId="0">
      <sharedItems containsString="0" containsBlank="1" containsNumber="1" minValue="3.0000000000000009" maxValue="6.9999999999999982"/>
    </cacheField>
    <cacheField name="FW Years" numFmtId="0">
      <sharedItems containsString="0" containsBlank="1" containsNumber="1" containsInteger="1" minValue="1" maxValue="4"/>
    </cacheField>
    <cacheField name="Age Comp (Fryer)" numFmtId="0">
      <sharedItems containsString="0" containsBlank="1" containsNumber="1" minValue="0" maxValue="0.98599999999999999"/>
    </cacheField>
    <cacheField name="Returns at Age (Bonn)" numFmtId="0">
      <sharedItems containsString="0" containsBlank="1" containsNumber="1" minValue="0" maxValue="664767.63199999998"/>
    </cacheField>
    <cacheField name="Age Comp (SIRE)" numFmtId="0">
      <sharedItems containsString="0" containsBlank="1" containsNumber="1" minValue="0" maxValue="0.97099999999999997"/>
    </cacheField>
    <cacheField name="Ok Returns at Mouth (Best)" numFmtId="0">
      <sharedItems containsString="0" containsBlank="1" containsNumber="1" minValue="0" maxValue="501579.85499999998"/>
    </cacheField>
    <cacheField name="Best Source" numFmtId="0">
      <sharedItems containsBlank="1"/>
    </cacheField>
    <cacheField name="OK Returns at Age (Bonn)" numFmtId="0">
      <sharedItems containsString="0" containsBlank="1" containsNumber="1" minValue="0" maxValue="450790.2136493983"/>
    </cacheField>
    <cacheField name="OK Returns at Age 2 (Bonn)" numFmtId="0">
      <sharedItems containsBlank="1" containsMixedTypes="1" containsNumber="1" minValue="0" maxValue="261963659746.15198"/>
    </cacheField>
    <cacheField name="OK Returns at Age 3 (Bonn)" numFmtId="0">
      <sharedItems containsBlank="1" containsMixedTypes="1" containsNumber="1" minValue="0" maxValue="486567.2147326839"/>
    </cacheField>
    <cacheField name="OK Returns at Age BEST (Bonn)" numFmtId="0">
      <sharedItems containsString="0" containsBlank="1" containsNumber="1" minValue="0" maxValue="486567.2147326839"/>
    </cacheField>
    <cacheField name="Returns at Age (Wells)" numFmtId="0">
      <sharedItems containsString="0" containsBlank="1" containsNumber="1" minValue="0" maxValue="433870.73599999998"/>
    </cacheField>
    <cacheField name="Returns at Age (Wells b4 Harvest)" numFmtId="0">
      <sharedItems containsString="0" containsBlank="1" containsNumber="1" minValue="0" maxValue="0.8758419999999999"/>
    </cacheField>
    <cacheField name="Bon To Wells (Adj)" numFmtId="0">
      <sharedItems containsString="0" containsBlank="1" containsNumber="1" minValue="0" maxValue="1.3757155656297283E-4"/>
    </cacheField>
    <cacheField name="Comments - final abund at age based on year-specific age comp, in the following order, where available: 1. Spawning Ground (biosample or deadpitch) (SIRE); 2. SPA/DNA/PIT analyses (Fryer); 3. Wells Dam biosample; 4. Fryer (thesis; pre-PIT); 5. SIRE multi-year avg " numFmtId="0">
      <sharedItems containsBlank="1" containsMixedTypes="1" containsNumber="1" minValue="0" maxValue="271396.863400032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s] " refreshedDate="45436.620843171295" createdVersion="7" refreshedVersion="8" minRefreshableVersion="3" recordCount="245" xr:uid="{9F17A1F3-AAC3-4FA3-8F59-198EEB48B251}">
  <cacheSource type="worksheet">
    <worksheetSource ref="A1:AI248" sheet="Data at Age"/>
  </cacheSource>
  <cacheFields count="35">
    <cacheField name="Stock" numFmtId="0">
      <sharedItems containsBlank="1"/>
    </cacheField>
    <cacheField name="Decade" numFmtId="0">
      <sharedItems containsBlank="1"/>
    </cacheField>
    <cacheField name="Return Year" numFmtId="0">
      <sharedItems containsString="0" containsBlank="1" containsNumber="1" containsInteger="1" minValue="1980" maxValue="2023" count="45">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m/>
      </sharedItems>
    </cacheField>
    <cacheField name="Brood Year" numFmtId="0">
      <sharedItems containsString="0" containsBlank="1" containsNumber="1" containsInteger="1" minValue="1975" maxValue="2020"/>
    </cacheField>
    <cacheField name="Smolt Year" numFmtId="0">
      <sharedItems containsString="0" containsBlank="1" containsNumber="1" containsInteger="1" minValue="1977" maxValue="2022" count="47">
        <n v="1979"/>
        <n v="1978"/>
        <n v="1977"/>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m/>
      </sharedItems>
    </cacheField>
    <cacheField name="Total Sox (Mouth)  [16-hour]" numFmtId="0">
      <sharedItems containsString="0" containsBlank="1" containsNumber="1" containsInteger="1" minValue="9913" maxValue="663253"/>
    </cacheField>
    <cacheField name="Total Sox (Bonn)  [16-hour]" numFmtId="0">
      <sharedItems containsString="0" containsBlank="1" containsNumber="1" minValue="8883" maxValue="704203"/>
    </cacheField>
    <cacheField name="Total Sox (Rock)  [24-hour]" numFmtId="0">
      <sharedItems containsString="0" containsBlank="1" containsNumber="1" minValue="8882" maxValue="702522"/>
    </cacheField>
    <cacheField name="Total Sox (Wells) [24-hour]" numFmtId="0">
      <sharedItems containsString="0" containsBlank="1" containsNumber="1" minValue="1885.9119999999998" maxValue="490804"/>
    </cacheField>
    <cacheField name="Ok Stock Composition (Wells:Rock [adj])" numFmtId="0">
      <sharedItems containsString="0" containsBlank="1" containsNumber="1" minValue="0.16591114630069498" maxValue="0.95953691802619823"/>
    </cacheField>
    <cacheField name="OK Sox at Mouth" numFmtId="0">
      <sharedItems containsString="0" containsBlank="1" containsNumber="1" minValue="2202" maxValue="582555"/>
    </cacheField>
    <cacheField name="OK Stock 1 (Bonn)" numFmtId="0">
      <sharedItems containsString="0" containsBlank="1" containsNumber="1" minValue="2149.7107226181047" maxValue="550415.40128131665"/>
    </cacheField>
    <cacheField name="Ok Stock Comp 2 (Bonn)" numFmtId="0">
      <sharedItems containsString="0" containsBlank="1" containsNumber="1" minValue="8613.387999999999" maxValue="490804"/>
    </cacheField>
    <cacheField name="OK Stock 2 (Bonn)" numFmtId="0">
      <sharedItems containsString="0" containsBlank="1" containsNumber="1" minValue="444786742.93199992" maxValue="336903390854"/>
    </cacheField>
    <cacheField name="Bon to Wells (CR)" numFmtId="0">
      <sharedItems containsString="0" containsBlank="1" containsNumber="1" minValue="1.9365208466469142E-5" maxValue="7.9428481292837198E-3"/>
    </cacheField>
    <cacheField name="OKSox Harvest Below Wells" numFmtId="3">
      <sharedItems containsString="0" containsBlank="1" containsNumber="1" minValue="0.16591114630069498" maxValue="0.95953691802619823"/>
    </cacheField>
    <cacheField name="Harvest Below Wells (%)" numFmtId="0">
      <sharedItems containsString="0" containsBlank="1" containsNumber="1" minValue="0" maxValue="0.88812599785679791"/>
    </cacheField>
    <cacheField name="Total B4 Harvest (Wells)" numFmtId="3">
      <sharedItems containsString="0" containsBlank="1" containsNumber="1" minValue="0" maxValue="0.90199999999999991"/>
    </cacheField>
    <cacheField name="Bon to Wells (Adj CR)" numFmtId="0">
      <sharedItems containsString="0" containsBlank="1" containsNumber="1" minValue="0" maxValue="0.45124797124863747"/>
    </cacheField>
    <cacheField name="Age" numFmtId="0">
      <sharedItems containsString="0" containsBlank="1" containsNumber="1" minValue="1.1000000000000001" maxValue="4.0999999999999996" count="11">
        <n v="1.1000000000000001"/>
        <n v="1.2"/>
        <n v="1.3"/>
        <n v="2.1"/>
        <n v="2.2000000000000002"/>
        <n v="2.2999999999999998"/>
        <n v="3.1"/>
        <n v="3.2"/>
        <n v="3.3"/>
        <n v="4.0999999999999996"/>
        <m/>
      </sharedItems>
    </cacheField>
    <cacheField name="Total Age (Years)" numFmtId="0">
      <sharedItems containsString="0" containsBlank="1" containsNumber="1" minValue="3.0000000000000009" maxValue="6.9999999999999982"/>
    </cacheField>
    <cacheField name="FW Years" numFmtId="0">
      <sharedItems containsString="0" containsBlank="1" containsNumber="1" containsInteger="1" minValue="1" maxValue="4" count="5">
        <n v="1"/>
        <n v="2"/>
        <n v="3"/>
        <n v="4"/>
        <m/>
      </sharedItems>
    </cacheField>
    <cacheField name="Age Comp (Fryer)" numFmtId="0">
      <sharedItems containsString="0" containsBlank="1" containsNumber="1" minValue="0" maxValue="0.98599999999999999"/>
    </cacheField>
    <cacheField name="Returns at Age (Bonn)" numFmtId="0">
      <sharedItems containsString="0" containsBlank="1" containsNumber="1" minValue="0" maxValue="664767.63199999998"/>
    </cacheField>
    <cacheField name="Age Comp (SIRE)" numFmtId="0">
      <sharedItems containsString="0" containsBlank="1" containsNumber="1" minValue="0" maxValue="0.97099999999999997"/>
    </cacheField>
    <cacheField name="Ok Returns at Mouth (Best)" numFmtId="0">
      <sharedItems containsString="0" containsBlank="1" containsNumber="1" minValue="0" maxValue="501579.85499999998"/>
    </cacheField>
    <cacheField name="Best Source" numFmtId="0">
      <sharedItems containsBlank="1"/>
    </cacheField>
    <cacheField name="OK Returns at Age (Bonn)" numFmtId="0">
      <sharedItems containsString="0" containsBlank="1" containsNumber="1" minValue="0" maxValue="450790.2136493983"/>
    </cacheField>
    <cacheField name="OK Returns at Age 2 (Bonn)" numFmtId="0">
      <sharedItems containsBlank="1" containsMixedTypes="1" containsNumber="1" minValue="0" maxValue="261963659746.15198"/>
    </cacheField>
    <cacheField name="OK Returns at Age 3 (Bonn)" numFmtId="0">
      <sharedItems containsBlank="1" containsMixedTypes="1" containsNumber="1" minValue="0" maxValue="486567.2147326839"/>
    </cacheField>
    <cacheField name="OK Returns at Age BEST (Bonn)" numFmtId="0">
      <sharedItems containsString="0" containsBlank="1" containsNumber="1" minValue="0" maxValue="486567.2147326839"/>
    </cacheField>
    <cacheField name="Returns at Age (Wells)" numFmtId="0">
      <sharedItems containsString="0" containsBlank="1" containsNumber="1" minValue="0" maxValue="433870.73599999998"/>
    </cacheField>
    <cacheField name="Returns at Age (Wells b4 Harvest)" numFmtId="0">
      <sharedItems containsString="0" containsBlank="1" containsNumber="1" minValue="0" maxValue="0.8758419999999999"/>
    </cacheField>
    <cacheField name="Bon To Wells (Adj)" numFmtId="0">
      <sharedItems containsString="0" containsBlank="1" containsNumber="1" minValue="0" maxValue="1.3757155656297283E-4"/>
    </cacheField>
    <cacheField name="Comments - final abund at age based on year-specific age comp, in the following order, where available: 1. Spawning Ground (biosample or deadpitch) (SIRE); 2. SPA/DNA/PIT analyses (Fryer); 3. Wells Dam biosample; 4. Fryer (thesis; pre-PIT); 5. SIRE multi-year avg " numFmtId="0">
      <sharedItems containsBlank="1" containsMixedTypes="1" containsNumber="1" minValue="0" maxValue="271396.8634000321"/>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s] " refreshedDate="45436.62084398148" createdVersion="8" refreshedVersion="8" minRefreshableVersion="3" recordCount="73" xr:uid="{1BADAB13-552A-440D-93C4-73E88FB8FC6A}">
  <cacheSource type="worksheet">
    <worksheetSource ref="A1:P82" sheet="OK AUC and Deadpitch Results"/>
  </cacheSource>
  <cacheFields count="16">
    <cacheField name="Rearing Lake" numFmtId="0">
      <sharedItems containsBlank="1" count="3">
        <s v="Osoyoos"/>
        <s v="Skaha"/>
        <m/>
      </sharedItems>
    </cacheField>
    <cacheField name="Spawning Location" numFmtId="0">
      <sharedItems containsBlank="1" count="5">
        <s v="Lower Ok River"/>
        <s v="Middle Ok River"/>
        <s v="Penticton Channel"/>
        <s v="Shingle Creek"/>
        <m/>
      </sharedItems>
    </cacheField>
    <cacheField name="Year" numFmtId="0">
      <sharedItems containsString="0" containsBlank="1" containsNumber="1" containsInteger="1" minValue="2000" maxValue="2023" count="25">
        <n v="2000"/>
        <n v="2001"/>
        <n v="2002"/>
        <n v="2003"/>
        <n v="2004"/>
        <n v="2005"/>
        <n v="2006"/>
        <n v="2007"/>
        <n v="2008"/>
        <n v="2009"/>
        <n v="2010"/>
        <n v="2011"/>
        <n v="2012"/>
        <n v="2013"/>
        <n v="2014"/>
        <n v="2015"/>
        <n v="2016"/>
        <n v="2017"/>
        <n v="2018"/>
        <n v="2019"/>
        <n v="2020"/>
        <n v="2021"/>
        <n v="2022"/>
        <n v="2023"/>
        <m/>
      </sharedItems>
    </cacheField>
    <cacheField name="AUC" numFmtId="0">
      <sharedItems containsString="0" containsBlank="1" containsNumber="1" containsInteger="1" minValue="438" maxValue="12396693"/>
    </cacheField>
    <cacheField name="Spawning Nerkids" numFmtId="0">
      <sharedItems containsString="0" containsBlank="1" containsNumber="1" minValue="40" maxValue="182487"/>
    </cacheField>
    <cacheField name="Deadpitch sampled" numFmtId="0">
      <sharedItems containsString="0" containsBlank="1" containsNumber="1" containsInteger="1" minValue="11" maxValue="4184"/>
    </cacheField>
    <cacheField name="% ≤ 35cm FL" numFmtId="0">
      <sharedItems containsBlank="1" containsMixedTypes="1" containsNumber="1" minValue="0" maxValue="0.85099229832415646"/>
    </cacheField>
    <cacheField name="# ≤ 35cm FL" numFmtId="0">
      <sharedItems containsBlank="1" containsMixedTypes="1" containsNumber="1" minValue="0" maxValue="49612"/>
    </cacheField>
    <cacheField name="≤ 35cm FL" numFmtId="0">
      <sharedItems containsBlank="1"/>
    </cacheField>
    <cacheField name="Sox Total (%)" numFmtId="0">
      <sharedItems containsBlank="1"/>
    </cacheField>
    <cacheField name="Sox H-O (%)" numFmtId="0">
      <sharedItems containsBlank="1"/>
    </cacheField>
    <cacheField name="Sox NO (%)" numFmtId="0">
      <sharedItems containsBlank="1"/>
    </cacheField>
    <cacheField name="Sox Total (#)" numFmtId="0">
      <sharedItems containsBlank="1" containsMixedTypes="1" containsNumber="1" minValue="40" maxValue="182122"/>
    </cacheField>
    <cacheField name="Sox HO (#)" numFmtId="0">
      <sharedItems containsBlank="1" containsMixedTypes="1" containsNumber="1" minValue="0" maxValue="20207"/>
    </cacheField>
    <cacheField name="Sox NO (#)" numFmtId="0">
      <sharedItems containsBlank="1" containsMixedTypes="1" containsNumber="1" minValue="0" maxValue="176476"/>
    </cacheField>
    <cacheField name="Sox HO (dup)" numFmtId="0">
      <sharedItems containsBlank="1" containsMixedTypes="1" containsNumber="1" minValue="0" maxValue="49549"/>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s] " refreshedDate="45436.620846064812" createdVersion="8" refreshedVersion="8" minRefreshableVersion="3" recordCount="254" xr:uid="{E1C50C71-5B3B-4EDE-8A3D-CB1F3A824E4E}">
  <cacheSource type="worksheet">
    <worksheetSource ref="A1:AI266" sheet="Data at Age"/>
  </cacheSource>
  <cacheFields count="35">
    <cacheField name="Stock" numFmtId="0">
      <sharedItems containsBlank="1" count="2">
        <s v="Okanagan Sockeye"/>
        <m/>
      </sharedItems>
    </cacheField>
    <cacheField name="Decade" numFmtId="0">
      <sharedItems containsBlank="1"/>
    </cacheField>
    <cacheField name="Return Year" numFmtId="0">
      <sharedItems containsString="0" containsBlank="1" containsNumber="1" containsInteger="1" minValue="1980" maxValue="2023"/>
    </cacheField>
    <cacheField name="Brood Year" numFmtId="0">
      <sharedItems containsString="0" containsBlank="1" containsNumber="1" containsInteger="1" minValue="1975" maxValue="2020"/>
    </cacheField>
    <cacheField name="Smolt Year" numFmtId="0">
      <sharedItems containsString="0" containsBlank="1" containsNumber="1" containsInteger="1" minValue="1977" maxValue="2022" count="47">
        <n v="1979"/>
        <n v="1978"/>
        <n v="1977"/>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m/>
      </sharedItems>
    </cacheField>
    <cacheField name="Total Sox (Mouth)  [16-hour]" numFmtId="0">
      <sharedItems containsString="0" containsBlank="1" containsNumber="1" containsInteger="1" minValue="9913" maxValue="663253"/>
    </cacheField>
    <cacheField name="Total Sox (Bonn)  [16-hour]" numFmtId="0">
      <sharedItems containsString="0" containsBlank="1" containsNumber="1" minValue="8883" maxValue="704203"/>
    </cacheField>
    <cacheField name="Total Sox (Rock)  [24-hour]" numFmtId="0">
      <sharedItems containsString="0" containsBlank="1" containsNumber="1" minValue="8882" maxValue="702522"/>
    </cacheField>
    <cacheField name="Total Sox (Wells) [24-hour]" numFmtId="0">
      <sharedItems containsString="0" containsBlank="1" containsNumber="1" minValue="1885.9119999999998" maxValue="490804"/>
    </cacheField>
    <cacheField name="Ok Stock Composition (Wells:Rock [adj])" numFmtId="0">
      <sharedItems containsString="0" containsBlank="1" containsNumber="1" minValue="0.16591114630069498" maxValue="0.95953691802619823"/>
    </cacheField>
    <cacheField name="OK Sox at Mouth" numFmtId="0">
      <sharedItems containsString="0" containsBlank="1" containsNumber="1" minValue="2202" maxValue="582555"/>
    </cacheField>
    <cacheField name="OK Stock 1 (Bonn)" numFmtId="0">
      <sharedItems containsString="0" containsBlank="1" containsNumber="1" minValue="2149.7107226181047" maxValue="550415.40128131665"/>
    </cacheField>
    <cacheField name="Ok Stock Comp 2 (Bonn)" numFmtId="0">
      <sharedItems containsString="0" containsBlank="1" containsNumber="1" minValue="8613.387999999999" maxValue="490804"/>
    </cacheField>
    <cacheField name="OK Stock 2 (Bonn)" numFmtId="0">
      <sharedItems containsString="0" containsBlank="1" containsNumber="1" minValue="444786742.93199992" maxValue="336903390854"/>
    </cacheField>
    <cacheField name="Bon to Wells (CR)" numFmtId="0">
      <sharedItems containsString="0" containsBlank="1" containsNumber="1" minValue="1.9365208466469142E-5" maxValue="7.9428481292837198E-3"/>
    </cacheField>
    <cacheField name="OKSox Harvest Below Wells" numFmtId="0">
      <sharedItems containsString="0" containsBlank="1" containsNumber="1" minValue="0.16591114630069498" maxValue="0.95953691802619823"/>
    </cacheField>
    <cacheField name="Harvest Below Wells (%)" numFmtId="0">
      <sharedItems containsString="0" containsBlank="1" containsNumber="1" minValue="0" maxValue="0.88812599785679791"/>
    </cacheField>
    <cacheField name="Total B4 Harvest (Wells)" numFmtId="3">
      <sharedItems containsString="0" containsBlank="1" containsNumber="1" minValue="0" maxValue="0.90199999999999991"/>
    </cacheField>
    <cacheField name="Bon to Wells (Adj CR)" numFmtId="0">
      <sharedItems containsString="0" containsBlank="1" containsNumber="1" minValue="0" maxValue="0.45124797124863747"/>
    </cacheField>
    <cacheField name="Age" numFmtId="0">
      <sharedItems containsString="0" containsBlank="1" containsNumber="1" minValue="1.1000000000000001" maxValue="4.0999999999999996"/>
    </cacheField>
    <cacheField name="Total Age (Years)" numFmtId="0">
      <sharedItems containsString="0" containsBlank="1" containsNumber="1" minValue="3.0000000000000009" maxValue="6.9999999999999982"/>
    </cacheField>
    <cacheField name="FW Years" numFmtId="0">
      <sharedItems containsString="0" containsBlank="1" containsNumber="1" containsInteger="1" minValue="1" maxValue="4" count="5">
        <n v="1"/>
        <n v="2"/>
        <n v="3"/>
        <n v="4"/>
        <m/>
      </sharedItems>
    </cacheField>
    <cacheField name="Age Comp (Fryer)" numFmtId="0">
      <sharedItems containsString="0" containsBlank="1" containsNumber="1" minValue="0" maxValue="0.98599999999999999"/>
    </cacheField>
    <cacheField name="Returns at Age (Bonn)" numFmtId="0">
      <sharedItems containsString="0" containsBlank="1" containsNumber="1" minValue="0" maxValue="664767.63199999998"/>
    </cacheField>
    <cacheField name="Age Comp (SIRE)" numFmtId="0">
      <sharedItems containsString="0" containsBlank="1" containsNumber="1" minValue="0" maxValue="0.97099999999999997"/>
    </cacheField>
    <cacheField name="Ok Returns at Mouth (Best)" numFmtId="0">
      <sharedItems containsString="0" containsBlank="1" containsNumber="1" minValue="0" maxValue="501579.85499999998"/>
    </cacheField>
    <cacheField name="Best Source" numFmtId="0">
      <sharedItems containsBlank="1"/>
    </cacheField>
    <cacheField name="OK Returns at Age (Bonn)" numFmtId="0">
      <sharedItems containsString="0" containsBlank="1" containsNumber="1" minValue="0" maxValue="450790.2136493983"/>
    </cacheField>
    <cacheField name="OK Returns at Age 2 (Bonn)" numFmtId="0">
      <sharedItems containsBlank="1" containsMixedTypes="1" containsNumber="1" minValue="0" maxValue="261963659746.15198"/>
    </cacheField>
    <cacheField name="OK Returns at Age 3 (Bonn)" numFmtId="0">
      <sharedItems containsBlank="1" containsMixedTypes="1" containsNumber="1" minValue="0" maxValue="486567.2147326839"/>
    </cacheField>
    <cacheField name="OK Returns at Age BEST (Bonn)" numFmtId="0">
      <sharedItems containsString="0" containsBlank="1" containsNumber="1" minValue="0" maxValue="486567.2147326839"/>
    </cacheField>
    <cacheField name="Returns at Age (Wells)" numFmtId="0">
      <sharedItems containsString="0" containsBlank="1" containsNumber="1" minValue="0" maxValue="433870.73599999998"/>
    </cacheField>
    <cacheField name="Returns at Age (Wells b4 Harvest)" numFmtId="0">
      <sharedItems containsString="0" containsBlank="1" containsNumber="1" minValue="0" maxValue="0.8758419999999999"/>
    </cacheField>
    <cacheField name="Bon To Wells (Adj)" numFmtId="0">
      <sharedItems containsString="0" containsBlank="1" containsNumber="1" minValue="0" maxValue="1.3757155656297283E-4"/>
    </cacheField>
    <cacheField name="Comments - final abund at age based on year-specific age comp, in the following order, where available: 1. Spawning Ground (biosample or deadpitch) (SIRE); 2. SPA/DNA/PIT analyses (Fryer); 3. Wells Dam biosample; 4. Fryer (thesis; pre-PIT); 5. SIRE multi-year avg " numFmtId="0">
      <sharedItems containsBlank="1" containsMixedTypes="1" containsNumber="1" minValue="0" maxValue="271396.863400032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4">
  <r>
    <x v="0"/>
    <n v="2004"/>
    <x v="0"/>
    <x v="0"/>
    <s v="2 June, 2004"/>
    <s v="Penticton Channel"/>
    <x v="0"/>
    <n v="352500"/>
  </r>
  <r>
    <x v="1"/>
    <n v="2005"/>
    <x v="1"/>
    <x v="1"/>
    <s v="17 -18 May, 2005"/>
    <s v="Penticton Channel"/>
    <x v="0"/>
    <n v="1205500"/>
  </r>
  <r>
    <x v="2"/>
    <n v="2006"/>
    <x v="2"/>
    <x v="2"/>
    <s v="16 -17 May, 2006"/>
    <s v="Penticton Channel"/>
    <x v="0"/>
    <n v="1384000"/>
  </r>
  <r>
    <x v="3"/>
    <n v="2007"/>
    <x v="3"/>
    <x v="3"/>
    <s v="15-16 May, 2007"/>
    <s v="Penticton Channel"/>
    <x v="0"/>
    <n v="1479000"/>
  </r>
  <r>
    <x v="4"/>
    <n v="2008"/>
    <x v="4"/>
    <x v="4"/>
    <s v="2-3 June, 2008"/>
    <s v="Penticton Channel"/>
    <x v="0"/>
    <n v="885500"/>
  </r>
  <r>
    <x v="5"/>
    <n v="2009"/>
    <x v="5"/>
    <x v="5"/>
    <s v="2-3 June, 2009"/>
    <s v="Penticton Channel"/>
    <x v="0"/>
    <n v="1614300"/>
  </r>
  <r>
    <x v="6"/>
    <n v="2010"/>
    <x v="6"/>
    <x v="6"/>
    <s v="2 June, 2010"/>
    <s v="Penticton Channel"/>
    <x v="0"/>
    <n v="448300"/>
  </r>
  <r>
    <x v="6"/>
    <n v="2010"/>
    <x v="6"/>
    <x v="6"/>
    <s v="3 June, 2010"/>
    <s v="Okanagan R (upstream of Osoyoos L)"/>
    <x v="1"/>
    <n v="432400"/>
  </r>
  <r>
    <x v="7"/>
    <n v="2011"/>
    <x v="7"/>
    <x v="7"/>
    <s v="1-2 June 2011"/>
    <s v="Penticton Channel"/>
    <x v="0"/>
    <n v="900000"/>
  </r>
  <r>
    <x v="8"/>
    <n v="2012"/>
    <x v="8"/>
    <x v="8"/>
    <s v="29-30 May, 2012"/>
    <s v="Okanagan R (upstream of Osoyoos L)"/>
    <x v="1"/>
    <n v="837800"/>
  </r>
  <r>
    <x v="9"/>
    <n v="2013"/>
    <x v="9"/>
    <x v="9"/>
    <s v="4-5 June, 2013"/>
    <s v="Okanagan R (upstream of Osoyoos L)"/>
    <x v="1"/>
    <n v="869300"/>
  </r>
  <r>
    <x v="8"/>
    <n v="2012"/>
    <x v="8"/>
    <x v="8"/>
    <s v="N/A"/>
    <m/>
    <x v="0"/>
    <n v="0"/>
  </r>
  <r>
    <x v="9"/>
    <n v="2013"/>
    <x v="9"/>
    <x v="9"/>
    <s v="N/A"/>
    <m/>
    <x v="0"/>
    <n v="0"/>
  </r>
  <r>
    <x v="10"/>
    <n v="2014"/>
    <x v="10"/>
    <x v="10"/>
    <s v="N/A"/>
    <s v="no fry production"/>
    <x v="0"/>
    <n v="0"/>
  </r>
  <r>
    <x v="11"/>
    <n v="2015"/>
    <x v="11"/>
    <x v="11"/>
    <s v="20-21 May, 2015"/>
    <s v="Shingle Creek"/>
    <x v="0"/>
    <n v="1019935"/>
  </r>
  <r>
    <x v="11"/>
    <n v="2015"/>
    <x v="11"/>
    <x v="11"/>
    <s v="26-27 May, 2015"/>
    <s v="Penticton Channel"/>
    <x v="0"/>
    <n v="741859"/>
  </r>
  <r>
    <x v="12"/>
    <n v="2016"/>
    <x v="12"/>
    <x v="12"/>
    <s v="18 May, 2016_x000a_1-15 June, 2016"/>
    <s v="Penticton Channel = 10,021 (Ceremonial Release Day); _x000a_Shingle Creek via volitional release = 347,557"/>
    <x v="0"/>
    <n v="357578"/>
  </r>
  <r>
    <x v="12"/>
    <n v="2016"/>
    <x v="12"/>
    <x v="12"/>
    <s v="4-14 June, 2016"/>
    <s v="Six-Mile Creek = 3,341_x000a_Mission Creek = 3,427_x000a_ Trout Creek = 3,226"/>
    <x v="2"/>
    <n v="9994"/>
  </r>
  <r>
    <x v="13"/>
    <n v="2017"/>
    <x v="13"/>
    <x v="13"/>
    <s v="22 March - 18 May, 2017"/>
    <s v="Penticton Channel = 5,000 (Ceremonial release Day); Shingle Creek Via volitional releases = 4,488,577"/>
    <x v="0"/>
    <n v="4493577"/>
  </r>
  <r>
    <x v="13"/>
    <n v="2017"/>
    <x v="13"/>
    <x v="13"/>
    <s v="June 6-10, 2017"/>
    <s v="Six-Mile Creek=228,238 _x000a_Mission Creek=225,268 _x000a_Trout Creek=230,350"/>
    <x v="2"/>
    <n v="683856"/>
  </r>
  <r>
    <x v="14"/>
    <n v="2018"/>
    <x v="14"/>
    <x v="14"/>
    <s v="29 March - 3 May, 2018"/>
    <s v="Penticton Channel = 4,431 (Ceremonial Release Day); Shingle Creek via volitional releases = 1,218,171"/>
    <x v="0"/>
    <n v="1222602"/>
  </r>
  <r>
    <x v="14"/>
    <n v="2018"/>
    <x v="14"/>
    <x v="14"/>
    <s v=" 3 May- 15 May"/>
    <s v="Six-Mile Creek=3,304 _x000a_Mission Creek=3,375_x000a_Trout Creek=3,431"/>
    <x v="2"/>
    <n v="10110"/>
  </r>
  <r>
    <x v="15"/>
    <n v="2019"/>
    <x v="15"/>
    <x v="15"/>
    <s v="N/A"/>
    <m/>
    <x v="0"/>
    <n v="0"/>
  </r>
  <r>
    <x v="15"/>
    <n v="2019"/>
    <x v="15"/>
    <x v="15"/>
    <s v="April 9 - May 2, 2019"/>
    <s v="Six-Mile, Powers, Trout creeks;_x000a_Pen. Channel (ceremonial); _x000a_Castlegar - Columbia river (1,000, included in total). "/>
    <x v="2"/>
    <n v="4106296"/>
  </r>
  <r>
    <x v="16"/>
    <n v="2020"/>
    <x v="16"/>
    <x v="16"/>
    <m/>
    <s v="All in Skaha; 120,299 Sept release_x000a_"/>
    <x v="0"/>
    <n v="641182"/>
  </r>
  <r>
    <x v="17"/>
    <n v="2021"/>
    <x v="17"/>
    <x v="17"/>
    <s v="March 25 - July 17, 2021"/>
    <s v="2,029,615 to Skaha"/>
    <x v="0"/>
    <n v="2029615"/>
  </r>
  <r>
    <x v="17"/>
    <n v="2021"/>
    <x v="17"/>
    <x v="17"/>
    <s v="March 25 - July 17, 2022"/>
    <s v="60,099 upper Columb ceremonial (not incl in total)_x000a_2,070,088 to OKL"/>
    <x v="2"/>
    <n v="2070088"/>
  </r>
  <r>
    <x v="18"/>
    <n v="2022"/>
    <x v="18"/>
    <x v="18"/>
    <m/>
    <m/>
    <x v="0"/>
    <n v="333171"/>
  </r>
  <r>
    <x v="18"/>
    <n v="2022"/>
    <x v="18"/>
    <x v="18"/>
    <m/>
    <m/>
    <x v="2"/>
    <n v="10000"/>
  </r>
  <r>
    <x v="19"/>
    <n v="2023"/>
    <x v="19"/>
    <x v="19"/>
    <m/>
    <m/>
    <x v="0"/>
    <n v="752653"/>
  </r>
  <r>
    <x v="19"/>
    <n v="2023"/>
    <x v="19"/>
    <x v="19"/>
    <m/>
    <m/>
    <x v="2"/>
    <n v="3812941"/>
  </r>
  <r>
    <x v="20"/>
    <n v="2024"/>
    <x v="20"/>
    <x v="20"/>
    <m/>
    <m/>
    <x v="0"/>
    <n v="177560"/>
  </r>
  <r>
    <x v="20"/>
    <n v="2024"/>
    <x v="20"/>
    <x v="20"/>
    <m/>
    <m/>
    <x v="2"/>
    <n v="1334184"/>
  </r>
  <r>
    <x v="21"/>
    <m/>
    <x v="21"/>
    <x v="21"/>
    <m/>
    <m/>
    <x v="3"/>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
  <r>
    <s v="Okanagan Sockeye"/>
    <s v="1980s"/>
    <x v="0"/>
    <n v="1977"/>
    <x v="0"/>
    <n v="58886"/>
    <n v="61175.897733999991"/>
    <n v="61171.897733999991"/>
    <n v="30080.635999999999"/>
    <n v="0.57125616727120798"/>
    <n v="39084.094549759997"/>
    <n v="34947.108868900214"/>
    <m/>
    <m/>
    <n v="1.7490548396240722E-3"/>
    <n v="0.57125616727120798"/>
    <n v="0"/>
    <n v="0"/>
    <n v="0"/>
    <x v="0"/>
    <n v="3.0000000000000009"/>
    <n v="1"/>
    <m/>
    <m/>
    <n v="5.1999999999999998E-2"/>
    <n v="2032.3729165875197"/>
    <s v="SiRE MultiYr"/>
    <m/>
    <m/>
    <m/>
    <m/>
    <m/>
    <m/>
    <m/>
    <s v="Use SIRE default age comp"/>
  </r>
  <r>
    <s v="Okanagan Sockeye"/>
    <s v="1980s"/>
    <x v="0"/>
    <n v="1976"/>
    <x v="1"/>
    <n v="58886"/>
    <n v="61175.897733999991"/>
    <n v="61171.897733999991"/>
    <n v="30080.635999999999"/>
    <n v="0.57125616727120798"/>
    <n v="39084.094549759997"/>
    <n v="34947.108868900214"/>
    <m/>
    <m/>
    <n v="1.7490548396240722E-3"/>
    <n v="0.57125616727120798"/>
    <n v="0"/>
    <n v="0"/>
    <n v="0"/>
    <x v="1"/>
    <n v="3.9999999999999996"/>
    <n v="1"/>
    <m/>
    <m/>
    <n v="0.82499999999999996"/>
    <n v="32244.378003551996"/>
    <s v="SiRE MultiYr"/>
    <m/>
    <m/>
    <m/>
    <m/>
    <m/>
    <m/>
    <m/>
    <s v="Use SIRE default age comp"/>
  </r>
  <r>
    <s v="Okanagan Sockeye"/>
    <s v="1980s"/>
    <x v="0"/>
    <n v="1975"/>
    <x v="2"/>
    <n v="58886"/>
    <n v="61175.897733999991"/>
    <n v="61171.897733999991"/>
    <n v="30080.635999999999"/>
    <n v="0.57125616727120798"/>
    <n v="39084.094549759997"/>
    <n v="34947.108868900214"/>
    <m/>
    <m/>
    <n v="1.7490548396240722E-3"/>
    <n v="0.57125616727120798"/>
    <n v="0"/>
    <n v="0"/>
    <n v="0"/>
    <x v="2"/>
    <n v="5"/>
    <n v="1"/>
    <m/>
    <m/>
    <n v="8.3000000000000004E-2"/>
    <n v="3243.9798476300798"/>
    <s v="SiRE MultiYr"/>
    <m/>
    <m/>
    <m/>
    <m/>
    <m/>
    <m/>
    <m/>
    <s v="Use SIRE default age comp"/>
  </r>
  <r>
    <s v="Okanagan Sockeye"/>
    <s v="1980s"/>
    <x v="0"/>
    <n v="1976"/>
    <x v="0"/>
    <n v="58886"/>
    <n v="61175.897733999991"/>
    <n v="61171.897733999991"/>
    <n v="30080.635999999999"/>
    <n v="0.57125616727120798"/>
    <n v="39084.094549759997"/>
    <n v="34947.108868900214"/>
    <m/>
    <m/>
    <n v="1.7490548396240722E-3"/>
    <n v="0.57125616727120798"/>
    <n v="0"/>
    <n v="0"/>
    <n v="0"/>
    <x v="3"/>
    <n v="4.0000000000000009"/>
    <n v="2"/>
    <m/>
    <m/>
    <n v="2.3E-2"/>
    <n v="898.93417464447987"/>
    <s v="SiRE MultiYr"/>
    <m/>
    <m/>
    <m/>
    <m/>
    <m/>
    <m/>
    <m/>
    <s v="Use SIRE default age comp"/>
  </r>
  <r>
    <s v="Okanagan Sockeye"/>
    <s v="1980s"/>
    <x v="0"/>
    <n v="1975"/>
    <x v="1"/>
    <n v="58886"/>
    <n v="61175.897733999991"/>
    <n v="61171.897733999991"/>
    <n v="30080.635999999999"/>
    <n v="0.57125616727120798"/>
    <n v="39084.094549759997"/>
    <n v="34947.108868900214"/>
    <m/>
    <m/>
    <n v="1.7490548396240722E-3"/>
    <n v="0.57125616727120798"/>
    <n v="0"/>
    <n v="0"/>
    <n v="0"/>
    <x v="4"/>
    <n v="5.0000000000000018"/>
    <n v="2"/>
    <m/>
    <m/>
    <n v="1.6E-2"/>
    <n v="625.34551279615994"/>
    <s v="SiRE MultiYr"/>
    <m/>
    <m/>
    <m/>
    <m/>
    <m/>
    <m/>
    <m/>
    <s v="Use SIRE default age comp"/>
  </r>
  <r>
    <s v="Okanagan Sockeye"/>
    <s v="1980s"/>
    <x v="1"/>
    <n v="1978"/>
    <x v="3"/>
    <n v="56037"/>
    <n v="58203.034968999993"/>
    <n v="58203.034968999993"/>
    <n v="31960.887999999995"/>
    <n v="0.67801370415155171"/>
    <n v="42315.935527369991"/>
    <n v="39462.455332193982"/>
    <m/>
    <m/>
    <n v="4.0547713727591347E-3"/>
    <n v="0.67801370415155171"/>
    <n v="0"/>
    <n v="0"/>
    <n v="0"/>
    <x v="0"/>
    <n v="3.0000000000000009"/>
    <n v="1"/>
    <m/>
    <m/>
    <n v="5.1999999999999998E-2"/>
    <n v="2200.4286474232395"/>
    <s v="SiRE MultiYr"/>
    <m/>
    <m/>
    <m/>
    <m/>
    <m/>
    <m/>
    <m/>
    <s v="Use SIRE default age comp"/>
  </r>
  <r>
    <s v="Okanagan Sockeye"/>
    <s v="1980s"/>
    <x v="1"/>
    <n v="1977"/>
    <x v="0"/>
    <n v="56037"/>
    <n v="58203.034968999993"/>
    <n v="58203.034968999993"/>
    <n v="31960.887999999995"/>
    <n v="0.67801370415155171"/>
    <n v="42315.935527369991"/>
    <n v="39462.455332193982"/>
    <m/>
    <m/>
    <n v="4.0547713727591347E-3"/>
    <n v="0.67801370415155171"/>
    <n v="0"/>
    <n v="0"/>
    <n v="0"/>
    <x v="1"/>
    <n v="3.9999999999999996"/>
    <n v="1"/>
    <m/>
    <m/>
    <n v="0.82499999999999996"/>
    <n v="34910.646810080238"/>
    <s v="SiRE MultiYr"/>
    <m/>
    <m/>
    <m/>
    <m/>
    <m/>
    <m/>
    <m/>
    <s v="Use SIRE default age comp"/>
  </r>
  <r>
    <s v="Okanagan Sockeye"/>
    <s v="1980s"/>
    <x v="1"/>
    <n v="1976"/>
    <x v="1"/>
    <n v="56037"/>
    <n v="58203.034968999993"/>
    <n v="58203.034968999993"/>
    <n v="31960.887999999995"/>
    <n v="0.67801370415155171"/>
    <n v="42315.935527369991"/>
    <n v="39462.455332193982"/>
    <m/>
    <m/>
    <n v="4.0547713727591347E-3"/>
    <n v="0.67801370415155171"/>
    <n v="0"/>
    <n v="0"/>
    <n v="0"/>
    <x v="2"/>
    <n v="5"/>
    <n v="1"/>
    <m/>
    <m/>
    <n v="8.3000000000000004E-2"/>
    <n v="3512.2226487717094"/>
    <s v="SiRE MultiYr"/>
    <m/>
    <m/>
    <m/>
    <m/>
    <m/>
    <m/>
    <m/>
    <s v="Use SIRE default age comp"/>
  </r>
  <r>
    <s v="Okanagan Sockeye"/>
    <s v="1980s"/>
    <x v="1"/>
    <n v="1977"/>
    <x v="3"/>
    <n v="56037"/>
    <n v="58203.034968999993"/>
    <n v="58203.034968999993"/>
    <n v="31960.887999999995"/>
    <n v="0.67801370415155171"/>
    <n v="42315.935527369991"/>
    <n v="39462.455332193982"/>
    <m/>
    <m/>
    <n v="4.0547713727591347E-3"/>
    <n v="0.67801370415155171"/>
    <n v="0"/>
    <n v="0"/>
    <n v="0"/>
    <x v="3"/>
    <n v="4.0000000000000009"/>
    <n v="2"/>
    <m/>
    <m/>
    <n v="2.3E-2"/>
    <n v="973.26651712950979"/>
    <s v="SiRE MultiYr"/>
    <m/>
    <m/>
    <m/>
    <m/>
    <m/>
    <m/>
    <m/>
    <s v="Use SIRE default age comp"/>
  </r>
  <r>
    <s v="Okanagan Sockeye"/>
    <s v="1980s"/>
    <x v="1"/>
    <n v="1976"/>
    <x v="0"/>
    <n v="56037"/>
    <n v="58203.034968999993"/>
    <n v="58203.034968999993"/>
    <n v="31960.887999999995"/>
    <n v="0.67801370415155171"/>
    <n v="42315.935527369991"/>
    <n v="39462.455332193982"/>
    <m/>
    <m/>
    <n v="4.0547713727591347E-3"/>
    <n v="0.67801370415155171"/>
    <n v="0"/>
    <n v="0"/>
    <n v="0"/>
    <x v="4"/>
    <n v="5.0000000000000018"/>
    <n v="2"/>
    <m/>
    <m/>
    <n v="1.6E-2"/>
    <n v="677.05496843791991"/>
    <s v="SiRE MultiYr"/>
    <m/>
    <m/>
    <m/>
    <m/>
    <m/>
    <m/>
    <m/>
    <s v="Use SIRE default age comp"/>
  </r>
  <r>
    <s v="Okanagan Sockeye"/>
    <s v="1980s"/>
    <x v="2"/>
    <n v="1979"/>
    <x v="4"/>
    <n v="50319"/>
    <n v="52231.736702999995"/>
    <n v="52131.736702999995"/>
    <n v="21513.659999999996"/>
    <n v="0.52330665758556094"/>
    <n v="27026.863085559999"/>
    <n v="27333.215553935996"/>
    <m/>
    <m/>
    <n v="4.9203801409352507E-3"/>
    <n v="0.52330665758556094"/>
    <n v="0"/>
    <n v="0"/>
    <n v="0"/>
    <x v="0"/>
    <n v="3.0000000000000009"/>
    <n v="1"/>
    <m/>
    <m/>
    <n v="5.1999999999999998E-2"/>
    <n v="1405.3968804491199"/>
    <s v="SiRE MultiYr"/>
    <m/>
    <m/>
    <m/>
    <m/>
    <m/>
    <m/>
    <m/>
    <s v="Use SIRE default age comp"/>
  </r>
  <r>
    <s v="Okanagan Sockeye"/>
    <s v="1980s"/>
    <x v="2"/>
    <n v="1978"/>
    <x v="3"/>
    <n v="50319"/>
    <n v="52231.736702999995"/>
    <n v="52131.736702999995"/>
    <n v="21513.659999999996"/>
    <n v="0.52330665758556094"/>
    <n v="27026.863085559999"/>
    <n v="27333.215553935996"/>
    <m/>
    <m/>
    <n v="4.9203801409352507E-3"/>
    <n v="0.52330665758556094"/>
    <n v="0"/>
    <n v="0"/>
    <n v="0"/>
    <x v="1"/>
    <n v="3.9999999999999996"/>
    <n v="1"/>
    <m/>
    <m/>
    <n v="0.82499999999999996"/>
    <n v="22297.162045586996"/>
    <s v="SiRE MultiYr"/>
    <m/>
    <m/>
    <m/>
    <m/>
    <m/>
    <m/>
    <m/>
    <s v="Use SIRE default age comp"/>
  </r>
  <r>
    <s v="Okanagan Sockeye"/>
    <s v="1980s"/>
    <x v="2"/>
    <n v="1977"/>
    <x v="0"/>
    <n v="50319"/>
    <n v="52231.736702999995"/>
    <n v="52131.736702999995"/>
    <n v="21513.659999999996"/>
    <n v="0.52330665758556094"/>
    <n v="27026.863085559999"/>
    <n v="27333.215553935996"/>
    <m/>
    <m/>
    <n v="4.9203801409352507E-3"/>
    <n v="0.52330665758556094"/>
    <n v="0"/>
    <n v="0"/>
    <n v="0"/>
    <x v="2"/>
    <n v="5"/>
    <n v="1"/>
    <m/>
    <m/>
    <n v="8.3000000000000004E-2"/>
    <n v="2243.2296361014801"/>
    <s v="SiRE MultiYr"/>
    <m/>
    <m/>
    <m/>
    <m/>
    <m/>
    <m/>
    <m/>
    <s v="Use SIRE default age comp"/>
  </r>
  <r>
    <s v="Okanagan Sockeye"/>
    <s v="1980s"/>
    <x v="2"/>
    <n v="1978"/>
    <x v="4"/>
    <n v="50319"/>
    <n v="52231.736702999995"/>
    <n v="52131.736702999995"/>
    <n v="21513.659999999996"/>
    <n v="0.52330665758556094"/>
    <n v="27026.863085559999"/>
    <n v="27333.215553935996"/>
    <m/>
    <m/>
    <n v="4.9203801409352507E-3"/>
    <n v="0.52330665758556094"/>
    <n v="0"/>
    <n v="0"/>
    <n v="0"/>
    <x v="3"/>
    <n v="4.0000000000000009"/>
    <n v="2"/>
    <m/>
    <m/>
    <n v="2.3E-2"/>
    <n v="621.61785096787992"/>
    <s v="SiRE MultiYr"/>
    <m/>
    <m/>
    <m/>
    <m/>
    <m/>
    <m/>
    <m/>
    <s v="Use SIRE default age comp"/>
  </r>
  <r>
    <s v="Okanagan Sockeye"/>
    <s v="1980s"/>
    <x v="2"/>
    <n v="1977"/>
    <x v="3"/>
    <n v="50319"/>
    <n v="52231.736702999995"/>
    <n v="52131.736702999995"/>
    <n v="21513.659999999996"/>
    <n v="0.52330665758556094"/>
    <n v="27026.863085559999"/>
    <n v="27333.215553935996"/>
    <m/>
    <m/>
    <n v="4.9203801409352507E-3"/>
    <n v="0.52330665758556094"/>
    <n v="0"/>
    <n v="0"/>
    <n v="0"/>
    <x v="4"/>
    <n v="5.0000000000000018"/>
    <n v="2"/>
    <m/>
    <m/>
    <n v="1.6E-2"/>
    <n v="432.42980936895998"/>
    <s v="SiRE MultiYr"/>
    <m/>
    <m/>
    <m/>
    <m/>
    <m/>
    <m/>
    <m/>
    <s v="Use SIRE default age comp"/>
  </r>
  <r>
    <s v="Okanagan Sockeye"/>
    <s v="1980s"/>
    <x v="3"/>
    <n v="1980"/>
    <x v="5"/>
    <n v="100610"/>
    <n v="104712.996099"/>
    <n v="104629.996099"/>
    <n v="31611.1"/>
    <n v="0.36576761084883824"/>
    <n v="38654.638556630001"/>
    <n v="38300.62240795495"/>
    <m/>
    <m/>
    <n v="2.3015290267518335E-3"/>
    <n v="0.36576761084883824"/>
    <n v="0"/>
    <n v="0"/>
    <n v="0"/>
    <x v="0"/>
    <n v="3.0000000000000009"/>
    <n v="1"/>
    <m/>
    <m/>
    <n v="5.1999999999999998E-2"/>
    <n v="2010.04120494476"/>
    <s v="SiRE MultiYr"/>
    <m/>
    <m/>
    <m/>
    <m/>
    <m/>
    <m/>
    <m/>
    <s v="Use SIRE default age comp"/>
  </r>
  <r>
    <s v="Okanagan Sockeye"/>
    <s v="1980s"/>
    <x v="3"/>
    <n v="1979"/>
    <x v="4"/>
    <n v="100610"/>
    <n v="104712.996099"/>
    <n v="104629.996099"/>
    <n v="31611.1"/>
    <n v="0.36576761084883824"/>
    <n v="38654.638556630001"/>
    <n v="38300.62240795495"/>
    <m/>
    <m/>
    <n v="2.3015290267518335E-3"/>
    <n v="0.36576761084883824"/>
    <n v="0"/>
    <n v="0"/>
    <n v="0"/>
    <x v="1"/>
    <n v="3.9999999999999996"/>
    <n v="1"/>
    <m/>
    <m/>
    <n v="0.82499999999999996"/>
    <n v="31890.07680921975"/>
    <s v="SiRE MultiYr"/>
    <m/>
    <m/>
    <m/>
    <m/>
    <m/>
    <m/>
    <m/>
    <s v="Use SIRE default age comp"/>
  </r>
  <r>
    <s v="Okanagan Sockeye"/>
    <s v="1980s"/>
    <x v="3"/>
    <n v="1978"/>
    <x v="3"/>
    <n v="100610"/>
    <n v="104712.996099"/>
    <n v="104629.996099"/>
    <n v="31611.1"/>
    <n v="0.36576761084883824"/>
    <n v="38654.638556630001"/>
    <n v="38300.62240795495"/>
    <m/>
    <m/>
    <n v="2.3015290267518335E-3"/>
    <n v="0.36576761084883824"/>
    <n v="0"/>
    <n v="0"/>
    <n v="0"/>
    <x v="2"/>
    <n v="5"/>
    <n v="1"/>
    <m/>
    <m/>
    <n v="8.3000000000000004E-2"/>
    <n v="3208.3350002002903"/>
    <s v="SiRE MultiYr"/>
    <m/>
    <m/>
    <m/>
    <m/>
    <m/>
    <m/>
    <m/>
    <s v="Use SIRE default age comp"/>
  </r>
  <r>
    <s v="Okanagan Sockeye"/>
    <s v="1980s"/>
    <x v="3"/>
    <n v="1979"/>
    <x v="5"/>
    <n v="100610"/>
    <n v="104712.996099"/>
    <n v="104629.996099"/>
    <n v="31611.1"/>
    <n v="0.36576761084883824"/>
    <n v="38654.638556630001"/>
    <n v="38300.62240795495"/>
    <m/>
    <m/>
    <n v="2.3015290267518335E-3"/>
    <n v="0.36576761084883824"/>
    <n v="0"/>
    <n v="0"/>
    <n v="0"/>
    <x v="3"/>
    <n v="4.0000000000000009"/>
    <n v="2"/>
    <m/>
    <m/>
    <n v="2.3E-2"/>
    <n v="889.05668680249005"/>
    <s v="SiRE MultiYr"/>
    <m/>
    <m/>
    <m/>
    <m/>
    <m/>
    <m/>
    <m/>
    <s v="Use SIRE default age comp"/>
  </r>
  <r>
    <s v="Okanagan Sockeye"/>
    <s v="1980s"/>
    <x v="3"/>
    <n v="1978"/>
    <x v="4"/>
    <n v="100610"/>
    <n v="104712.996099"/>
    <n v="104629.996099"/>
    <n v="31611.1"/>
    <n v="0.36576761084883824"/>
    <n v="38654.638556630001"/>
    <n v="38300.62240795495"/>
    <m/>
    <m/>
    <n v="2.3015290267518335E-3"/>
    <n v="0.36576761084883824"/>
    <n v="0"/>
    <n v="0"/>
    <n v="0"/>
    <x v="4"/>
    <n v="5.0000000000000018"/>
    <n v="2"/>
    <m/>
    <m/>
    <n v="1.6E-2"/>
    <n v="618.47421690608007"/>
    <s v="SiRE MultiYr"/>
    <m/>
    <m/>
    <m/>
    <m/>
    <m/>
    <m/>
    <m/>
    <s v="Use SIRE default age comp"/>
  </r>
  <r>
    <s v="Okanagan Sockeye"/>
    <s v="1980s"/>
    <x v="4"/>
    <n v="1981"/>
    <x v="6"/>
    <n v="161890"/>
    <n v="168257.70376499998"/>
    <n v="158912.70376499998"/>
    <n v="91753.127999999997"/>
    <n v="0.84106192938070612"/>
    <n v="141211.31116259997"/>
    <n v="141515.14896175818"/>
    <m/>
    <m/>
    <n v="8.8554637716976934E-4"/>
    <n v="0.84106192938070612"/>
    <n v="0"/>
    <n v="0"/>
    <n v="0"/>
    <x v="0"/>
    <n v="3.0000000000000009"/>
    <n v="1"/>
    <m/>
    <m/>
    <n v="5.1999999999999998E-2"/>
    <n v="7342.9881804551987"/>
    <s v="SiRE MultiYr"/>
    <m/>
    <m/>
    <m/>
    <m/>
    <m/>
    <m/>
    <m/>
    <s v="Use SIRE default age comp"/>
  </r>
  <r>
    <s v="Okanagan Sockeye"/>
    <s v="1980s"/>
    <x v="4"/>
    <n v="1980"/>
    <x v="5"/>
    <n v="161890"/>
    <n v="168257.70376499998"/>
    <n v="158912.70376499998"/>
    <n v="91753.127999999997"/>
    <n v="0.84106192938070612"/>
    <n v="141211.31116259997"/>
    <n v="141515.14896175818"/>
    <m/>
    <m/>
    <n v="8.8554637716976934E-4"/>
    <n v="0.84106192938070612"/>
    <n v="0"/>
    <n v="0"/>
    <n v="0"/>
    <x v="1"/>
    <n v="3.9999999999999996"/>
    <n v="1"/>
    <m/>
    <m/>
    <n v="0.82499999999999996"/>
    <n v="116499.33170914497"/>
    <s v="SiRE MultiYr"/>
    <m/>
    <m/>
    <m/>
    <m/>
    <m/>
    <m/>
    <m/>
    <s v="Use SIRE default age comp"/>
  </r>
  <r>
    <s v="Okanagan Sockeye"/>
    <s v="1980s"/>
    <x v="4"/>
    <n v="1979"/>
    <x v="4"/>
    <n v="161890"/>
    <n v="168257.70376499998"/>
    <n v="158912.70376499998"/>
    <n v="91753.127999999997"/>
    <n v="0.84106192938070612"/>
    <n v="141211.31116259997"/>
    <n v="141515.14896175818"/>
    <m/>
    <m/>
    <n v="8.8554637716976934E-4"/>
    <n v="0.84106192938070612"/>
    <n v="0"/>
    <n v="0"/>
    <n v="0"/>
    <x v="2"/>
    <n v="5"/>
    <n v="1"/>
    <m/>
    <m/>
    <n v="8.3000000000000004E-2"/>
    <n v="11720.538826495798"/>
    <s v="SiRE MultiYr"/>
    <m/>
    <m/>
    <m/>
    <m/>
    <m/>
    <m/>
    <m/>
    <s v="Use SIRE default age comp"/>
  </r>
  <r>
    <s v="Okanagan Sockeye"/>
    <s v="1980s"/>
    <x v="4"/>
    <n v="1980"/>
    <x v="6"/>
    <n v="161890"/>
    <n v="168257.70376499998"/>
    <n v="158912.70376499998"/>
    <n v="91753.127999999997"/>
    <n v="0.84106192938070612"/>
    <n v="141211.31116259997"/>
    <n v="141515.14896175818"/>
    <m/>
    <m/>
    <n v="8.8554637716976934E-4"/>
    <n v="0.84106192938070612"/>
    <n v="0"/>
    <n v="0"/>
    <n v="0"/>
    <x v="3"/>
    <n v="4.0000000000000009"/>
    <n v="2"/>
    <m/>
    <m/>
    <n v="2.3E-2"/>
    <n v="3247.8601567397995"/>
    <s v="SiRE MultiYr"/>
    <m/>
    <m/>
    <m/>
    <m/>
    <m/>
    <m/>
    <m/>
    <s v="Use SIRE default age comp"/>
  </r>
  <r>
    <s v="Okanagan Sockeye"/>
    <s v="1980s"/>
    <x v="4"/>
    <n v="1979"/>
    <x v="5"/>
    <n v="161890"/>
    <n v="168257.70376499998"/>
    <n v="158912.70376499998"/>
    <n v="91753.127999999997"/>
    <n v="0.84106192938070612"/>
    <n v="141211.31116259997"/>
    <n v="141515.14896175818"/>
    <m/>
    <m/>
    <n v="8.8554637716976934E-4"/>
    <n v="0.84106192938070612"/>
    <n v="0"/>
    <n v="0"/>
    <n v="0"/>
    <x v="4"/>
    <n v="5.0000000000000018"/>
    <n v="2"/>
    <m/>
    <m/>
    <n v="1.6E-2"/>
    <n v="2259.3809786015995"/>
    <s v="SiRE MultiYr"/>
    <m/>
    <m/>
    <m/>
    <m/>
    <m/>
    <m/>
    <m/>
    <s v="Use SIRE default age comp"/>
  </r>
  <r>
    <s v="Okanagan Sockeye"/>
    <s v="1980s"/>
    <x v="5"/>
    <n v="1982"/>
    <x v="7"/>
    <n v="200758"/>
    <n v="205521"/>
    <n v="173308"/>
    <n v="59983.547999999995"/>
    <n v="0.58123593023255804"/>
    <n v="121223"/>
    <n v="119456.18961732557"/>
    <m/>
    <m/>
    <n v="2.870752867103605E-4"/>
    <n v="0.58123593023255804"/>
    <n v="0.51892511237550554"/>
    <n v="0"/>
    <n v="0.30173448427077804"/>
    <x v="0"/>
    <n v="3.0000000000000009"/>
    <n v="1"/>
    <n v="6.9000000000000006E-2"/>
    <n v="14180.949000000001"/>
    <n v="5.1999999999999998E-2"/>
    <n v="8364.3870000000006"/>
    <s v="CRITFC"/>
    <n v="8242.4770835954641"/>
    <s v=""/>
    <n v="6211.721860100929"/>
    <n v="8242.4770835954641"/>
    <n v="3119.1444959999994"/>
    <n v="0"/>
    <n v="0"/>
    <s v="Fryer thesis: freshwater aged, marine ages based on length"/>
  </r>
  <r>
    <s v="Okanagan Sockeye"/>
    <s v="1980s"/>
    <x v="5"/>
    <n v="1981"/>
    <x v="6"/>
    <n v="200758"/>
    <n v="205521"/>
    <n v="173308"/>
    <n v="59983.547999999995"/>
    <n v="0.58123593023255804"/>
    <n v="121223"/>
    <n v="119456.18961732557"/>
    <m/>
    <m/>
    <n v="2.870752867103605E-4"/>
    <n v="0.58123593023255804"/>
    <n v="0.51892511237550554"/>
    <n v="0"/>
    <n v="0.30173448427077804"/>
    <x v="1"/>
    <n v="3.9999999999999996"/>
    <n v="1"/>
    <n v="0.88"/>
    <n v="180858.48"/>
    <n v="0.82499999999999996"/>
    <n v="106676.24"/>
    <s v="CRITFC"/>
    <n v="105121.4468632465"/>
    <s v=""/>
    <n v="98551.356434293586"/>
    <n v="105121.4468632465"/>
    <n v="49486.427099999994"/>
    <n v="0"/>
    <n v="0"/>
    <s v="Fryer thesis: freshwater aged, marine ages based on length"/>
  </r>
  <r>
    <s v="Okanagan Sockeye"/>
    <s v="1980s"/>
    <x v="5"/>
    <n v="1980"/>
    <x v="5"/>
    <n v="200758"/>
    <n v="205521"/>
    <n v="173308"/>
    <n v="59983.547999999995"/>
    <n v="0.58123593023255804"/>
    <n v="121223"/>
    <n v="119456.18961732557"/>
    <m/>
    <m/>
    <n v="2.870752867103605E-4"/>
    <n v="0.58123593023255804"/>
    <n v="0.51892511237550554"/>
    <n v="0"/>
    <n v="0.30173448427077804"/>
    <x v="2"/>
    <n v="5"/>
    <n v="1"/>
    <n v="6.0000000000000001E-3"/>
    <n v="1233.126"/>
    <n v="8.3000000000000004E-2"/>
    <n v="727.33799999999997"/>
    <s v="CRITFC"/>
    <n v="716.73713770395341"/>
    <s v=""/>
    <n v="9914.8637382380221"/>
    <n v="716.73713770395341"/>
    <n v="4978.6344840000002"/>
    <n v="0"/>
    <n v="0"/>
    <s v="Fryer thesis: freshwater aged, marine ages based on length"/>
  </r>
  <r>
    <s v="Okanagan Sockeye"/>
    <s v="1980s"/>
    <x v="5"/>
    <n v="1981"/>
    <x v="7"/>
    <n v="200758"/>
    <n v="205521"/>
    <n v="173308"/>
    <n v="59983.547999999995"/>
    <n v="0.58123593023255804"/>
    <n v="121223"/>
    <n v="119456.18961732557"/>
    <m/>
    <m/>
    <n v="2.870752867103605E-4"/>
    <n v="0.58123593023255804"/>
    <n v="0.51892511237550554"/>
    <n v="0"/>
    <n v="0.30173448427077804"/>
    <x v="3"/>
    <n v="4.0000000000000009"/>
    <n v="2"/>
    <n v="1.0999999999999999E-2"/>
    <n v="2260.7309999999998"/>
    <n v="2.3E-2"/>
    <n v="1333.453"/>
    <s v="CRITFC"/>
    <n v="1314.0180857905812"/>
    <s v=""/>
    <n v="2747.4923611984882"/>
    <n v="1314.0180857905812"/>
    <n v="1379.6216039999999"/>
    <n v="0"/>
    <n v="0"/>
    <s v="Fryer thesis: freshwater aged, marine ages based on length"/>
  </r>
  <r>
    <s v="Okanagan Sockeye"/>
    <s v="1980s"/>
    <x v="5"/>
    <n v="1980"/>
    <x v="6"/>
    <n v="200758"/>
    <n v="205521"/>
    <n v="173308"/>
    <n v="59983.547999999995"/>
    <n v="0.58123593023255804"/>
    <n v="121223"/>
    <n v="119456.18961732557"/>
    <m/>
    <m/>
    <n v="2.870752867103605E-4"/>
    <n v="0.58123593023255804"/>
    <n v="0.51892511237550554"/>
    <n v="0"/>
    <n v="0.30173448427077804"/>
    <x v="4"/>
    <n v="5.0000000000000018"/>
    <n v="2"/>
    <n v="3.4000000000000002E-2"/>
    <n v="6987.7140000000009"/>
    <n v="1.6E-2"/>
    <n v="4121.5820000000003"/>
    <s v="CRITFC"/>
    <n v="4061.5104469890694"/>
    <s v=""/>
    <n v="1911.299033877209"/>
    <n v="4061.5104469890694"/>
    <n v="959.73676799999998"/>
    <n v="0"/>
    <n v="0"/>
    <s v="Fryer thesis: freshwater aged, marine ages based on length"/>
  </r>
  <r>
    <s v="Okanagan Sockeye"/>
    <s v="1980s"/>
    <x v="6"/>
    <n v="1983"/>
    <x v="8"/>
    <n v="59963"/>
    <n v="62220"/>
    <n v="60380"/>
    <n v="39380.015999999996"/>
    <n v="0.79095396481079772"/>
    <n v="49135"/>
    <n v="49213.155690527834"/>
    <m/>
    <m/>
    <n v="3.8572806171648989E-4"/>
    <n v="0.79095396481079772"/>
    <n v="0.6732987535805528"/>
    <n v="0"/>
    <n v="9.4998343822457768E-2"/>
    <x v="0"/>
    <n v="3.0000000000000009"/>
    <n v="1"/>
    <n v="5.1999999999999998E-2"/>
    <n v="3235.44"/>
    <n v="5.1999999999999998E-2"/>
    <n v="2555.02"/>
    <s v="SiRE MultiYr"/>
    <n v="2559.0840959074471"/>
    <s v=""/>
    <n v="2559.0840959074471"/>
    <n v="2559.0840959074471"/>
    <n v="2047.7608319999997"/>
    <n v="0"/>
    <n v="0"/>
    <s v="no age comp data - multi-year mean applied"/>
  </r>
  <r>
    <s v="Okanagan Sockeye"/>
    <s v="1980s"/>
    <x v="6"/>
    <n v="1982"/>
    <x v="7"/>
    <n v="59963"/>
    <n v="62220"/>
    <n v="60380"/>
    <n v="39380.015999999996"/>
    <n v="0.79095396481079772"/>
    <n v="49135"/>
    <n v="49213.155690527834"/>
    <m/>
    <m/>
    <n v="3.8572806171648989E-4"/>
    <n v="0.79095396481079772"/>
    <n v="0.6732987535805528"/>
    <n v="0"/>
    <n v="9.4998343822457768E-2"/>
    <x v="1"/>
    <n v="3.9999999999999996"/>
    <n v="1"/>
    <n v="0.82499999999999996"/>
    <n v="51331.5"/>
    <n v="0.82499999999999996"/>
    <n v="40536.375"/>
    <s v="SiRE MultiYr"/>
    <n v="40600.853444685461"/>
    <s v=""/>
    <n v="40600.853444685461"/>
    <n v="40600.853444685461"/>
    <n v="32488.513199999994"/>
    <n v="0"/>
    <n v="0"/>
    <s v="no age comp data - multi-year mean applied"/>
  </r>
  <r>
    <s v="Okanagan Sockeye"/>
    <s v="1980s"/>
    <x v="6"/>
    <n v="1981"/>
    <x v="6"/>
    <n v="59963"/>
    <n v="62220"/>
    <n v="60380"/>
    <n v="39380.015999999996"/>
    <n v="0.79095396481079772"/>
    <n v="49135"/>
    <n v="49213.155690527834"/>
    <m/>
    <m/>
    <n v="3.8572806171648989E-4"/>
    <n v="0.79095396481079772"/>
    <n v="0.6732987535805528"/>
    <n v="0"/>
    <n v="9.4998343822457768E-2"/>
    <x v="2"/>
    <n v="5"/>
    <n v="1"/>
    <n v="8.3000000000000004E-2"/>
    <n v="5164.26"/>
    <n v="8.3000000000000004E-2"/>
    <n v="4078.2050000000004"/>
    <s v="SiRE MultiYr"/>
    <n v="4084.6919223138102"/>
    <s v=""/>
    <n v="4084.6919223138102"/>
    <n v="4084.6919223138102"/>
    <n v="3268.5413279999998"/>
    <n v="0"/>
    <n v="0"/>
    <s v="no age comp data - multi-year mean applied"/>
  </r>
  <r>
    <s v="Okanagan Sockeye"/>
    <s v="1980s"/>
    <x v="6"/>
    <n v="1982"/>
    <x v="8"/>
    <n v="59963"/>
    <n v="62220"/>
    <n v="60380"/>
    <n v="39380.015999999996"/>
    <n v="0.79095396481079772"/>
    <n v="49135"/>
    <n v="49213.155690527834"/>
    <m/>
    <m/>
    <n v="3.8572806171648989E-4"/>
    <n v="0.79095396481079772"/>
    <n v="0.6732987535805528"/>
    <n v="0"/>
    <n v="9.4998343822457768E-2"/>
    <x v="3"/>
    <n v="4.0000000000000009"/>
    <n v="2"/>
    <n v="2.3E-2"/>
    <n v="1431.06"/>
    <n v="2.3E-2"/>
    <n v="1130.105"/>
    <s v="SiRE MultiYr"/>
    <n v="1131.9025808821402"/>
    <s v=""/>
    <n v="1131.9025808821402"/>
    <n v="1131.9025808821402"/>
    <n v="905.74036799999988"/>
    <n v="0"/>
    <n v="0"/>
    <s v="no age comp data - multi-year mean applied"/>
  </r>
  <r>
    <s v="Okanagan Sockeye"/>
    <s v="1980s"/>
    <x v="6"/>
    <n v="1981"/>
    <x v="7"/>
    <n v="59963"/>
    <n v="62220"/>
    <n v="60380"/>
    <n v="39380.015999999996"/>
    <n v="0.79095396481079772"/>
    <n v="49135"/>
    <n v="49213.155690527834"/>
    <m/>
    <m/>
    <n v="3.8572806171648989E-4"/>
    <n v="0.79095396481079772"/>
    <n v="0.6732987535805528"/>
    <n v="0"/>
    <n v="9.4998343822457768E-2"/>
    <x v="4"/>
    <n v="5.0000000000000018"/>
    <n v="2"/>
    <n v="1.6E-2"/>
    <n v="995.52"/>
    <n v="1.6E-2"/>
    <n v="786.16"/>
    <s v="SiRE MultiYr"/>
    <n v="787.41049104844535"/>
    <s v=""/>
    <n v="787.41049104844535"/>
    <n v="787.41049104844535"/>
    <n v="630.08025599999996"/>
    <n v="0"/>
    <n v="0"/>
    <s v="no age comp data - multi-year mean applied"/>
  </r>
  <r>
    <s v="Okanagan Sockeye"/>
    <s v="1980s"/>
    <x v="7"/>
    <n v="1984"/>
    <x v="9"/>
    <n v="145546"/>
    <n v="150366"/>
    <n v="121813"/>
    <n v="45415.839999999997"/>
    <n v="0.6500234728344878"/>
    <n v="99205"/>
    <n v="97741.429516230593"/>
    <n v="45415.839999999997"/>
    <n v="6828998197.4399996"/>
    <n v="3.6577417767314418E-4"/>
    <n v="0.6500234728344878"/>
    <n v="0.58252145252856702"/>
    <n v="0.44000000000000006"/>
    <n v="0.33562099283327723"/>
    <x v="0"/>
    <n v="3.0000000000000009"/>
    <n v="1"/>
    <n v="0.49199999999999999"/>
    <n v="73980.072"/>
    <n v="5.1999999999999998E-2"/>
    <n v="48808.86"/>
    <s v="CRITFC"/>
    <n v="48088.783321985451"/>
    <n v="3359867113.1404796"/>
    <n v="5082.5543348439905"/>
    <n v="48088.783321985451"/>
    <n v="2361.6236799999997"/>
    <n v="2.2880000000000001E-2"/>
    <n v="3.0927247543095119E-7"/>
    <s v="Fryer thesis: freshwater aged, marine ages based on length"/>
  </r>
  <r>
    <s v="Okanagan Sockeye"/>
    <s v="1980s"/>
    <x v="7"/>
    <n v="1983"/>
    <x v="8"/>
    <n v="145546"/>
    <n v="150366"/>
    <n v="121813"/>
    <n v="45415.839999999997"/>
    <n v="0.6500234728344878"/>
    <n v="99205"/>
    <n v="97741.429516230593"/>
    <n v="45415.839999999997"/>
    <n v="6828998197.4399996"/>
    <n v="3.6577417767314418E-4"/>
    <n v="0.6500234728344878"/>
    <n v="0.58252145252856702"/>
    <n v="0.44000000000000006"/>
    <n v="0.33562099283327723"/>
    <x v="1"/>
    <n v="3.9999999999999996"/>
    <n v="1"/>
    <n v="0.46"/>
    <n v="69168.36"/>
    <n v="0.82499999999999996"/>
    <n v="45634.3"/>
    <s v="CRITFC"/>
    <n v="44961.057577466076"/>
    <n v="3141339170.8224001"/>
    <n v="80636.679350890234"/>
    <n v="44961.057577466076"/>
    <n v="37468.067999999992"/>
    <n v="0.36300000000000004"/>
    <n v="5.2480642883538089E-6"/>
    <s v="Fryer thesis: freshwater aged, marine ages based on length"/>
  </r>
  <r>
    <s v="Okanagan Sockeye"/>
    <s v="1980s"/>
    <x v="7"/>
    <n v="1982"/>
    <x v="7"/>
    <n v="145546"/>
    <n v="150366"/>
    <n v="121813"/>
    <n v="45415.839999999997"/>
    <n v="0.6500234728344878"/>
    <n v="99205"/>
    <n v="97741.429516230593"/>
    <n v="45415.839999999997"/>
    <n v="6828998197.4399996"/>
    <n v="3.6577417767314418E-4"/>
    <n v="0.6500234728344878"/>
    <n v="0.58252145252856702"/>
    <n v="0.44000000000000006"/>
    <n v="0.33562099283327723"/>
    <x v="2"/>
    <n v="5"/>
    <n v="1"/>
    <n v="2.8000000000000001E-2"/>
    <n v="4210.2480000000005"/>
    <n v="8.3000000000000004E-2"/>
    <n v="2777.7400000000002"/>
    <s v="CRITFC"/>
    <n v="2736.7600264544567"/>
    <n v="191211949.52831998"/>
    <n v="8112.5386498471398"/>
    <n v="2736.7600264544567"/>
    <n v="3769.5147200000001"/>
    <n v="3.6520000000000004E-2"/>
    <n v="8.6740733562488473E-6"/>
    <s v="Fryer thesis: freshwater aged, marine ages based on length"/>
  </r>
  <r>
    <s v="Okanagan Sockeye"/>
    <s v="1980s"/>
    <x v="7"/>
    <n v="1983"/>
    <x v="9"/>
    <n v="145546"/>
    <n v="150366"/>
    <n v="121813"/>
    <n v="45415.839999999997"/>
    <n v="0.6500234728344878"/>
    <n v="99205"/>
    <n v="97741.429516230593"/>
    <n v="45415.839999999997"/>
    <n v="6828998197.4399996"/>
    <n v="3.6577417767314418E-4"/>
    <n v="0.6500234728344878"/>
    <n v="0.58252145252856702"/>
    <n v="0.44000000000000006"/>
    <n v="0.33562099283327723"/>
    <x v="3"/>
    <n v="4.0000000000000009"/>
    <n v="2"/>
    <n v="0.01"/>
    <n v="1503.66"/>
    <n v="2.3E-2"/>
    <n v="992.05000000000007"/>
    <s v="CRITFC"/>
    <n v="977.41429516230596"/>
    <n v="68289981.974399999"/>
    <n v="2248.0528788733036"/>
    <n v="977.41429516230596"/>
    <n v="1044.56432"/>
    <n v="1.0120000000000001E-2"/>
    <n v="6.730244869185853E-6"/>
    <s v="Fryer thesis: freshwater aged, marine ages based on length"/>
  </r>
  <r>
    <s v="Okanagan Sockeye"/>
    <s v="1980s"/>
    <x v="7"/>
    <n v="1982"/>
    <x v="8"/>
    <n v="145546"/>
    <n v="150366"/>
    <n v="121813"/>
    <n v="45415.839999999997"/>
    <n v="0.6500234728344878"/>
    <n v="99205"/>
    <n v="97741.429516230593"/>
    <n v="45415.839999999997"/>
    <n v="6828998197.4399996"/>
    <n v="3.6577417767314418E-4"/>
    <n v="0.6500234728344878"/>
    <n v="0.58252145252856702"/>
    <n v="0.44000000000000006"/>
    <n v="0.33562099283327723"/>
    <x v="4"/>
    <n v="5.0000000000000018"/>
    <n v="2"/>
    <n v="0.01"/>
    <n v="1503.66"/>
    <n v="1.6E-2"/>
    <n v="992.05000000000007"/>
    <s v="CRITFC"/>
    <n v="977.41429516230596"/>
    <n v="68289981.974399999"/>
    <n v="1563.8628722596895"/>
    <n v="977.41429516230596"/>
    <n v="726.65343999999993"/>
    <n v="7.0400000000000011E-3"/>
    <n v="4.6819094742162461E-6"/>
    <s v="Fryer thesis: freshwater aged, marine ages based on length"/>
  </r>
  <r>
    <s v="Okanagan Sockeye"/>
    <s v="1980s"/>
    <x v="8"/>
    <n v="1985"/>
    <x v="10"/>
    <n v="99780"/>
    <n v="100543"/>
    <n v="82911"/>
    <n v="38463.095999999998"/>
    <n v="0.78213587652764505"/>
    <n v="78388"/>
    <n v="78638.287433719015"/>
    <n v="38463.095999999998"/>
    <n v="3867195061.1279998"/>
    <n v="4.4756969654774573E-4"/>
    <n v="0.78213587652764505"/>
    <n v="0.69249582195410264"/>
    <n v="0.69"/>
    <n v="0.24521474834461049"/>
    <x v="0"/>
    <n v="3.0000000000000009"/>
    <n v="1"/>
    <n v="2E-3"/>
    <n v="201.08600000000001"/>
    <n v="2.1052631578947368E-3"/>
    <n v="156.77600000000001"/>
    <s v="CRITFC"/>
    <n v="157.27657486743803"/>
    <n v="7734390.1222559996"/>
    <n v="165.5542893341453"/>
    <n v="157.27657486743803"/>
    <n v="80.974938947368415"/>
    <n v="1.4526315789473684E-3"/>
    <n v="7.2239319442794042E-6"/>
    <s v="Fryer pers. data; Schwartzberg and Fryer 1989"/>
  </r>
  <r>
    <s v="Okanagan Sockeye"/>
    <s v="1980s"/>
    <x v="8"/>
    <n v="1984"/>
    <x v="9"/>
    <n v="99780"/>
    <n v="100543"/>
    <n v="82911"/>
    <n v="38463.095999999998"/>
    <n v="0.78213587652764505"/>
    <n v="78388"/>
    <n v="78638.287433719015"/>
    <n v="38463.095999999998"/>
    <n v="3867195061.1279998"/>
    <n v="4.4756969654774573E-4"/>
    <n v="0.78213587652764505"/>
    <n v="0.69249582195410264"/>
    <n v="0.69"/>
    <n v="0.24521474834461049"/>
    <x v="1"/>
    <n v="3.9999999999999996"/>
    <n v="1"/>
    <n v="0.96899999999999997"/>
    <n v="97426.167000000001"/>
    <n v="0.96210526315789469"/>
    <n v="75957.971999999994"/>
    <s v="CRITFC"/>
    <n v="76200.500523273717"/>
    <n v="3747312014.2330317"/>
    <n v="75658.310225704394"/>
    <n v="76200.500523273717"/>
    <n v="37005.547098947362"/>
    <n v="0.66385263157894725"/>
    <n v="6.8139048473388805E-6"/>
    <s v="Fryer pers. data; Schwartzberg and Fryer 1991"/>
  </r>
  <r>
    <s v="Okanagan Sockeye"/>
    <s v="1980s"/>
    <x v="8"/>
    <n v="1983"/>
    <x v="8"/>
    <n v="99780"/>
    <n v="100543"/>
    <n v="82911"/>
    <n v="38463.095999999998"/>
    <n v="0.78213587652764505"/>
    <n v="78388"/>
    <n v="78638.287433719015"/>
    <n v="38463.095999999998"/>
    <n v="3867195061.1279998"/>
    <n v="4.4756969654774573E-4"/>
    <n v="0.78213587652764505"/>
    <n v="0.69249582195410264"/>
    <n v="0.69"/>
    <n v="0.24521474834461049"/>
    <x v="2"/>
    <n v="5"/>
    <n v="1"/>
    <n v="1.2999999999999999E-2"/>
    <n v="1307.059"/>
    <n v="1.6842105263157894E-2"/>
    <n v="1019.044"/>
    <s v="CRITFC"/>
    <n v="1022.2977366383471"/>
    <n v="50273535.794663996"/>
    <n v="1324.4343146731624"/>
    <n v="1022.2977366383471"/>
    <n v="647.79951157894732"/>
    <n v="1.1621052631578947E-2"/>
    <n v="8.8909931621900374E-6"/>
    <s v="Fryer pers. data; Schwartzberg and Fryer 1993"/>
  </r>
  <r>
    <s v="Okanagan Sockeye"/>
    <s v="1980s"/>
    <x v="8"/>
    <n v="1984"/>
    <x v="10"/>
    <n v="99780"/>
    <n v="100543"/>
    <n v="82911"/>
    <n v="38463.095999999998"/>
    <n v="0.78213587652764505"/>
    <n v="78388"/>
    <n v="78638.287433719015"/>
    <n v="38463.095999999998"/>
    <n v="3867195061.1279998"/>
    <n v="4.4756969654774573E-4"/>
    <n v="0.78213587652764505"/>
    <n v="0.69249582195410264"/>
    <n v="0.69"/>
    <n v="0.24521474834461049"/>
    <x v="3"/>
    <n v="4.0000000000000009"/>
    <n v="2"/>
    <n v="0.01"/>
    <n v="1005.4300000000001"/>
    <n v="1.2631578947368421E-2"/>
    <n v="783.88"/>
    <s v="CRITFC"/>
    <n v="786.38287433719017"/>
    <n v="38671950.611280002"/>
    <n v="993.32573600487171"/>
    <n v="786.38287433719017"/>
    <n v="485.84963368421046"/>
    <n v="8.7157894736842097E-3"/>
    <n v="8.6687183331352847E-6"/>
    <s v="Fryer pers. data; Schwartzberg and Fryer 1990"/>
  </r>
  <r>
    <s v="Okanagan Sockeye"/>
    <s v="1980s"/>
    <x v="8"/>
    <n v="1983"/>
    <x v="9"/>
    <n v="99780"/>
    <n v="100543"/>
    <n v="82911"/>
    <n v="38463.095999999998"/>
    <n v="0.78213587652764505"/>
    <n v="78388"/>
    <n v="78638.287433719015"/>
    <n v="38463.095999999998"/>
    <n v="3867195061.1279998"/>
    <n v="4.4756969654774573E-4"/>
    <n v="0.78213587652764505"/>
    <n v="0.69249582195410264"/>
    <n v="0.69"/>
    <n v="0.24521474834461049"/>
    <x v="4"/>
    <n v="5.0000000000000018"/>
    <n v="2"/>
    <n v="6.0000000000000001E-3"/>
    <n v="603.25800000000004"/>
    <n v="6.3157894736842104E-3"/>
    <n v="470.32800000000003"/>
    <s v="CRITFC"/>
    <n v="471.82972460231412"/>
    <n v="23203170.366767999"/>
    <n v="496.66286800243586"/>
    <n v="471.82972460231412"/>
    <n v="242.92481684210523"/>
    <n v="4.3578947368421049E-3"/>
    <n v="7.2239319442794042E-6"/>
    <s v="Fryer pers. data; Schwartzberg and Fryer 1992"/>
  </r>
  <r>
    <s v="Okanagan Sockeye"/>
    <s v="1980s"/>
    <x v="9"/>
    <n v="1986"/>
    <x v="11"/>
    <n v="47478"/>
    <n v="43470"/>
    <n v="43434"/>
    <n v="18084.831999999999"/>
    <n v="0.48406937901498925"/>
    <n v="18256"/>
    <n v="21042.495905781583"/>
    <n v="18084.831999999999"/>
    <n v="786147647.03999996"/>
    <n v="9.2017483321831149E-5"/>
    <n v="0.48406937901498925"/>
    <n v="0.42991308091816688"/>
    <n v="0.41499999999999992"/>
    <n v="9.0528157664502465E-2"/>
    <x v="0"/>
    <n v="3.0000000000000009"/>
    <n v="1"/>
    <n v="0.03"/>
    <n v="1304.0999999999999"/>
    <n v="3.325942350332594E-2"/>
    <n v="547.67999999999995"/>
    <s v="CRITFC"/>
    <n v="631.27487717344752"/>
    <n v="23584429.411199998"/>
    <n v="699.86128289739179"/>
    <n v="631.27487717344752"/>
    <n v="601.491086474501"/>
    <n v="1.3802660753880262E-2"/>
    <n v="1.0584050880975586E-5"/>
    <s v="Fryer pers. data: Fryer and Schwartzberg 1990"/>
  </r>
  <r>
    <s v="Okanagan Sockeye"/>
    <s v="1980s"/>
    <x v="9"/>
    <n v="1985"/>
    <x v="10"/>
    <n v="47478"/>
    <n v="43470"/>
    <n v="43434"/>
    <n v="18084.831999999999"/>
    <n v="0.48406937901498925"/>
    <n v="18256"/>
    <n v="21042.495905781583"/>
    <n v="18084.831999999999"/>
    <n v="786147647.03999996"/>
    <n v="9.2017483321831149E-5"/>
    <n v="0.48406937901498925"/>
    <n v="0.42991308091816688"/>
    <n v="0.41499999999999992"/>
    <n v="9.0528157664502465E-2"/>
    <x v="1"/>
    <n v="3.9999999999999996"/>
    <n v="1"/>
    <n v="0.93100000000000005"/>
    <n v="40470.57"/>
    <n v="0.92904656319290468"/>
    <n v="16996.335999999999"/>
    <s v="CRITFC"/>
    <n v="19590.563688282655"/>
    <n v="731903459.39424002"/>
    <n v="19549.458502267149"/>
    <n v="19590.563688282655"/>
    <n v="16801.651015521064"/>
    <n v="0.38555432372505538"/>
    <n v="9.5267826404484884E-6"/>
    <s v="Fryer pers. data: Fryer and Schwartzberg 1990"/>
  </r>
  <r>
    <s v="Okanagan Sockeye"/>
    <s v="1980s"/>
    <x v="9"/>
    <n v="1984"/>
    <x v="9"/>
    <n v="47478"/>
    <n v="43470"/>
    <n v="43434"/>
    <n v="18084.831999999999"/>
    <n v="0.48406937901498925"/>
    <n v="18256"/>
    <n v="21042.495905781583"/>
    <n v="18084.831999999999"/>
    <n v="786147647.03999996"/>
    <n v="9.2017483321831149E-5"/>
    <n v="0.48406937901498925"/>
    <n v="0.42991308091816688"/>
    <n v="0.41499999999999992"/>
    <n v="9.0528157664502465E-2"/>
    <x v="2"/>
    <n v="5"/>
    <n v="1"/>
    <n v="2.7E-2"/>
    <n v="1173.69"/>
    <n v="2.6607538802660754E-2"/>
    <n v="492.91199999999998"/>
    <s v="CRITFC"/>
    <n v="568.1473894561027"/>
    <n v="21225986.470079999"/>
    <n v="559.88902631791348"/>
    <n v="568.1473894561027"/>
    <n v="481.19286917960085"/>
    <n v="1.1042128603104211E-2"/>
    <n v="9.4080452275338546E-6"/>
    <s v="Fryer pers. data: Fryer and Schwartzberg 1990"/>
  </r>
  <r>
    <s v="Okanagan Sockeye"/>
    <s v="1980s"/>
    <x v="9"/>
    <n v="1985"/>
    <x v="11"/>
    <n v="47478"/>
    <n v="43470"/>
    <n v="43434"/>
    <n v="18084.831999999999"/>
    <n v="0.48406937901498925"/>
    <n v="18256"/>
    <n v="21042.495905781583"/>
    <n v="18084.831999999999"/>
    <n v="786147647.03999996"/>
    <n v="9.2017483321831149E-5"/>
    <n v="0.48406937901498925"/>
    <n v="0.42991308091816688"/>
    <n v="0.41499999999999992"/>
    <n v="9.0528157664502465E-2"/>
    <x v="3"/>
    <n v="4.0000000000000009"/>
    <n v="2"/>
    <n v="6.0000000000000001E-3"/>
    <n v="260.82"/>
    <n v="6.6518847006651885E-3"/>
    <n v="109.536"/>
    <s v="CRITFC"/>
    <n v="126.2549754346895"/>
    <n v="4716885.8822400002"/>
    <n v="139.97225657947837"/>
    <n v="126.2549754346895"/>
    <n v="120.29821729490021"/>
    <n v="2.7605321507760527E-3"/>
    <n v="1.0584050880975588E-5"/>
    <s v="Fryer pers. data: Fryer and Schwartzberg 1990"/>
  </r>
  <r>
    <s v="Okanagan Sockeye"/>
    <s v="1980s"/>
    <x v="9"/>
    <n v="1984"/>
    <x v="10"/>
    <n v="47478"/>
    <n v="43470"/>
    <n v="43434"/>
    <n v="18084.831999999999"/>
    <n v="0.48406937901498925"/>
    <n v="18256"/>
    <n v="21042.495905781583"/>
    <n v="18084.831999999999"/>
    <n v="786147647.03999996"/>
    <n v="9.2017483321831149E-5"/>
    <n v="0.48406937901498925"/>
    <n v="0.42991308091816688"/>
    <n v="0.41499999999999992"/>
    <n v="9.0528157664502465E-2"/>
    <x v="4"/>
    <n v="5.0000000000000018"/>
    <n v="2"/>
    <n v="5.0000000000000001E-3"/>
    <n v="217.35"/>
    <n v="4.434589800443459E-3"/>
    <n v="91.28"/>
    <s v="CRITFC"/>
    <n v="105.21247952890792"/>
    <n v="3930738.2352"/>
    <n v="93.31483771965226"/>
    <n v="105.21247952890792"/>
    <n v="80.198811529933479"/>
    <n v="1.840354767184035E-3"/>
    <n v="8.4672407047804691E-6"/>
    <s v="Fryer pers. data: Fryer and Schwartzberg 1990"/>
  </r>
  <r>
    <s v="Okanagan Sockeye"/>
    <s v="1980s"/>
    <x v="10"/>
    <n v="1987"/>
    <x v="12"/>
    <n v="49754"/>
    <n v="51639"/>
    <n v="51466"/>
    <n v="8613.387999999999"/>
    <n v="0.19512466302698048"/>
    <n v="12393"/>
    <n v="10076.042474050244"/>
    <n v="8613.387999999999"/>
    <n v="444786742.93199992"/>
    <n v="1.9365208466469142E-5"/>
    <n v="0.19512466302698048"/>
    <n v="0.18606498026300422"/>
    <n v="0.25"/>
    <n v="8.9495977927175216E-2"/>
    <x v="0"/>
    <n v="3.0000000000000009"/>
    <n v="1"/>
    <n v="0.45200000000000001"/>
    <n v="23340.828000000001"/>
    <n v="0.58128078817733986"/>
    <n v="5601.6360000000004"/>
    <s v="CRITFC"/>
    <n v="4554.37119827071"/>
    <n v="201043607.80526397"/>
    <n v="5857.0099110242791"/>
    <n v="4554.37119827071"/>
    <n v="5006.7969655172401"/>
    <n v="0.14532019704433496"/>
    <n v="6.2260086507785825E-6"/>
    <s v="Fryer pers. data: Fryer and Schwartzberg 1991"/>
  </r>
  <r>
    <s v="Okanagan Sockeye"/>
    <s v="1980s"/>
    <x v="10"/>
    <n v="1986"/>
    <x v="11"/>
    <n v="49754"/>
    <n v="51639"/>
    <n v="51466"/>
    <n v="8613.387999999999"/>
    <n v="0.19512466302698048"/>
    <n v="12393"/>
    <n v="10076.042474050244"/>
    <n v="8613.387999999999"/>
    <n v="444786742.93199992"/>
    <n v="1.9365208466469142E-5"/>
    <n v="0.19512466302698048"/>
    <n v="0.18606498026300422"/>
    <n v="0.25"/>
    <n v="8.9495977927175216E-2"/>
    <x v="1"/>
    <n v="3.9999999999999996"/>
    <n v="1"/>
    <n v="0.26200000000000001"/>
    <n v="13529.418"/>
    <n v="0.25123152709359609"/>
    <n v="3246.9660000000003"/>
    <s v="CRITFC"/>
    <n v="2639.9231282011642"/>
    <n v="116534126.64818399"/>
    <n v="2531.4195378155787"/>
    <n v="2639.9231282011642"/>
    <n v="2163.9546206896553"/>
    <n v="6.2807881773399021E-2"/>
    <n v="4.6423195567909143E-6"/>
    <s v="Fryer pers. data: Fryer and Schwartzberg 1991"/>
  </r>
  <r>
    <s v="Okanagan Sockeye"/>
    <s v="1980s"/>
    <x v="10"/>
    <n v="1985"/>
    <x v="10"/>
    <n v="49754"/>
    <n v="51639"/>
    <n v="51466"/>
    <n v="8613.387999999999"/>
    <n v="0.19512466302698048"/>
    <n v="12393"/>
    <n v="10076.042474050244"/>
    <n v="8613.387999999999"/>
    <n v="444786742.93199992"/>
    <n v="1.9365208466469142E-5"/>
    <n v="0.19512466302698048"/>
    <n v="0.18606498026300422"/>
    <n v="0.25"/>
    <n v="8.9495977927175216E-2"/>
    <x v="2"/>
    <n v="5"/>
    <n v="1"/>
    <n v="0.22600000000000001"/>
    <n v="11670.414000000001"/>
    <n v="0.10591133004926108"/>
    <n v="2800.8180000000002"/>
    <s v="CRITFC"/>
    <n v="2277.185599135355"/>
    <n v="100521803.90263198"/>
    <n v="1067.1670600595085"/>
    <n v="2277.185599135355"/>
    <n v="912.25537931034467"/>
    <n v="2.647783251231527E-2"/>
    <n v="2.2687997625718565E-6"/>
    <s v="Fryer pers. data: Fryer and Schwartzberg 1991"/>
  </r>
  <r>
    <s v="Okanagan Sockeye"/>
    <s v="1980s"/>
    <x v="10"/>
    <n v="1986"/>
    <x v="12"/>
    <n v="49754"/>
    <n v="51639"/>
    <n v="51466"/>
    <n v="8613.387999999999"/>
    <n v="0.19512466302698048"/>
    <n v="12393"/>
    <n v="10076.042474050244"/>
    <n v="8613.387999999999"/>
    <n v="444786742.93199992"/>
    <n v="1.9365208466469142E-5"/>
    <n v="0.19512466302698048"/>
    <n v="0.18606498026300422"/>
    <n v="0.25"/>
    <n v="8.9495977927175216E-2"/>
    <x v="3"/>
    <n v="4.0000000000000009"/>
    <n v="2"/>
    <n v="1.9E-2"/>
    <n v="981.14099999999996"/>
    <n v="2.4630541871921183E-2"/>
    <n v="235.46699999999998"/>
    <s v="CRITFC"/>
    <n v="191.44480700695462"/>
    <n v="8450948.1157079991"/>
    <n v="248.17838606035085"/>
    <n v="191.44480700695462"/>
    <n v="212.15241379310342"/>
    <n v="6.1576354679802959E-3"/>
    <n v="6.2759944472611949E-6"/>
    <s v="Fryer pers. data: Fryer and Schwartzberg 1991"/>
  </r>
  <r>
    <s v="Okanagan Sockeye"/>
    <s v="1980s"/>
    <x v="10"/>
    <n v="1985"/>
    <x v="11"/>
    <n v="49754"/>
    <n v="51639"/>
    <n v="51466"/>
    <n v="8613.387999999999"/>
    <n v="0.19512466302698048"/>
    <n v="12393"/>
    <n v="10076.042474050244"/>
    <n v="8613.387999999999"/>
    <n v="444786742.93199992"/>
    <n v="1.9365208466469142E-5"/>
    <n v="0.19512466302698048"/>
    <n v="0.18606498026300422"/>
    <n v="0.25"/>
    <n v="8.9495977927175216E-2"/>
    <x v="4"/>
    <n v="5.0000000000000018"/>
    <n v="2"/>
    <n v="3.5000000000000003E-2"/>
    <n v="1807.3650000000002"/>
    <n v="2.9556650246305417E-2"/>
    <n v="433.75500000000005"/>
    <s v="CRITFC"/>
    <n v="352.66148659175855"/>
    <n v="15567536.002619999"/>
    <n v="297.81406327242098"/>
    <n v="352.66148659175855"/>
    <n v="254.5828965517241"/>
    <n v="7.3891625615763543E-3"/>
    <n v="4.0883620970730063E-6"/>
    <s v="Fryer pers. data: Fryer and Schwartzberg 1991"/>
  </r>
  <r>
    <s v="Okanagan Sockeye"/>
    <s v="1980s"/>
    <x v="10"/>
    <n v="1984"/>
    <x v="10"/>
    <n v="49754"/>
    <n v="51639"/>
    <n v="51466"/>
    <n v="8613.387999999999"/>
    <n v="0.19512466302698048"/>
    <n v="12393"/>
    <n v="10076.042474050244"/>
    <n v="8613.387999999999"/>
    <n v="444786742.93199992"/>
    <n v="1.9365208466469142E-5"/>
    <n v="0.19512466302698048"/>
    <n v="0.18606498026300422"/>
    <n v="0.25"/>
    <n v="8.9495977927175216E-2"/>
    <x v="5"/>
    <n v="5.9999999999999982"/>
    <n v="2"/>
    <n v="6.0000000000000001E-3"/>
    <n v="309.834"/>
    <n v="5.6650246305418716E-3"/>
    <n v="74.358000000000004"/>
    <s v="CRITFC"/>
    <n v="60.456254844301462"/>
    <n v="2668720.4575919998"/>
    <n v="57.081028793880691"/>
    <n v="60.456254844301462"/>
    <n v="48.795055172413782"/>
    <n v="1.4162561576354679E-3"/>
    <n v="4.5710159557552361E-6"/>
    <s v="Fryer pers. data: Fryer and Schwartzberg 1991"/>
  </r>
  <r>
    <s v="Okanagan Sockeye"/>
    <s v="1990s"/>
    <x v="11"/>
    <n v="1988"/>
    <x v="13"/>
    <n v="76484"/>
    <n v="79540"/>
    <n v="79537"/>
    <n v="31118.679999999997"/>
    <n v="0.50095268758350897"/>
    <n v="39765"/>
    <n v="39845.776770392302"/>
    <n v="31118.679999999997"/>
    <n v="2475179807.1999998"/>
    <n v="1.2572290671360322E-4"/>
    <n v="0.50095268758350897"/>
    <n v="0.44221024692351002"/>
    <n v="0.53000000000000014"/>
    <n v="0.17774117706224776"/>
    <x v="0"/>
    <n v="3.0000000000000009"/>
    <n v="1"/>
    <n v="0.154"/>
    <n v="12249.16"/>
    <n v="0.14497041420118342"/>
    <n v="6123.8099999999995"/>
    <s v="CRITFC"/>
    <n v="6136.2496226404146"/>
    <n v="381177690.30879998"/>
    <n v="5776.4587625716649"/>
    <n v="6136.2496226404146"/>
    <n v="4511.287928994082"/>
    <n v="7.683431952662724E-2"/>
    <n v="6.2726194715904801E-6"/>
    <s v="Fryer pers data; Fryer et al 1992"/>
  </r>
  <r>
    <s v="Okanagan Sockeye"/>
    <s v="1980s"/>
    <x v="11"/>
    <n v="1987"/>
    <x v="12"/>
    <n v="76484"/>
    <n v="79540"/>
    <n v="79537"/>
    <n v="31118.679999999997"/>
    <n v="0.50095268758350897"/>
    <n v="39765"/>
    <n v="39845.776770392302"/>
    <n v="31118.679999999997"/>
    <n v="2475179807.1999998"/>
    <n v="1.2572290671360322E-4"/>
    <n v="0.50095268758350897"/>
    <n v="0.44221024692351002"/>
    <n v="0.53000000000000014"/>
    <n v="0.17774117706224776"/>
    <x v="1"/>
    <n v="3.9999999999999996"/>
    <n v="1"/>
    <n v="0.76"/>
    <n v="60450.400000000001"/>
    <n v="0.78402366863905326"/>
    <n v="30221.4"/>
    <s v="CRITFC"/>
    <n v="30282.79034549815"/>
    <n v="1881136653.4719999"/>
    <n v="31240.03208329574"/>
    <n v="30282.79034549815"/>
    <n v="24397.781656804731"/>
    <n v="0.41553254437869835"/>
    <n v="6.873942014919642E-6"/>
    <s v="Fryer pers data; Fryer et al 1992"/>
  </r>
  <r>
    <s v="Okanagan Sockeye"/>
    <s v="1980s"/>
    <x v="11"/>
    <n v="1986"/>
    <x v="11"/>
    <n v="76484"/>
    <n v="79540"/>
    <n v="79537"/>
    <n v="31118.679999999997"/>
    <n v="0.50095268758350897"/>
    <n v="39765"/>
    <n v="39845.776770392302"/>
    <n v="31118.679999999997"/>
    <n v="2475179807.1999998"/>
    <n v="1.2572290671360322E-4"/>
    <n v="0.50095268758350897"/>
    <n v="0.44221024692351002"/>
    <n v="0.53000000000000014"/>
    <n v="0.17774117706224776"/>
    <x v="2"/>
    <n v="5"/>
    <n v="1"/>
    <n v="1.4999999999999999E-2"/>
    <n v="1193.0999999999999"/>
    <n v="1.7751479289940829E-2"/>
    <n v="596.47500000000002"/>
    <s v="CRITFC"/>
    <n v="597.68665155588451"/>
    <n v="37127697.107999995"/>
    <n v="707.32148113122435"/>
    <n v="597.68665155588451"/>
    <n v="552.40260355029579"/>
    <n v="9.4082840236686411E-3"/>
    <n v="7.8855787642851748E-6"/>
    <s v="Fryer pers data; Fryer et al 1992"/>
  </r>
  <r>
    <s v="Okanagan Sockeye"/>
    <s v="1990s"/>
    <x v="11"/>
    <n v="1987"/>
    <x v="13"/>
    <n v="76484"/>
    <n v="79540"/>
    <n v="79537"/>
    <n v="31118.679999999997"/>
    <n v="0.50095268758350897"/>
    <n v="39765"/>
    <n v="39845.776770392302"/>
    <n v="31118.679999999997"/>
    <n v="2475179807.1999998"/>
    <n v="1.2572290671360322E-4"/>
    <n v="0.50095268758350897"/>
    <n v="0.44221024692351002"/>
    <n v="0.53000000000000014"/>
    <n v="0.17774117706224776"/>
    <x v="3"/>
    <n v="4.0000000000000009"/>
    <n v="2"/>
    <n v="6.7000000000000004E-2"/>
    <n v="5329.18"/>
    <n v="5.0295857988165681E-2"/>
    <n v="2664.2550000000001"/>
    <s v="CRITFC"/>
    <n v="2669.6670436162844"/>
    <n v="165837047.08239999"/>
    <n v="2004.0775298718022"/>
    <n v="2669.6670436162844"/>
    <n v="1565.1407100591714"/>
    <n v="2.6656804733727817E-2"/>
    <n v="5.0020462310764162E-6"/>
    <s v="Fryer pers data; Fryer et al 1992"/>
  </r>
  <r>
    <s v="Okanagan Sockeye"/>
    <s v="1980s"/>
    <x v="11"/>
    <n v="1986"/>
    <x v="12"/>
    <n v="76484"/>
    <n v="79540"/>
    <n v="79537"/>
    <n v="31118.679999999997"/>
    <n v="0.50095268758350897"/>
    <n v="39765"/>
    <n v="39845.776770392302"/>
    <n v="31118.679999999997"/>
    <n v="2475179807.1999998"/>
    <n v="1.2572290671360322E-4"/>
    <n v="0.50095268758350897"/>
    <n v="0.44221024692351002"/>
    <n v="0.53000000000000014"/>
    <n v="0.17774117706224776"/>
    <x v="4"/>
    <n v="5.0000000000000018"/>
    <n v="2"/>
    <n v="1E-3"/>
    <n v="79.540000000000006"/>
    <n v="2.9585798816568047E-3"/>
    <n v="39.765000000000001"/>
    <s v="CRITFC"/>
    <n v="39.845776770392305"/>
    <n v="2475179.8071999997"/>
    <n v="117.88691352187071"/>
    <n v="39.845776770392305"/>
    <n v="92.06710059171597"/>
    <n v="1.5680473372781068E-3"/>
    <n v="1.9713946910712932E-5"/>
    <s v="Fryer pers data; Fryer et al 1992"/>
  </r>
  <r>
    <s v="Okanagan Sockeye"/>
    <s v="1980s"/>
    <x v="11"/>
    <n v="1986"/>
    <x v="12"/>
    <n v="76484"/>
    <n v="79540"/>
    <n v="79537"/>
    <n v="31118.679999999997"/>
    <n v="0.50095268758350897"/>
    <n v="39765"/>
    <n v="39845.776770392302"/>
    <n v="31118.679999999997"/>
    <n v="2475179807.1999998"/>
    <n v="1.2572290671360322E-4"/>
    <n v="0.50095268758350897"/>
    <n v="0.44221024692351002"/>
    <n v="0.53000000000000014"/>
    <n v="0.17774117706224776"/>
    <x v="5"/>
    <n v="5.9999999999999982"/>
    <n v="2"/>
    <n v="3.0000000000000001E-3"/>
    <n v="238.62"/>
    <n v="1.7751479289940801E-2"/>
    <n v="119.295"/>
    <s v="CRITFC"/>
    <n v="119.5373303111769"/>
    <n v="7425539.4216"/>
    <n v="707.32148113122321"/>
    <n v="119.5373303111769"/>
    <n v="552.402603550295"/>
    <n v="9.4082840236686272E-3"/>
    <n v="3.942789382142581E-5"/>
    <s v="Fryer pers data; Fryer et al 1992"/>
  </r>
  <r>
    <s v="Okanagan Sockeye"/>
    <s v="1990s"/>
    <x v="12"/>
    <n v="1989"/>
    <x v="14"/>
    <n v="85000"/>
    <n v="88427"/>
    <n v="88419"/>
    <n v="47488.531999999992"/>
    <n v="0.69469319328837453"/>
    <n v="60990"/>
    <n v="61429.635002911098"/>
    <n v="47488.531999999992"/>
    <n v="4199268419.1639991"/>
    <n v="3.958067106200595E-4"/>
    <n v="0.69469319328837453"/>
    <n v="0.58903167877886586"/>
    <n v="0.63"/>
    <n v="0.20176658862914079"/>
    <x v="0"/>
    <n v="3.0000000000000009"/>
    <n v="1"/>
    <n v="0.16900000000000001"/>
    <n v="14944.163"/>
    <n v="0.182"/>
    <n v="10307.310000000001"/>
    <s v="CRITFC"/>
    <n v="10381.608315491976"/>
    <n v="709676362.83871591"/>
    <n v="11180.19357052982"/>
    <n v="10381.608315491976"/>
    <n v="8642.9128239999991"/>
    <n v="0.11466"/>
    <n v="7.6725608520196138E-6"/>
    <s v="Fryer personal data; Fryer and Schwartzberg 1993"/>
  </r>
  <r>
    <s v="Okanagan Sockeye"/>
    <s v="1990s"/>
    <x v="12"/>
    <n v="1988"/>
    <x v="13"/>
    <n v="85000"/>
    <n v="88427"/>
    <n v="88419"/>
    <n v="47488.531999999992"/>
    <n v="0.69469319328837453"/>
    <n v="60990"/>
    <n v="61429.635002911098"/>
    <n v="47488.531999999992"/>
    <n v="4199268419.1639991"/>
    <n v="3.958067106200595E-4"/>
    <n v="0.69469319328837453"/>
    <n v="0.58903167877886586"/>
    <n v="0.63"/>
    <n v="0.20176658862914079"/>
    <x v="1"/>
    <n v="3.9999999999999996"/>
    <n v="1"/>
    <n v="0.73299999999999998"/>
    <n v="64816.991000000002"/>
    <n v="0.72199999999999998"/>
    <n v="44705.67"/>
    <s v="CRITFC"/>
    <n v="45027.922457133835"/>
    <n v="3078063751.2472115"/>
    <n v="44352.196472101808"/>
    <n v="45027.922457133835"/>
    <n v="34286.720103999993"/>
    <n v="0.45485999999999999"/>
    <n v="7.0176043809253654E-6"/>
    <s v="Fryer personal data; Fryer and Schwartzberg 1993"/>
  </r>
  <r>
    <s v="Okanagan Sockeye"/>
    <s v="1980s"/>
    <x v="12"/>
    <n v="1987"/>
    <x v="12"/>
    <n v="85000"/>
    <n v="88427"/>
    <n v="88419"/>
    <n v="47488.531999999992"/>
    <n v="0.69469319328837453"/>
    <n v="60990"/>
    <n v="61429.635002911098"/>
    <n v="47488.531999999992"/>
    <n v="4199268419.1639991"/>
    <n v="3.958067106200595E-4"/>
    <n v="0.69469319328837453"/>
    <n v="0.58903167877886586"/>
    <n v="0.63"/>
    <n v="0.20176658862914079"/>
    <x v="2"/>
    <n v="5"/>
    <n v="1"/>
    <n v="1.4E-2"/>
    <n v="1237.9780000000001"/>
    <n v="1.6E-2"/>
    <n v="853.86"/>
    <s v="CRITFC"/>
    <n v="860.0148900407554"/>
    <n v="58789757.86829599"/>
    <n v="982.87416004657757"/>
    <n v="860.0148900407554"/>
    <n v="759.81651199999988"/>
    <n v="1.008E-2"/>
    <n v="8.1423094756126519E-6"/>
    <s v="Fryer personal data; Fryer and Schwartzberg 1993"/>
  </r>
  <r>
    <s v="Okanagan Sockeye"/>
    <s v="1990s"/>
    <x v="12"/>
    <n v="1988"/>
    <x v="14"/>
    <n v="85000"/>
    <n v="88427"/>
    <n v="88419"/>
    <n v="47488.531999999992"/>
    <n v="0.69469319328837453"/>
    <n v="60990"/>
    <n v="61429.635002911098"/>
    <n v="47488.531999999992"/>
    <n v="4199268419.1639991"/>
    <n v="3.958067106200595E-4"/>
    <n v="0.69469319328837453"/>
    <n v="0.58903167877886586"/>
    <n v="0.63"/>
    <n v="0.20176658862914079"/>
    <x v="3"/>
    <n v="4.0000000000000009"/>
    <n v="2"/>
    <n v="7.0000000000000007E-2"/>
    <n v="6189.89"/>
    <n v="6.9000000000000006E-2"/>
    <n v="4269.3"/>
    <s v="CRITFC"/>
    <n v="4300.0744502037769"/>
    <n v="293948789.34147996"/>
    <n v="4238.6448152008661"/>
    <n v="4300.0744502037769"/>
    <n v="3276.7087079999997"/>
    <n v="4.3470000000000002E-2"/>
    <n v="7.0227419227159122E-6"/>
    <s v="Fryer personal data; Fryer and Schwartzberg 1993"/>
  </r>
  <r>
    <s v="Okanagan Sockeye"/>
    <s v="1990s"/>
    <x v="12"/>
    <n v="1987"/>
    <x v="13"/>
    <n v="85000"/>
    <n v="88427"/>
    <n v="88419"/>
    <n v="47488.531999999992"/>
    <n v="0.69469319328837453"/>
    <n v="60990"/>
    <n v="61429.635002911098"/>
    <n v="47488.531999999992"/>
    <n v="4199268419.1639991"/>
    <n v="3.958067106200595E-4"/>
    <n v="0.69469319328837453"/>
    <n v="0.58903167877886586"/>
    <n v="0.63"/>
    <n v="0.20176658862914079"/>
    <x v="4"/>
    <n v="5.0000000000000018"/>
    <n v="2"/>
    <n v="1.4E-2"/>
    <n v="1237.9780000000001"/>
    <n v="1.0999999999999999E-2"/>
    <n v="853.86"/>
    <s v="CRITFC"/>
    <n v="860.0148900407554"/>
    <n v="58789757.86829599"/>
    <n v="675.72598503202209"/>
    <n v="860.0148900407554"/>
    <n v="522.37385199999983"/>
    <n v="6.9299999999999995E-3"/>
    <n v="5.5978377644836975E-6"/>
    <s v="Fryer personal data; Fryer and Schwartzberg 1993"/>
  </r>
  <r>
    <s v="Okanagan Sockeye"/>
    <s v="1990s"/>
    <x v="13"/>
    <n v="1990"/>
    <x v="15"/>
    <n v="88025"/>
    <n v="83459"/>
    <n v="83395"/>
    <n v="31525.067999999996"/>
    <n v="0.48034539082736549"/>
    <n v="40052"/>
    <n v="40089.145973061095"/>
    <n v="31525.067999999996"/>
    <n v="2631050650.2119994"/>
    <n v="2.15674762458213E-4"/>
    <n v="0.48034539082736549"/>
    <n v="0.42734137581729442"/>
    <n v="0.57999999999999996"/>
    <n v="0.15261106780982073"/>
    <x v="0"/>
    <n v="3.0000000000000009"/>
    <n v="1"/>
    <n v="0"/>
    <n v="0"/>
    <n v="0"/>
    <n v="0"/>
    <s v="CRITFC"/>
    <n v="0"/>
    <n v="0"/>
    <n v="0"/>
    <n v="0"/>
    <n v="0"/>
    <n v="0"/>
    <n v="0"/>
    <s v="Jeff Fryer, pers.data &amp; Fryer &amp; Schwartzberg 1994"/>
  </r>
  <r>
    <s v="Okanagan Sockeye"/>
    <s v="1990s"/>
    <x v="13"/>
    <n v="1989"/>
    <x v="14"/>
    <n v="88025"/>
    <n v="83459"/>
    <n v="83395"/>
    <n v="31525.067999999996"/>
    <n v="0.48034539082736549"/>
    <n v="40052"/>
    <n v="40089.145973061095"/>
    <n v="31525.067999999996"/>
    <n v="2631050650.2119994"/>
    <n v="2.15674762458213E-4"/>
    <n v="0.48034539082736549"/>
    <n v="0.42734137581729442"/>
    <n v="0.57999999999999996"/>
    <n v="0.15261106780982073"/>
    <x v="1"/>
    <n v="3.9999999999999996"/>
    <n v="1"/>
    <n v="0.88700000000000001"/>
    <n v="74028.133000000002"/>
    <n v="0.89700000000000002"/>
    <n v="35526.124000000003"/>
    <s v="CRITFC"/>
    <n v="35559.07247810519"/>
    <n v="2333741926.7380433"/>
    <n v="35959.963937835804"/>
    <n v="35559.07247810519"/>
    <n v="28277.985995999996"/>
    <n v="0.52025999999999994"/>
    <n v="7.0278687158029493E-6"/>
    <s v="Jeff Fryer, pers.data &amp; Fryer &amp; Schwartzberg 1994"/>
  </r>
  <r>
    <s v="Okanagan Sockeye"/>
    <s v="1990s"/>
    <x v="13"/>
    <n v="1988"/>
    <x v="13"/>
    <n v="88025"/>
    <n v="83459"/>
    <n v="83395"/>
    <n v="31525.067999999996"/>
    <n v="0.48034539082736549"/>
    <n v="40052"/>
    <n v="40089.145973061095"/>
    <n v="31525.067999999996"/>
    <n v="2631050650.2119994"/>
    <n v="2.15674762458213E-4"/>
    <n v="0.48034539082736549"/>
    <n v="0.42734137581729442"/>
    <n v="0.57999999999999996"/>
    <n v="0.15261106780982073"/>
    <x v="2"/>
    <n v="5"/>
    <n v="1"/>
    <n v="5.2999999999999999E-2"/>
    <n v="4423.3270000000002"/>
    <n v="4.8000000000000001E-2"/>
    <n v="2122.7559999999999"/>
    <s v="CRITFC"/>
    <n v="2124.7247365722378"/>
    <n v="139445684.46123597"/>
    <n v="1924.2790067069327"/>
    <n v="2124.7247365722378"/>
    <n v="1513.2032639999998"/>
    <n v="2.784E-2"/>
    <n v="6.2939050176484798E-6"/>
    <s v="Jeff Fryer, pers.data &amp; Fryer &amp; Schwartzberg 1994"/>
  </r>
  <r>
    <s v="Okanagan Sockeye"/>
    <s v="1990s"/>
    <x v="13"/>
    <n v="1989"/>
    <x v="15"/>
    <n v="88025"/>
    <n v="83459"/>
    <n v="83395"/>
    <n v="31525.067999999996"/>
    <n v="0.48034539082736549"/>
    <n v="40052"/>
    <n v="40089.145973061095"/>
    <n v="31525.067999999996"/>
    <n v="2631050650.2119994"/>
    <n v="2.15674762458213E-4"/>
    <n v="0.48034539082736549"/>
    <n v="0.42734137581729442"/>
    <n v="0.57999999999999996"/>
    <n v="0.15261106780982073"/>
    <x v="3"/>
    <n v="4.0000000000000009"/>
    <n v="2"/>
    <n v="2E-3"/>
    <n v="166.91800000000001"/>
    <n v="4.0000000000000001E-3"/>
    <n v="80.103999999999999"/>
    <s v="CRITFC"/>
    <n v="80.178291946122187"/>
    <n v="5262101.3004239993"/>
    <n v="160.35658389224437"/>
    <n v="80.178291946122187"/>
    <n v="126.10027199999999"/>
    <n v="2.32E-3"/>
    <n v="1.3899040247307061E-5"/>
    <s v="Jeff Fryer, pers.data &amp; Fryer &amp; Schwartzberg 1994"/>
  </r>
  <r>
    <s v="Okanagan Sockeye"/>
    <s v="1990s"/>
    <x v="13"/>
    <n v="1988"/>
    <x v="14"/>
    <n v="88025"/>
    <n v="83459"/>
    <n v="83395"/>
    <n v="31525.067999999996"/>
    <n v="0.48034539082736549"/>
    <n v="40052"/>
    <n v="40089.145973061095"/>
    <n v="31525.067999999996"/>
    <n v="2631050650.2119994"/>
    <n v="2.15674762458213E-4"/>
    <n v="0.48034539082736549"/>
    <n v="0.42734137581729442"/>
    <n v="0.57999999999999996"/>
    <n v="0.15261106780982073"/>
    <x v="4"/>
    <n v="5.0000000000000018"/>
    <n v="2"/>
    <n v="5.7000000000000002E-2"/>
    <n v="4757.1630000000005"/>
    <n v="0.05"/>
    <n v="2282.9639999999999"/>
    <s v="CRITFC"/>
    <n v="2285.0813204644824"/>
    <n v="149969887.06208396"/>
    <n v="2004.4572986530547"/>
    <n v="2285.0813204644824"/>
    <n v="1576.2533999999998"/>
    <n v="2.8999999999999998E-2"/>
    <n v="6.0960702839066046E-6"/>
    <s v="Jeff Fryer, pers.data &amp; Fryer &amp; Schwartzberg 1994"/>
  </r>
  <r>
    <s v="Okanagan Sockeye"/>
    <s v="1990s"/>
    <x v="13"/>
    <n v="1987"/>
    <x v="13"/>
    <n v="88025"/>
    <n v="83459"/>
    <n v="83395"/>
    <n v="31525.067999999996"/>
    <n v="0.48034539082736549"/>
    <n v="40052"/>
    <n v="40089.145973061095"/>
    <n v="31525.067999999996"/>
    <n v="2631050650.2119994"/>
    <n v="2.15674762458213E-4"/>
    <n v="0.48034539082736549"/>
    <n v="0.42734137581729442"/>
    <n v="0.57999999999999996"/>
    <n v="0.15261106780982073"/>
    <x v="5"/>
    <n v="5.9999999999999982"/>
    <n v="2"/>
    <n v="2E-3"/>
    <n v="166.91800000000001"/>
    <n v="2E-3"/>
    <n v="80.103999999999999"/>
    <s v="CRITFC"/>
    <n v="80.178291946122187"/>
    <n v="5262101.3004239993"/>
    <n v="80.178291946122187"/>
    <n v="80.178291946122187"/>
    <n v="63.050135999999995"/>
    <n v="1.16E-3"/>
    <n v="6.9495201236535303E-6"/>
    <s v="Jeff Fryer, pers.data &amp; Fryer &amp; Schwartzberg 1994"/>
  </r>
  <r>
    <s v="Okanagan Sockeye"/>
    <s v="1990s"/>
    <x v="14"/>
    <n v="1991"/>
    <x v="16"/>
    <n v="12873"/>
    <n v="12957"/>
    <n v="12956"/>
    <n v="1885.9119999999998"/>
    <n v="0.16591114630069498"/>
    <n v="2202"/>
    <n v="2149.7107226181047"/>
    <m/>
    <m/>
    <n v="3.8589179594041831E-4"/>
    <n v="0.16591114630069498"/>
    <n v="0.1516531560251389"/>
    <n v="0"/>
    <n v="8.5828959555418333E-2"/>
    <x v="0"/>
    <n v="3.0000000000000009"/>
    <n v="1"/>
    <n v="0.14299999999999999"/>
    <n v="1852.8509999999999"/>
    <n v="5.1999999999999998E-2"/>
    <n v="314.88599999999997"/>
    <s v="CRITFC"/>
    <n v="307.40863333438892"/>
    <s v=""/>
    <n v="111.78495757614144"/>
    <n v="307.40863333438892"/>
    <n v="98.067423999999988"/>
    <n v="0"/>
    <n v="0"/>
    <m/>
  </r>
  <r>
    <s v="Okanagan Sockeye"/>
    <s v="1990s"/>
    <x v="14"/>
    <n v="1990"/>
    <x v="15"/>
    <n v="12873"/>
    <n v="12957"/>
    <n v="12956"/>
    <n v="1885.9119999999998"/>
    <n v="0.16591114630069498"/>
    <n v="2202"/>
    <n v="2149.7107226181047"/>
    <m/>
    <m/>
    <n v="3.8589179594041831E-4"/>
    <n v="0.16591114630069498"/>
    <n v="0.1516531560251389"/>
    <n v="0"/>
    <n v="8.5828959555418333E-2"/>
    <x v="1"/>
    <n v="3.9999999999999996"/>
    <n v="1"/>
    <n v="0.126"/>
    <n v="1632.5820000000001"/>
    <n v="0.82499999999999996"/>
    <n v="277.452"/>
    <s v="CRITFC"/>
    <n v="270.86355104988121"/>
    <s v=""/>
    <n v="1773.5113461599362"/>
    <n v="270.86355104988121"/>
    <n v="1555.8773999999999"/>
    <n v="0"/>
    <n v="0"/>
    <m/>
  </r>
  <r>
    <s v="Okanagan Sockeye"/>
    <s v="1990s"/>
    <x v="14"/>
    <n v="1989"/>
    <x v="14"/>
    <n v="12873"/>
    <n v="12957"/>
    <n v="12956"/>
    <n v="1885.9119999999998"/>
    <n v="0.16591114630069498"/>
    <n v="2202"/>
    <n v="2149.7107226181047"/>
    <m/>
    <m/>
    <n v="3.8589179594041831E-4"/>
    <n v="0.16591114630069498"/>
    <n v="0.1516531560251389"/>
    <n v="0"/>
    <n v="8.5828959555418333E-2"/>
    <x v="2"/>
    <n v="5"/>
    <n v="1"/>
    <n v="0.69799999999999995"/>
    <n v="9043.985999999999"/>
    <n v="8.3000000000000004E-2"/>
    <n v="1536.9959999999999"/>
    <s v="CRITFC"/>
    <n v="1500.4980843874371"/>
    <s v=""/>
    <n v="178.42598997730269"/>
    <n v="1500.4980843874371"/>
    <n v="156.53069600000001"/>
    <n v="0"/>
    <n v="0"/>
    <m/>
  </r>
  <r>
    <s v="Okanagan Sockeye"/>
    <s v="1990s"/>
    <x v="14"/>
    <n v="1990"/>
    <x v="16"/>
    <n v="12873"/>
    <n v="12957"/>
    <n v="12956"/>
    <n v="1885.9119999999998"/>
    <n v="0.16591114630069498"/>
    <n v="2202"/>
    <n v="2149.7107226181047"/>
    <m/>
    <m/>
    <n v="3.8589179594041831E-4"/>
    <n v="0.16591114630069498"/>
    <n v="0.1516531560251389"/>
    <n v="0"/>
    <n v="8.5828959555418333E-2"/>
    <x v="3"/>
    <n v="4.0000000000000009"/>
    <n v="2"/>
    <n v="1.6E-2"/>
    <n v="207.31200000000001"/>
    <n v="2.3E-2"/>
    <n v="35.231999999999999"/>
    <s v="CRITFC"/>
    <n v="34.395371561889675"/>
    <s v=""/>
    <n v="49.44334662021641"/>
    <n v="34.395371561889675"/>
    <n v="43.375975999999994"/>
    <n v="0"/>
    <n v="0"/>
    <m/>
  </r>
  <r>
    <s v="Okanagan Sockeye"/>
    <s v="1990s"/>
    <x v="14"/>
    <n v="1989"/>
    <x v="15"/>
    <n v="12873"/>
    <n v="12957"/>
    <n v="12956"/>
    <n v="1885.9119999999998"/>
    <n v="0.16591114630069498"/>
    <n v="2202"/>
    <n v="2149.7107226181047"/>
    <m/>
    <m/>
    <n v="3.8589179594041831E-4"/>
    <n v="0.16591114630069498"/>
    <n v="0.1516531560251389"/>
    <n v="0"/>
    <n v="8.5828959555418333E-2"/>
    <x v="4"/>
    <n v="5.0000000000000018"/>
    <n v="2"/>
    <n v="1.7000000000000001E-2"/>
    <n v="220.26900000000001"/>
    <n v="1.6E-2"/>
    <n v="37.434000000000005"/>
    <s v="CRITFC"/>
    <n v="36.545082284507785"/>
    <s v=""/>
    <n v="34.395371561889675"/>
    <n v="36.545082284507785"/>
    <n v="30.174591999999997"/>
    <n v="0"/>
    <n v="0"/>
    <m/>
  </r>
  <r>
    <s v="Okanagan Sockeye"/>
    <s v="1990s"/>
    <x v="15"/>
    <n v="1992"/>
    <x v="17"/>
    <n v="9913"/>
    <n v="8883"/>
    <n v="8882"/>
    <n v="5537.7439999999997"/>
    <n v="0.69019852813291505"/>
    <n v="5238"/>
    <n v="6131.033525404684"/>
    <m/>
    <m/>
    <n v="5.6287290329843525E-4"/>
    <n v="0.69019852813291505"/>
    <n v="0.56055918414117112"/>
    <n v="0"/>
    <n v="4.6002315723551138E-2"/>
    <x v="0"/>
    <n v="3.0000000000000009"/>
    <n v="1"/>
    <n v="0.41299999999999998"/>
    <n v="3668.6789999999996"/>
    <n v="5.1999999999999998E-2"/>
    <n v="2163.2939999999999"/>
    <s v="CRITFC"/>
    <n v="2532.1168459921346"/>
    <s v=""/>
    <n v="318.81374332104355"/>
    <n v="2532.1168459921346"/>
    <n v="287.96268799999996"/>
    <n v="0"/>
    <n v="0"/>
    <m/>
  </r>
  <r>
    <s v="Okanagan Sockeye"/>
    <s v="1990s"/>
    <x v="15"/>
    <n v="1991"/>
    <x v="16"/>
    <n v="9913"/>
    <n v="8883"/>
    <n v="8882"/>
    <n v="5537.7439999999997"/>
    <n v="0.69019852813291505"/>
    <n v="5238"/>
    <n v="6131.033525404684"/>
    <m/>
    <m/>
    <n v="5.6287290329843525E-4"/>
    <n v="0.69019852813291505"/>
    <n v="0.56055918414117112"/>
    <n v="0"/>
    <n v="4.6002315723551138E-2"/>
    <x v="1"/>
    <n v="3.9999999999999996"/>
    <n v="1"/>
    <n v="0.51400000000000001"/>
    <n v="4565.8620000000001"/>
    <n v="0.82499999999999996"/>
    <n v="2692.3319999999999"/>
    <s v="CRITFC"/>
    <n v="3151.3512320580076"/>
    <s v=""/>
    <n v="5058.1026584588644"/>
    <n v="3151.3512320580076"/>
    <n v="4568.6387999999997"/>
    <n v="0"/>
    <n v="0"/>
    <m/>
  </r>
  <r>
    <s v="Okanagan Sockeye"/>
    <s v="1990s"/>
    <x v="15"/>
    <n v="1990"/>
    <x v="15"/>
    <n v="9913"/>
    <n v="8883"/>
    <n v="8882"/>
    <n v="5537.7439999999997"/>
    <n v="0.69019852813291505"/>
    <n v="5238"/>
    <n v="6131.033525404684"/>
    <m/>
    <m/>
    <n v="5.6287290329843525E-4"/>
    <n v="0.69019852813291505"/>
    <n v="0.56055918414117112"/>
    <n v="0"/>
    <n v="4.6002315723551138E-2"/>
    <x v="2"/>
    <n v="5"/>
    <n v="1"/>
    <n v="1.2999999999999999E-2"/>
    <n v="115.479"/>
    <n v="8.3000000000000004E-2"/>
    <n v="68.093999999999994"/>
    <s v="CRITFC"/>
    <n v="79.703435830260887"/>
    <s v=""/>
    <n v="508.87578260858879"/>
    <n v="79.703435830260887"/>
    <n v="459.63275199999998"/>
    <n v="0"/>
    <n v="0"/>
    <m/>
  </r>
  <r>
    <s v="Okanagan Sockeye"/>
    <s v="1990s"/>
    <x v="15"/>
    <n v="1991"/>
    <x v="17"/>
    <n v="9913"/>
    <n v="8883"/>
    <n v="8882"/>
    <n v="5537.7439999999997"/>
    <n v="0.69019852813291505"/>
    <n v="5238"/>
    <n v="6131.033525404684"/>
    <m/>
    <m/>
    <n v="5.6287290329843525E-4"/>
    <n v="0.69019852813291505"/>
    <n v="0.56055918414117112"/>
    <n v="0"/>
    <n v="4.6002315723551138E-2"/>
    <x v="3"/>
    <n v="4.0000000000000009"/>
    <n v="2"/>
    <n v="5.8000000000000003E-2"/>
    <n v="515.21400000000006"/>
    <n v="2.3E-2"/>
    <n v="303.80400000000003"/>
    <s v="CRITFC"/>
    <n v="355.59994447347168"/>
    <s v=""/>
    <n v="141.01377108430773"/>
    <n v="355.59994447347168"/>
    <n v="127.368112"/>
    <n v="0"/>
    <n v="0"/>
    <m/>
  </r>
  <r>
    <s v="Okanagan Sockeye"/>
    <s v="1990s"/>
    <x v="15"/>
    <n v="1990"/>
    <x v="16"/>
    <n v="9913"/>
    <n v="8883"/>
    <n v="8882"/>
    <n v="5537.7439999999997"/>
    <n v="0.69019852813291505"/>
    <n v="5238"/>
    <n v="6131.033525404684"/>
    <m/>
    <m/>
    <n v="5.6287290329843525E-4"/>
    <n v="0.69019852813291505"/>
    <n v="0.56055918414117112"/>
    <n v="0"/>
    <n v="4.6002315723551138E-2"/>
    <x v="4"/>
    <n v="5.0000000000000018"/>
    <n v="2"/>
    <n v="0"/>
    <n v="0"/>
    <n v="1.6E-2"/>
    <n v="0"/>
    <s v="CRITFC"/>
    <n v="0"/>
    <s v=""/>
    <n v="98.096536406474954"/>
    <n v="0"/>
    <n v="88.603904"/>
    <n v="0"/>
    <n v="0"/>
    <m/>
  </r>
  <r>
    <s v="Okanagan Sockeye"/>
    <s v="1990s"/>
    <x v="16"/>
    <n v="1993"/>
    <x v="18"/>
    <n v="30942"/>
    <n v="31300"/>
    <n v="31275"/>
    <n v="20037.531999999999"/>
    <n v="0.67923837288135591"/>
    <n v="23160"/>
    <n v="21260.161071186441"/>
    <m/>
    <m/>
    <n v="9.5846645367412143E-5"/>
    <n v="0.67923837288135591"/>
    <n v="0.66364468864468862"/>
    <n v="0"/>
    <n v="1.1446842525979217E-2"/>
    <x v="0"/>
    <n v="3.0000000000000009"/>
    <n v="1"/>
    <n v="7.5999999999999998E-2"/>
    <n v="2378.7999999999997"/>
    <n v="5.1999999999999998E-2"/>
    <n v="1760.1599999999999"/>
    <s v="CRITFC"/>
    <n v="1615.7722414101695"/>
    <s v=""/>
    <n v="1105.5283757016948"/>
    <n v="1615.7722414101695"/>
    <n v="1041.9516639999999"/>
    <n v="0"/>
    <n v="0"/>
    <s v="Fryer: pers data (Wells Dam)) used for SIRE age comps"/>
  </r>
  <r>
    <s v="Okanagan Sockeye"/>
    <s v="1990s"/>
    <x v="16"/>
    <n v="1992"/>
    <x v="17"/>
    <n v="30942"/>
    <n v="31300"/>
    <n v="31275"/>
    <n v="20037.531999999999"/>
    <n v="0.67923837288135591"/>
    <n v="23160"/>
    <n v="21260.161071186441"/>
    <m/>
    <m/>
    <n v="9.5846645367412143E-5"/>
    <n v="0.67923837288135591"/>
    <n v="0.66364468864468862"/>
    <n v="0"/>
    <n v="1.1446842525979217E-2"/>
    <x v="1"/>
    <n v="3.9999999999999996"/>
    <n v="1"/>
    <n v="0.85899999999999999"/>
    <n v="26886.7"/>
    <n v="0.82499999999999996"/>
    <n v="19894.439999999999"/>
    <s v="CRITFC"/>
    <n v="18262.478360149154"/>
    <s v=""/>
    <n v="17539.632883728813"/>
    <n v="18262.478360149154"/>
    <n v="16530.963899999999"/>
    <n v="0"/>
    <n v="0"/>
    <s v="Fryer: pers data (Wells Dam)) used for SIRE age comps"/>
  </r>
  <r>
    <s v="Okanagan Sockeye"/>
    <s v="1990s"/>
    <x v="16"/>
    <n v="1991"/>
    <x v="16"/>
    <n v="30942"/>
    <n v="31300"/>
    <n v="31275"/>
    <n v="20037.531999999999"/>
    <n v="0.67923837288135591"/>
    <n v="23160"/>
    <n v="21260.161071186441"/>
    <m/>
    <m/>
    <n v="9.5846645367412143E-5"/>
    <n v="0.67923837288135591"/>
    <n v="0.66364468864468862"/>
    <n v="0"/>
    <n v="1.1446842525979217E-2"/>
    <x v="2"/>
    <n v="5"/>
    <n v="1"/>
    <n v="3.7999999999999999E-2"/>
    <n v="1189.3999999999999"/>
    <n v="8.3000000000000004E-2"/>
    <n v="880.07999999999993"/>
    <s v="CRITFC"/>
    <n v="807.88612070508475"/>
    <s v=""/>
    <n v="1764.5933689084748"/>
    <n v="807.88612070508475"/>
    <n v="1663.1151560000001"/>
    <n v="0"/>
    <n v="0"/>
    <s v="Fryer: pers data (Wells Dam)) used for SIRE age comps"/>
  </r>
  <r>
    <s v="Okanagan Sockeye"/>
    <s v="1990s"/>
    <x v="16"/>
    <n v="1992"/>
    <x v="18"/>
    <n v="30942"/>
    <n v="31300"/>
    <n v="31275"/>
    <n v="20037.531999999999"/>
    <n v="0.67923837288135591"/>
    <n v="23160"/>
    <n v="21260.161071186441"/>
    <m/>
    <m/>
    <n v="9.5846645367412143E-5"/>
    <n v="0.67923837288135591"/>
    <n v="0.66364468864468862"/>
    <n v="0"/>
    <n v="1.1446842525979217E-2"/>
    <x v="3"/>
    <n v="4.0000000000000009"/>
    <n v="2"/>
    <n v="0"/>
    <n v="0"/>
    <n v="2.3E-2"/>
    <n v="0"/>
    <s v="CRITFC"/>
    <n v="0"/>
    <s v=""/>
    <n v="488.98370463728816"/>
    <n v="0"/>
    <n v="460.86323599999997"/>
    <n v="0"/>
    <n v="0"/>
    <s v="Fryer: pers data (Wells Dam)) used for SIRE age comps"/>
  </r>
  <r>
    <s v="Okanagan Sockeye"/>
    <s v="1990s"/>
    <x v="16"/>
    <n v="1991"/>
    <x v="17"/>
    <n v="30942"/>
    <n v="31300"/>
    <n v="31275"/>
    <n v="20037.531999999999"/>
    <n v="0.67923837288135591"/>
    <n v="23160"/>
    <n v="21260.161071186441"/>
    <m/>
    <m/>
    <n v="9.5846645367412143E-5"/>
    <n v="0.67923837288135591"/>
    <n v="0.66364468864468862"/>
    <n v="0"/>
    <n v="1.1446842525979217E-2"/>
    <x v="4"/>
    <n v="5.0000000000000018"/>
    <n v="2"/>
    <n v="2.7E-2"/>
    <n v="845.1"/>
    <n v="1.6E-2"/>
    <n v="625.31999999999994"/>
    <s v="CRITFC"/>
    <n v="574.02434892203394"/>
    <s v=""/>
    <n v="340.16257713898307"/>
    <n v="574.02434892203394"/>
    <n v="320.60051199999998"/>
    <n v="0"/>
    <n v="0"/>
    <s v="Fryer: pers data (Wells Dam)) used for SIRE age comps"/>
  </r>
  <r>
    <s v="Okanagan Sockeye"/>
    <s v="1990s"/>
    <x v="17"/>
    <n v="1994"/>
    <x v="19"/>
    <n v="49979"/>
    <n v="48793"/>
    <n v="48781"/>
    <n v="27870.971999999998"/>
    <n v="0.6715249614494988"/>
    <n v="36095"/>
    <n v="32765.717444005397"/>
    <m/>
    <m/>
    <n v="3.2791588957432416E-4"/>
    <n v="0.6715249614494988"/>
    <n v="0.79711850224871872"/>
    <n v="0"/>
    <n v="0.10690637748303643"/>
    <x v="0"/>
    <n v="3.0000000000000009"/>
    <n v="1"/>
    <n v="0"/>
    <n v="0"/>
    <n v="5.1999999999999998E-2"/>
    <n v="0"/>
    <s v="CRITFC"/>
    <n v="0"/>
    <s v=""/>
    <n v="1703.8173070882806"/>
    <n v="0"/>
    <n v="1449.2905439999997"/>
    <n v="0"/>
    <n v="0"/>
    <m/>
  </r>
  <r>
    <s v="Okanagan Sockeye"/>
    <s v="1990s"/>
    <x v="17"/>
    <n v="1993"/>
    <x v="18"/>
    <n v="49979"/>
    <n v="48793"/>
    <n v="48781"/>
    <n v="27870.971999999998"/>
    <n v="0.6715249614494988"/>
    <n v="36095"/>
    <n v="32765.717444005397"/>
    <m/>
    <m/>
    <n v="3.2791588957432416E-4"/>
    <n v="0.6715249614494988"/>
    <n v="0.79711850224871872"/>
    <n v="0"/>
    <n v="0.10690637748303643"/>
    <x v="1"/>
    <n v="3.9999999999999996"/>
    <n v="1"/>
    <n v="0.95699999999999996"/>
    <n v="46694.900999999998"/>
    <n v="0.82499999999999996"/>
    <n v="34542.915000000001"/>
    <s v="CRITFC"/>
    <n v="31356.791593913164"/>
    <s v=""/>
    <n v="27031.716891304452"/>
    <n v="31356.791593913164"/>
    <n v="22993.551899999999"/>
    <n v="0"/>
    <n v="0"/>
    <m/>
  </r>
  <r>
    <s v="Okanagan Sockeye"/>
    <s v="1990s"/>
    <x v="17"/>
    <n v="1992"/>
    <x v="17"/>
    <n v="49979"/>
    <n v="48793"/>
    <n v="48781"/>
    <n v="27870.971999999998"/>
    <n v="0.6715249614494988"/>
    <n v="36095"/>
    <n v="32765.717444005397"/>
    <m/>
    <m/>
    <n v="3.2791588957432416E-4"/>
    <n v="0.6715249614494988"/>
    <n v="0.79711850224871872"/>
    <n v="0"/>
    <n v="0.10690637748303643"/>
    <x v="2"/>
    <n v="5"/>
    <n v="1"/>
    <n v="3.4000000000000002E-2"/>
    <n v="1658.9620000000002"/>
    <n v="8.3000000000000004E-2"/>
    <n v="1227.23"/>
    <s v="CRITFC"/>
    <n v="1114.0343930961835"/>
    <s v=""/>
    <n v="2719.5545478524482"/>
    <n v="1114.0343930961835"/>
    <n v="2313.2906760000001"/>
    <n v="0"/>
    <n v="0"/>
    <m/>
  </r>
  <r>
    <s v="Okanagan Sockeye"/>
    <s v="1990s"/>
    <x v="17"/>
    <n v="1993"/>
    <x v="19"/>
    <n v="49979"/>
    <n v="48793"/>
    <n v="48781"/>
    <n v="27870.971999999998"/>
    <n v="0.6715249614494988"/>
    <n v="36095"/>
    <n v="32765.717444005397"/>
    <m/>
    <m/>
    <n v="3.2791588957432416E-4"/>
    <n v="0.6715249614494988"/>
    <n v="0.79711850224871872"/>
    <n v="0"/>
    <n v="0.10690637748303643"/>
    <x v="3"/>
    <n v="4.0000000000000009"/>
    <n v="2"/>
    <n v="8.9999999999999993E-3"/>
    <n v="439.13699999999994"/>
    <n v="2.3E-2"/>
    <n v="324.85499999999996"/>
    <s v="CRITFC"/>
    <n v="294.89145699604853"/>
    <s v=""/>
    <n v="753.61150121212415"/>
    <n v="294.89145699604853"/>
    <n v="641.03235599999994"/>
    <n v="0"/>
    <n v="0"/>
    <m/>
  </r>
  <r>
    <s v="Okanagan Sockeye"/>
    <s v="1990s"/>
    <x v="17"/>
    <n v="1992"/>
    <x v="18"/>
    <n v="49979"/>
    <n v="48793"/>
    <n v="48781"/>
    <n v="27870.971999999998"/>
    <n v="0.6715249614494988"/>
    <n v="36095"/>
    <n v="32765.717444005397"/>
    <m/>
    <m/>
    <n v="3.2791588957432416E-4"/>
    <n v="0.6715249614494988"/>
    <n v="0.79711850224871872"/>
    <n v="0"/>
    <n v="0.10690637748303643"/>
    <x v="4"/>
    <n v="5.0000000000000018"/>
    <n v="2"/>
    <n v="0"/>
    <n v="0"/>
    <n v="1.6E-2"/>
    <n v="0"/>
    <s v="CRITFC"/>
    <n v="0"/>
    <s v=""/>
    <n v="524.25147910408634"/>
    <n v="0"/>
    <n v="445.93555199999997"/>
    <n v="0"/>
    <n v="0"/>
    <m/>
  </r>
  <r>
    <s v="Okanagan Sockeye"/>
    <s v="1990s"/>
    <x v="18"/>
    <n v="1995"/>
    <x v="20"/>
    <n v="13220"/>
    <n v="13522"/>
    <n v="13520"/>
    <n v="4666"/>
    <n v="0.49989286479537176"/>
    <n v="7705"/>
    <n v="6759.5513177630173"/>
    <m/>
    <m/>
    <n v="2.9581422866439876E-4"/>
    <n v="0.49989286479537176"/>
    <n v="0.5312979227659278"/>
    <n v="0"/>
    <n v="0.2778846153846154"/>
    <x v="0"/>
    <n v="3.0000000000000009"/>
    <n v="1"/>
    <n v="5.2999999999999999E-2"/>
    <n v="716.66599999999994"/>
    <n v="5.1999999999999998E-2"/>
    <n v="408.36500000000001"/>
    <s v="CRITFC"/>
    <n v="358.25621984143993"/>
    <s v=""/>
    <n v="351.49666852367687"/>
    <n v="358.25621984143993"/>
    <n v="242.63199999999998"/>
    <n v="0"/>
    <n v="0"/>
    <m/>
  </r>
  <r>
    <s v="Okanagan Sockeye"/>
    <s v="1990s"/>
    <x v="18"/>
    <n v="1994"/>
    <x v="19"/>
    <n v="13220"/>
    <n v="13522"/>
    <n v="13520"/>
    <n v="4666"/>
    <n v="0.49989286479537176"/>
    <n v="7705"/>
    <n v="6759.5513177630173"/>
    <m/>
    <m/>
    <n v="2.9581422866439876E-4"/>
    <n v="0.49989286479537176"/>
    <n v="0.5312979227659278"/>
    <n v="0"/>
    <n v="0.2778846153846154"/>
    <x v="1"/>
    <n v="3.9999999999999996"/>
    <n v="1"/>
    <n v="0.78900000000000003"/>
    <n v="10668.858"/>
    <n v="0.82499999999999996"/>
    <n v="6079.2449999999999"/>
    <s v="CRITFC"/>
    <n v="5333.2859897150211"/>
    <s v=""/>
    <n v="5576.629837154489"/>
    <n v="5333.2859897150211"/>
    <n v="3849.45"/>
    <n v="0"/>
    <n v="0"/>
    <m/>
  </r>
  <r>
    <s v="Okanagan Sockeye"/>
    <s v="1990s"/>
    <x v="18"/>
    <n v="1993"/>
    <x v="18"/>
    <n v="13220"/>
    <n v="13522"/>
    <n v="13520"/>
    <n v="4666"/>
    <n v="0.49989286479537176"/>
    <n v="7705"/>
    <n v="6759.5513177630173"/>
    <m/>
    <m/>
    <n v="2.9581422866439876E-4"/>
    <n v="0.49989286479537176"/>
    <n v="0.5312979227659278"/>
    <n v="0"/>
    <n v="0.2778846153846154"/>
    <x v="2"/>
    <n v="5"/>
    <n v="1"/>
    <n v="0.158"/>
    <n v="2136.4760000000001"/>
    <n v="8.3000000000000004E-2"/>
    <n v="1217.3900000000001"/>
    <s v="CRITFC"/>
    <n v="1068.0091082065567"/>
    <s v=""/>
    <n v="561.04275937433044"/>
    <n v="1068.0091082065567"/>
    <n v="387.27800000000002"/>
    <n v="0"/>
    <n v="0"/>
    <m/>
  </r>
  <r>
    <s v="Okanagan Sockeye"/>
    <s v="1990s"/>
    <x v="18"/>
    <n v="1994"/>
    <x v="20"/>
    <n v="13220"/>
    <n v="13522"/>
    <n v="13520"/>
    <n v="4666"/>
    <n v="0.49989286479537176"/>
    <n v="7705"/>
    <n v="6759.5513177630173"/>
    <m/>
    <m/>
    <n v="2.9581422866439876E-4"/>
    <n v="0.49989286479537176"/>
    <n v="0.5312979227659278"/>
    <n v="0"/>
    <n v="0.2778846153846154"/>
    <x v="3"/>
    <n v="4.0000000000000009"/>
    <n v="2"/>
    <n v="0"/>
    <n v="0"/>
    <n v="2.3E-2"/>
    <n v="0"/>
    <s v="CRITFC"/>
    <n v="0"/>
    <s v=""/>
    <n v="155.46968030854939"/>
    <n v="0"/>
    <n v="107.318"/>
    <n v="0"/>
    <n v="0"/>
    <m/>
  </r>
  <r>
    <s v="Okanagan Sockeye"/>
    <s v="1990s"/>
    <x v="18"/>
    <n v="1993"/>
    <x v="19"/>
    <n v="13220"/>
    <n v="13522"/>
    <n v="13520"/>
    <n v="4666"/>
    <n v="0.49989286479537176"/>
    <n v="7705"/>
    <n v="6759.5513177630173"/>
    <m/>
    <m/>
    <n v="2.9581422866439876E-4"/>
    <n v="0.49989286479537176"/>
    <n v="0.5312979227659278"/>
    <n v="0"/>
    <n v="0.2778846153846154"/>
    <x v="4"/>
    <n v="5.0000000000000018"/>
    <n v="2"/>
    <n v="0"/>
    <n v="0"/>
    <n v="1.6E-2"/>
    <n v="0"/>
    <s v="CRITFC"/>
    <n v="0"/>
    <s v=""/>
    <n v="108.15282108420828"/>
    <n v="0"/>
    <n v="74.656000000000006"/>
    <n v="0"/>
    <n v="0"/>
    <m/>
  </r>
  <r>
    <s v="Okanagan Sockeye"/>
    <s v="1990s"/>
    <x v="19"/>
    <n v="1996"/>
    <x v="21"/>
    <n v="19094"/>
    <n v="18383"/>
    <n v="18382"/>
    <n v="12388"/>
    <n v="0.7952295264703797"/>
    <n v="16715"/>
    <n v="14618.704385104989"/>
    <m/>
    <m/>
    <n v="8.1597127781102101E-4"/>
    <n v="0.7952295264703797"/>
    <n v="0.74158529929043604"/>
    <n v="0"/>
    <n v="0.11343203110641405"/>
    <x v="0"/>
    <n v="3.0000000000000009"/>
    <n v="1"/>
    <n v="0.114"/>
    <n v="2095.6620000000003"/>
    <n v="5.1999999999999998E-2"/>
    <n v="1905.51"/>
    <s v="CRITFC"/>
    <n v="1666.5322999019688"/>
    <s v=""/>
    <n v="760.1726280254594"/>
    <n v="1666.5322999019688"/>
    <n v="644.17599999999993"/>
    <n v="0"/>
    <n v="0"/>
    <m/>
  </r>
  <r>
    <s v="Okanagan Sockeye"/>
    <s v="1990s"/>
    <x v="19"/>
    <n v="1995"/>
    <x v="20"/>
    <n v="19094"/>
    <n v="18383"/>
    <n v="18382"/>
    <n v="12388"/>
    <n v="0.7952295264703797"/>
    <n v="16715"/>
    <n v="14618.704385104989"/>
    <m/>
    <m/>
    <n v="8.1597127781102101E-4"/>
    <n v="0.7952295264703797"/>
    <n v="0.74158529929043604"/>
    <n v="0"/>
    <n v="0.11343203110641405"/>
    <x v="1"/>
    <n v="3.9999999999999996"/>
    <n v="1"/>
    <n v="0.84899999999999998"/>
    <n v="15607.166999999999"/>
    <n v="0.82499999999999996"/>
    <n v="14191.035"/>
    <s v="CRITFC"/>
    <n v="12411.280022954135"/>
    <s v=""/>
    <n v="12060.431117711616"/>
    <n v="12411.280022954135"/>
    <n v="10220.099999999999"/>
    <n v="0"/>
    <n v="0"/>
    <m/>
  </r>
  <r>
    <s v="Okanagan Sockeye"/>
    <s v="1990s"/>
    <x v="19"/>
    <n v="1994"/>
    <x v="19"/>
    <n v="19094"/>
    <n v="18383"/>
    <n v="18382"/>
    <n v="12388"/>
    <n v="0.7952295264703797"/>
    <n v="16715"/>
    <n v="14618.704385104989"/>
    <m/>
    <m/>
    <n v="8.1597127781102101E-4"/>
    <n v="0.7952295264703797"/>
    <n v="0.74158529929043604"/>
    <n v="0"/>
    <n v="0.11343203110641405"/>
    <x v="2"/>
    <n v="5"/>
    <n v="1"/>
    <n v="0"/>
    <n v="0"/>
    <n v="8.3000000000000004E-2"/>
    <n v="0"/>
    <s v="CRITFC"/>
    <n v="0"/>
    <s v=""/>
    <n v="1213.3524639637142"/>
    <n v="0"/>
    <n v="1028.204"/>
    <n v="0"/>
    <n v="0"/>
    <m/>
  </r>
  <r>
    <s v="Okanagan Sockeye"/>
    <s v="1990s"/>
    <x v="19"/>
    <n v="1995"/>
    <x v="21"/>
    <n v="19094"/>
    <n v="18383"/>
    <n v="18382"/>
    <n v="12388"/>
    <n v="0.7952295264703797"/>
    <n v="16715"/>
    <n v="14618.704385104989"/>
    <m/>
    <m/>
    <n v="8.1597127781102101E-4"/>
    <n v="0.7952295264703797"/>
    <n v="0.74158529929043604"/>
    <n v="0"/>
    <n v="0.11343203110641405"/>
    <x v="3"/>
    <n v="4.0000000000000009"/>
    <n v="2"/>
    <n v="3.7999999999999999E-2"/>
    <n v="698.55399999999997"/>
    <n v="2.3E-2"/>
    <n v="635.16999999999996"/>
    <s v="CRITFC"/>
    <n v="555.51076663398953"/>
    <s v=""/>
    <n v="336.23020085741473"/>
    <n v="555.51076663398953"/>
    <n v="284.92399999999998"/>
    <n v="0"/>
    <n v="0"/>
    <m/>
  </r>
  <r>
    <s v="Okanagan Sockeye"/>
    <s v="1990s"/>
    <x v="19"/>
    <n v="1994"/>
    <x v="20"/>
    <n v="19094"/>
    <n v="18383"/>
    <n v="18382"/>
    <n v="12388"/>
    <n v="0.7952295264703797"/>
    <n v="16715"/>
    <n v="14618.704385104989"/>
    <m/>
    <m/>
    <n v="8.1597127781102101E-4"/>
    <n v="0.7952295264703797"/>
    <n v="0.74158529929043604"/>
    <n v="0"/>
    <n v="0.11343203110641405"/>
    <x v="4"/>
    <n v="5.0000000000000018"/>
    <n v="2"/>
    <n v="0"/>
    <n v="0"/>
    <n v="1.6E-2"/>
    <n v="0"/>
    <s v="CRITFC"/>
    <n v="0"/>
    <s v=""/>
    <n v="233.89927016167982"/>
    <n v="0"/>
    <n v="198.208"/>
    <n v="0"/>
    <n v="0"/>
    <m/>
  </r>
  <r>
    <s v="Okanagan Sockeye"/>
    <s v="1990s"/>
    <x v="20"/>
    <n v="1997"/>
    <x v="22"/>
    <n v="93764"/>
    <n v="97557"/>
    <n v="97191"/>
    <n v="59944"/>
    <n v="0.78345880384776245"/>
    <n v="73866"/>
    <n v="76431.89052697616"/>
    <n v="59944"/>
    <n v="5847956808"/>
    <n v="3.7414024621503328E-3"/>
    <n v="0.78345880384776245"/>
    <n v="0.75851596902363716"/>
    <n v="0.55000000000000004"/>
    <n v="0.17907007850521139"/>
    <x v="0"/>
    <n v="3.0000000000000009"/>
    <n v="1"/>
    <n v="0.13"/>
    <n v="12682.41"/>
    <n v="7.1999999999999995E-2"/>
    <n v="9602.58"/>
    <s v="CRITFC"/>
    <n v="9936.1457685069017"/>
    <n v="760234385.04000008"/>
    <n v="5503.0961179422829"/>
    <n v="9936.1457685069017"/>
    <n v="4315.9679999999998"/>
    <n v="3.9600000000000003E-2"/>
    <n v="3.1224349315311525E-6"/>
    <s v="SIRE = Fryer &amp; Kelsey 2001 (CRITFC 01-2), but FRYER may be Sp/Grd? [hs 10/21/2020]"/>
  </r>
  <r>
    <s v="Okanagan Sockeye"/>
    <s v="1990s"/>
    <x v="20"/>
    <n v="1996"/>
    <x v="21"/>
    <n v="93764"/>
    <n v="97557"/>
    <n v="97191"/>
    <n v="59944"/>
    <n v="0.78345880384776245"/>
    <n v="73866"/>
    <n v="76431.89052697616"/>
    <n v="59944"/>
    <n v="5847956808"/>
    <n v="3.7414024621503328E-3"/>
    <n v="0.78345880384776245"/>
    <n v="0.75851596902363716"/>
    <n v="0.55000000000000004"/>
    <n v="0.17907007850521139"/>
    <x v="1"/>
    <n v="3.9999999999999996"/>
    <n v="1"/>
    <n v="0.84"/>
    <n v="81947.87999999999"/>
    <n v="0.874"/>
    <n v="62047.439999999995"/>
    <s v="CRITFC"/>
    <n v="64202.788042659973"/>
    <n v="4912283718.7200003"/>
    <n v="66801.472320577159"/>
    <n v="64202.788042659973"/>
    <n v="52391.055999999997"/>
    <n v="0.48070000000000002"/>
    <n v="5.8659235601946024E-6"/>
    <s v="SIRE = Fryer &amp; Kelsey 2001 (CRITFC 01-2) (Wells Dam, Table 3)"/>
  </r>
  <r>
    <s v="Okanagan Sockeye"/>
    <s v="1990s"/>
    <x v="20"/>
    <n v="1995"/>
    <x v="20"/>
    <n v="93764"/>
    <n v="97557"/>
    <n v="97191"/>
    <n v="59944"/>
    <n v="0.78345880384776245"/>
    <n v="73866"/>
    <n v="76431.89052697616"/>
    <n v="59944"/>
    <n v="5847956808"/>
    <n v="3.7414024621503328E-3"/>
    <n v="0.78345880384776245"/>
    <n v="0.75851596902363716"/>
    <n v="0.55000000000000004"/>
    <n v="0.17907007850521139"/>
    <x v="2"/>
    <n v="5"/>
    <n v="1"/>
    <n v="0.01"/>
    <n v="975.57"/>
    <n v="3.5999999999999997E-2"/>
    <n v="738.66"/>
    <s v="CRITFC"/>
    <n v="764.31890526976167"/>
    <n v="58479568.079999998"/>
    <n v="2751.5480589711415"/>
    <n v="764.31890526976167"/>
    <n v="2157.9839999999999"/>
    <n v="1.9800000000000002E-2"/>
    <n v="2.0295827054952489E-5"/>
    <s v="SIRE = Fryer &amp; Kelsey 2001 (CRITFC 01-2) (Wells Dam, Table 3)"/>
  </r>
  <r>
    <s v="Okanagan Sockeye"/>
    <s v="1990s"/>
    <x v="20"/>
    <n v="1996"/>
    <x v="22"/>
    <n v="93764"/>
    <n v="97557"/>
    <n v="97191"/>
    <n v="59944"/>
    <n v="0.78345880384776245"/>
    <n v="73866"/>
    <n v="76431.89052697616"/>
    <n v="59944"/>
    <n v="5847956808"/>
    <n v="3.7414024621503328E-3"/>
    <n v="0.78345880384776245"/>
    <n v="0.75851596902363716"/>
    <n v="0.55000000000000004"/>
    <n v="0.17907007850521139"/>
    <x v="3"/>
    <n v="4.0000000000000009"/>
    <n v="2"/>
    <n v="0.01"/>
    <n v="975.57"/>
    <n v="1E-3"/>
    <n v="738.66"/>
    <s v="CRITFC"/>
    <n v="764.31890526976167"/>
    <n v="58479568.079999998"/>
    <n v="76.431890526976161"/>
    <n v="764.31890526976167"/>
    <n v="59.944000000000003"/>
    <n v="5.5000000000000003E-4"/>
    <n v="5.6377297374868026E-7"/>
    <s v="SIRE = Fryer &amp; Kelsey 2001 (CRITFC 01-2) (Wells Dam, Table 3)"/>
  </r>
  <r>
    <s v="Okanagan Sockeye"/>
    <s v="1990s"/>
    <x v="20"/>
    <n v="1995"/>
    <x v="21"/>
    <n v="93764"/>
    <n v="97557"/>
    <n v="97191"/>
    <n v="59944"/>
    <n v="0.78345880384776245"/>
    <n v="73866"/>
    <n v="76431.89052697616"/>
    <n v="59944"/>
    <n v="5847956808"/>
    <n v="3.7414024621503328E-3"/>
    <n v="0.78345880384776245"/>
    <n v="0.75851596902363716"/>
    <n v="0.55000000000000004"/>
    <n v="0.17907007850521139"/>
    <x v="4"/>
    <n v="5.0000000000000018"/>
    <n v="2"/>
    <n v="0.01"/>
    <n v="975.57"/>
    <n v="1.7000000000000001E-2"/>
    <n v="738.66"/>
    <s v="CRITFC"/>
    <n v="764.31890526976167"/>
    <n v="58479568.079999998"/>
    <n v="1299.3421389585949"/>
    <n v="764.31890526976167"/>
    <n v="1019.0480000000001"/>
    <n v="9.3500000000000007E-3"/>
    <n v="9.5841405537275652E-6"/>
    <s v="SIRE = Fryer &amp; Kelsey 2001 (CRITFC 01-2) (Wells Dam, Table 3)"/>
  </r>
  <r>
    <s v="Okanagan Sockeye"/>
    <s v="2000s"/>
    <x v="21"/>
    <n v="1998"/>
    <x v="23"/>
    <n v="117879"/>
    <n v="121355"/>
    <n v="119664"/>
    <n v="74486"/>
    <n v="0.7104731018695154"/>
    <n v="83707"/>
    <n v="86219.463277375035"/>
    <n v="74486"/>
    <n v="9039248530"/>
    <n v="3.3785175724115201E-4"/>
    <n v="0.7104731018695154"/>
    <n v="0.63162914917970236"/>
    <n v="0.56000000000000005"/>
    <n v="6.2533426928733787E-2"/>
    <x v="0"/>
    <n v="3.0000000000000009"/>
    <n v="1"/>
    <n v="2.5999999999999999E-2"/>
    <n v="3155.23"/>
    <n v="3.3000000000000002E-2"/>
    <n v="2762.3310000000001"/>
    <s v="SiRE"/>
    <n v="2241.7060452117507"/>
    <n v="235020461.78"/>
    <n v="2845.2422881533762"/>
    <n v="2845.2422881533762"/>
    <n v="2458.038"/>
    <n v="1.8480000000000003E-2"/>
    <n v="5.8569422831299153E-6"/>
    <s v="SIRE = spawning grounds; Wells = 0.031 CRITFC 02_02 Table 3"/>
  </r>
  <r>
    <s v="Okanagan Sockeye"/>
    <s v="1990s"/>
    <x v="21"/>
    <n v="1997"/>
    <x v="22"/>
    <n v="117879"/>
    <n v="121355"/>
    <n v="119664"/>
    <n v="74486"/>
    <n v="0.7104731018695154"/>
    <n v="83707"/>
    <n v="86219.463277375035"/>
    <n v="74486"/>
    <n v="9039248530"/>
    <n v="3.3785175724115201E-4"/>
    <n v="0.7104731018695154"/>
    <n v="0.63162914917970236"/>
    <n v="0.56000000000000005"/>
    <n v="6.2533426928733787E-2"/>
    <x v="1"/>
    <n v="3.9999999999999996"/>
    <n v="1"/>
    <n v="0.94599999999999995"/>
    <n v="114801.82999999999"/>
    <n v="0.94399999999999995"/>
    <n v="79019.407999999996"/>
    <s v="SiRE"/>
    <n v="81563.612260396781"/>
    <n v="8551129109.3799992"/>
    <n v="81391.173333842031"/>
    <n v="81391.173333842031"/>
    <n v="70314.784"/>
    <n v="0.52864"/>
    <n v="4.604804644664637E-6"/>
    <s v="spawning grounds; Wells = 0.940"/>
  </r>
  <r>
    <s v="Okanagan Sockeye"/>
    <s v="1990s"/>
    <x v="21"/>
    <n v="1996"/>
    <x v="21"/>
    <n v="117879"/>
    <n v="121355"/>
    <n v="119664"/>
    <n v="74486"/>
    <n v="0.7104731018695154"/>
    <n v="83707"/>
    <n v="86219.463277375035"/>
    <n v="74486"/>
    <n v="9039248530"/>
    <n v="3.3785175724115201E-4"/>
    <n v="0.7104731018695154"/>
    <n v="0.63162914917970236"/>
    <n v="0.56000000000000005"/>
    <n v="6.2533426928733787E-2"/>
    <x v="2"/>
    <n v="5"/>
    <n v="1"/>
    <n v="0.02"/>
    <n v="2427.1"/>
    <n v="2.1999999999999999E-2"/>
    <n v="1841.5539999999999"/>
    <s v="SiRE"/>
    <n v="1724.3892655475008"/>
    <n v="180784970.59999999"/>
    <n v="1896.8281921022506"/>
    <n v="1896.8281921022506"/>
    <n v="1638.692"/>
    <n v="1.2320000000000001E-2"/>
    <n v="5.0760166453792602E-6"/>
    <s v="spawning grounds; Wells = 0.020"/>
  </r>
  <r>
    <s v="Okanagan Sockeye"/>
    <s v="2000s"/>
    <x v="21"/>
    <n v="1997"/>
    <x v="23"/>
    <n v="117879"/>
    <n v="121355"/>
    <n v="119664"/>
    <n v="74486"/>
    <n v="0.7104731018695154"/>
    <n v="83707"/>
    <n v="86219.463277375035"/>
    <n v="74486"/>
    <n v="9039248530"/>
    <n v="3.3785175724115201E-4"/>
    <n v="0.7104731018695154"/>
    <n v="0.63162914917970236"/>
    <n v="0.56000000000000005"/>
    <n v="6.2533426928733787E-2"/>
    <x v="3"/>
    <n v="4.0000000000000009"/>
    <n v="2"/>
    <n v="3.0000000000000001E-3"/>
    <n v="364.065"/>
    <n v="4.8999999999999998E-4"/>
    <n v="41.01643"/>
    <s v="SiRE"/>
    <n v="258.65838983212512"/>
    <n v="27117745.59"/>
    <n v="42.247537005913763"/>
    <n v="42.247537005913763"/>
    <n v="36.498139999999999"/>
    <n v="2.744E-4"/>
    <n v="7.5371156249570824E-7"/>
    <s v="spawning grounds; Wells = 0.006"/>
  </r>
  <r>
    <s v="Okanagan Sockeye"/>
    <s v="1990s"/>
    <x v="21"/>
    <n v="1996"/>
    <x v="22"/>
    <n v="117879"/>
    <n v="121355"/>
    <n v="119664"/>
    <n v="74486"/>
    <n v="0.7104731018695154"/>
    <n v="83707"/>
    <n v="86219.463277375035"/>
    <n v="74486"/>
    <n v="9039248530"/>
    <n v="3.3785175724115201E-4"/>
    <n v="0.7104731018695154"/>
    <n v="0.63162914917970236"/>
    <n v="0.56000000000000005"/>
    <n v="6.2533426928733787E-2"/>
    <x v="4"/>
    <n v="5.0000000000000018"/>
    <n v="2"/>
    <n v="3.0000000000000001E-3"/>
    <n v="364.065"/>
    <n v="4.8999999999999998E-4"/>
    <n v="41.01643"/>
    <s v="SiRE"/>
    <n v="258.65838983212512"/>
    <n v="27117745.59"/>
    <n v="42.247537005913763"/>
    <n v="42.247537005913763"/>
    <n v="36.498139999999999"/>
    <n v="2.744E-4"/>
    <n v="7.5371156249570824E-7"/>
    <s v="spawning grounds; Wells = 0.003"/>
  </r>
  <r>
    <s v="Okanagan Sockeye"/>
    <s v="2000s"/>
    <x v="22"/>
    <n v="1999"/>
    <x v="24"/>
    <n v="50557"/>
    <n v="51515"/>
    <n v="51496"/>
    <n v="10659"/>
    <n v="0.24050090252707582"/>
    <n v="14406"/>
    <n v="12389.40399368231"/>
    <n v="10659"/>
    <n v="549098385"/>
    <n v="1.2423565951664563E-3"/>
    <n v="0.24050090252707582"/>
    <n v="0.25014670328380628"/>
    <n v="0.27"/>
    <n v="8.8317539226347677E-2"/>
    <x v="0"/>
    <n v="3.0000000000000009"/>
    <n v="1"/>
    <n v="0.02"/>
    <n v="1030.3"/>
    <n v="9.0999999999999998E-2"/>
    <n v="288.12"/>
    <s v="CRITFC"/>
    <n v="247.78807987364621"/>
    <n v="10981967.700000001"/>
    <n v="1127.4357634250903"/>
    <n v="247.78807987364621"/>
    <n v="969.96899999999994"/>
    <n v="2.4570000000000002E-2"/>
    <n v="2.3847423080656121E-5"/>
    <s v="Use Fryer; SIRE = spawning grounds no 53s; Wells = 0.015"/>
  </r>
  <r>
    <s v="Okanagan Sockeye"/>
    <s v="2000s"/>
    <x v="22"/>
    <n v="1998"/>
    <x v="23"/>
    <n v="50557"/>
    <n v="51515"/>
    <n v="51496"/>
    <n v="10659"/>
    <n v="0.24050090252707582"/>
    <n v="14406"/>
    <n v="12389.40399368231"/>
    <n v="10659"/>
    <n v="549098385"/>
    <n v="1.2423565951664563E-3"/>
    <n v="0.24050090252707582"/>
    <n v="0.25014670328380628"/>
    <n v="0.27"/>
    <n v="8.8317539226347677E-2"/>
    <x v="1"/>
    <n v="3.9999999999999996"/>
    <n v="1"/>
    <n v="0.497"/>
    <n v="25602.954999999998"/>
    <n v="0.55400000000000005"/>
    <n v="7159.7820000000002"/>
    <s v="CRITFC"/>
    <n v="6157.5337848601084"/>
    <n v="272901897.34499997"/>
    <n v="6863.7298125000007"/>
    <n v="6157.5337848601084"/>
    <n v="5905.0860000000002"/>
    <n v="0.14958000000000002"/>
    <n v="5.8422943757859208E-6"/>
    <s v="Use Fryer; SIRE = spawning grounds no 53s; Wells = 0.441"/>
  </r>
  <r>
    <s v="Okanagan Sockeye"/>
    <s v="1990s"/>
    <x v="22"/>
    <n v="1997"/>
    <x v="22"/>
    <n v="50557"/>
    <n v="51515"/>
    <n v="51496"/>
    <n v="10659"/>
    <n v="0.24050090252707582"/>
    <n v="14406"/>
    <n v="12389.40399368231"/>
    <n v="10659"/>
    <n v="549098385"/>
    <n v="1.2423565951664563E-3"/>
    <n v="0.24050090252707582"/>
    <n v="0.25014670328380628"/>
    <n v="0.27"/>
    <n v="8.8317539226347677E-2"/>
    <x v="2"/>
    <n v="5"/>
    <n v="1"/>
    <n v="0.14799999999999999"/>
    <n v="7624.2199999999993"/>
    <n v="0.35399999999999998"/>
    <n v="2132.0879999999997"/>
    <s v="CRITFC"/>
    <n v="1833.6317910649818"/>
    <n v="81266560.979999989"/>
    <n v="4385.8490137635372"/>
    <n v="1833.6317910649818"/>
    <n v="3773.2859999999996"/>
    <n v="9.5579999999999998E-2"/>
    <n v="1.2536364375634491E-5"/>
    <s v="Use Fryer; SIRE = spawning grounds no 53s; Wells = 0.160"/>
  </r>
  <r>
    <s v="Okanagan Sockeye"/>
    <s v="2000s"/>
    <x v="22"/>
    <n v="1998"/>
    <x v="24"/>
    <n v="50557"/>
    <n v="51515"/>
    <n v="51496"/>
    <n v="10659"/>
    <n v="0.24050090252707582"/>
    <n v="14406"/>
    <n v="12389.40399368231"/>
    <n v="10659"/>
    <n v="549098385"/>
    <n v="1.2423565951664563E-3"/>
    <n v="0.24050090252707582"/>
    <n v="0.25014670328380628"/>
    <n v="0.27"/>
    <n v="8.8317539226347677E-2"/>
    <x v="3"/>
    <n v="4.0000000000000009"/>
    <n v="2"/>
    <n v="1.2999999999999999E-2"/>
    <n v="669.69499999999994"/>
    <n v="0"/>
    <n v="187.27799999999999"/>
    <s v="CRITFC"/>
    <n v="161.06225191787001"/>
    <n v="7138279.0049999999"/>
    <n v="0"/>
    <n v="161.06225191787001"/>
    <n v="0"/>
    <n v="0"/>
    <n v="0"/>
    <s v="Use Fryer; SIRE = spawning grounds no 53s; Wells = 0.015"/>
  </r>
  <r>
    <s v="Okanagan Sockeye"/>
    <s v="2000s"/>
    <x v="22"/>
    <n v="1997"/>
    <x v="23"/>
    <n v="50557"/>
    <n v="51515"/>
    <n v="51496"/>
    <n v="10659"/>
    <n v="0.24050090252707582"/>
    <n v="14406"/>
    <n v="12389.40399368231"/>
    <n v="10659"/>
    <n v="549098385"/>
    <n v="1.2423565951664563E-3"/>
    <n v="0.24050090252707582"/>
    <n v="0.25014670328380628"/>
    <n v="0.27"/>
    <n v="8.8317539226347677E-2"/>
    <x v="4"/>
    <n v="5.0000000000000018"/>
    <n v="2"/>
    <n v="0.221"/>
    <n v="11384.815000000001"/>
    <n v="0"/>
    <n v="3183.7260000000001"/>
    <s v="CRITFC"/>
    <n v="2738.0582826037908"/>
    <n v="121350743.08500001"/>
    <n v="0"/>
    <n v="2738.0582826037908"/>
    <n v="0"/>
    <n v="0"/>
    <n v="0"/>
    <s v="Use Fryer; SIRE = spawning grounds no 53s; Wells = 0.236"/>
  </r>
  <r>
    <s v="Okanagan Sockeye"/>
    <s v="1990s"/>
    <x v="22"/>
    <n v="1996"/>
    <x v="22"/>
    <n v="50557"/>
    <n v="51515"/>
    <n v="51496"/>
    <n v="10659"/>
    <n v="0.24050090252707582"/>
    <n v="14406"/>
    <n v="12389.40399368231"/>
    <n v="10659"/>
    <n v="549098385"/>
    <n v="1.2423565951664563E-3"/>
    <n v="0.24050090252707582"/>
    <n v="0.25014670328380628"/>
    <n v="0.27"/>
    <n v="8.8317539226347677E-2"/>
    <x v="5"/>
    <n v="5.9999999999999982"/>
    <n v="2"/>
    <n v="0.10100000000000001"/>
    <n v="5203.0150000000003"/>
    <m/>
    <n v="1455.0060000000001"/>
    <s v="CRITFC"/>
    <n v="1251.3298033619135"/>
    <n v="55458936.885000005"/>
    <n v="0"/>
    <n v="1251.3298033619135"/>
    <m/>
    <m/>
    <m/>
    <m/>
  </r>
  <r>
    <s v="Okanagan Sockeye"/>
    <s v="2000s"/>
    <x v="23"/>
    <n v="2000"/>
    <x v="25"/>
    <n v="39291"/>
    <n v="40728"/>
    <n v="40728"/>
    <n v="29374"/>
    <n v="0.84459012622559593"/>
    <n v="34992"/>
    <n v="34398.46666091607"/>
    <n v="29374"/>
    <n v="1196344272"/>
    <n v="9.8212531919072868E-4"/>
    <n v="0.84459012622559593"/>
    <n v="0.87278693528693529"/>
    <n v="0.84000000000000008"/>
    <n v="0.11832154782950305"/>
    <x v="0"/>
    <n v="3.0000000000000009"/>
    <n v="1"/>
    <n v="0.27400000000000002"/>
    <n v="11159.472000000002"/>
    <n v="0.27"/>
    <n v="9587.8080000000009"/>
    <s v="CRITFC"/>
    <n v="9425.1798650910041"/>
    <n v="327798330.528"/>
    <n v="9287.5859984473391"/>
    <n v="9425.1798650910041"/>
    <n v="7930.9800000000005"/>
    <n v="0.22680000000000003"/>
    <n v="2.0323542189092819E-5"/>
    <s v="SIRE = Broodstock (hatchery highgrading?), use Fryer"/>
  </r>
  <r>
    <s v="Okanagan Sockeye"/>
    <s v="2000s"/>
    <x v="23"/>
    <n v="1999"/>
    <x v="24"/>
    <n v="39291"/>
    <n v="40728"/>
    <n v="40728"/>
    <n v="29374"/>
    <n v="0.84459012622559593"/>
    <n v="34992"/>
    <n v="34398.46666091607"/>
    <n v="29374"/>
    <n v="1196344272"/>
    <n v="9.8212531919072868E-4"/>
    <n v="0.84459012622559593"/>
    <n v="0.87278693528693529"/>
    <n v="0.84000000000000008"/>
    <n v="0.11832154782950305"/>
    <x v="1"/>
    <n v="3.9999999999999996"/>
    <n v="1"/>
    <n v="0.49"/>
    <n v="19956.72"/>
    <n v="0.51700000000000002"/>
    <n v="17146.079999999998"/>
    <s v="CRITFC"/>
    <n v="16855.248663848874"/>
    <n v="586208693.27999997"/>
    <n v="17784.007263693609"/>
    <n v="16855.248663848874"/>
    <n v="15186.358"/>
    <n v="0.43428000000000005"/>
    <n v="2.1761091000926006E-5"/>
    <m/>
  </r>
  <r>
    <s v="Okanagan Sockeye"/>
    <s v="2000s"/>
    <x v="23"/>
    <n v="1998"/>
    <x v="23"/>
    <n v="39291"/>
    <n v="40728"/>
    <n v="40728"/>
    <n v="29374"/>
    <n v="0.84459012622559593"/>
    <n v="34992"/>
    <n v="34398.46666091607"/>
    <n v="29374"/>
    <n v="1196344272"/>
    <n v="9.8212531919072868E-4"/>
    <n v="0.84459012622559593"/>
    <n v="0.87278693528693529"/>
    <n v="0.84000000000000008"/>
    <n v="0.11832154782950305"/>
    <x v="2"/>
    <n v="5"/>
    <n v="1"/>
    <n v="1.9E-2"/>
    <n v="773.83199999999999"/>
    <n v="0.125"/>
    <n v="664.84799999999996"/>
    <s v="CRITFC"/>
    <n v="653.57086655740534"/>
    <n v="22730541.167999998"/>
    <n v="4299.8083326145088"/>
    <n v="653.57086655740534"/>
    <n v="3671.75"/>
    <n v="0.10500000000000001"/>
    <n v="1.3568836646714018E-4"/>
    <s v="Fryer age 1.3 comp (0.4%) is quite low relative to spawning ground data; Fryer age comp only adds up to 98.5%, so adding 1.5% to age 1.3 composition [2022-10-30]"/>
  </r>
  <r>
    <s v="Okanagan Sockeye"/>
    <s v="2000s"/>
    <x v="23"/>
    <n v="1999"/>
    <x v="25"/>
    <n v="39291"/>
    <n v="40728"/>
    <n v="40728"/>
    <n v="29374"/>
    <n v="0.84459012622559593"/>
    <n v="34992"/>
    <n v="34398.46666091607"/>
    <n v="29374"/>
    <n v="1196344272"/>
    <n v="9.8212531919072868E-4"/>
    <n v="0.84459012622559593"/>
    <n v="0.87278693528693529"/>
    <n v="0.84000000000000008"/>
    <n v="0.11832154782950305"/>
    <x v="3"/>
    <n v="4.0000000000000009"/>
    <n v="2"/>
    <n v="5.2999999999999999E-2"/>
    <n v="2158.5839999999998"/>
    <n v="5.0999999999999997E-2"/>
    <n v="1854.576"/>
    <s v="CRITFC"/>
    <n v="1823.1187330285518"/>
    <n v="63406246.416000001"/>
    <n v="1754.3217997067195"/>
    <n v="1823.1187330285518"/>
    <n v="1498.0739999999998"/>
    <n v="4.2840000000000003E-2"/>
    <n v="1.9846343714212653E-5"/>
    <m/>
  </r>
  <r>
    <s v="Okanagan Sockeye"/>
    <s v="2000s"/>
    <x v="23"/>
    <n v="1998"/>
    <x v="24"/>
    <n v="39291"/>
    <n v="40728"/>
    <n v="40728"/>
    <n v="29374"/>
    <n v="0.84459012622559593"/>
    <n v="34992"/>
    <n v="34398.46666091607"/>
    <n v="29374"/>
    <n v="1196344272"/>
    <n v="9.8212531919072868E-4"/>
    <n v="0.84459012622559593"/>
    <n v="0.87278693528693529"/>
    <n v="0.84000000000000008"/>
    <n v="0.11832154782950305"/>
    <x v="4"/>
    <n v="5.0000000000000018"/>
    <n v="2"/>
    <n v="8.0000000000000002E-3"/>
    <n v="325.82400000000001"/>
    <n v="0"/>
    <n v="279.93599999999998"/>
    <s v="CRITFC"/>
    <n v="275.18773328732857"/>
    <n v="9570754.1760000009"/>
    <n v="0"/>
    <n v="275.18773328732857"/>
    <n v="0"/>
    <n v="0"/>
    <n v="0"/>
    <m/>
  </r>
  <r>
    <s v="Okanagan Sockeye"/>
    <s v="2000s"/>
    <x v="23"/>
    <n v="1997"/>
    <x v="23"/>
    <n v="39291"/>
    <n v="40728"/>
    <n v="40728"/>
    <n v="29374"/>
    <n v="0.84459012622559593"/>
    <n v="34992"/>
    <n v="34398.46666091607"/>
    <n v="29374"/>
    <n v="1196344272"/>
    <n v="9.8212531919072868E-4"/>
    <n v="0.84459012622559593"/>
    <n v="0.87278693528693529"/>
    <n v="0.84000000000000008"/>
    <n v="0.11832154782950305"/>
    <x v="5"/>
    <n v="5.9999999999999982"/>
    <n v="2"/>
    <n v="8.9999999999999993E-3"/>
    <n v="366.55199999999996"/>
    <m/>
    <n v="314.928"/>
    <s v="CRITFC"/>
    <n v="309.5861999482446"/>
    <n v="10767098.447999999"/>
    <n v="0"/>
    <n v="309.5861999482446"/>
    <n v="0"/>
    <n v="0"/>
    <n v="0"/>
    <s v="check age comp for 2003 with Jeff? DONE [10/21/2020]"/>
  </r>
  <r>
    <s v="Okanagan Sockeye"/>
    <s v="2000s"/>
    <x v="23"/>
    <n v="1998"/>
    <x v="25"/>
    <n v="39291"/>
    <n v="40728"/>
    <n v="40728"/>
    <n v="29374"/>
    <n v="0.84459012622559593"/>
    <n v="34992"/>
    <n v="34398.46666091607"/>
    <n v="29374"/>
    <n v="1196344272"/>
    <n v="9.8212531919072868E-4"/>
    <n v="0.84459012622559593"/>
    <n v="0.87278693528693529"/>
    <n v="0.84000000000000008"/>
    <n v="0.11832154782950305"/>
    <x v="6"/>
    <n v="5.0000000000000009"/>
    <n v="3"/>
    <n v="6.9999999999999993E-2"/>
    <n v="2850.9599999999996"/>
    <m/>
    <n v="2449.4399999999996"/>
    <s v="CRITFC"/>
    <n v="2407.8926662641247"/>
    <n v="83744099.039999992"/>
    <n v="0"/>
    <n v="2407.8926662641247"/>
    <n v="0"/>
    <n v="0"/>
    <n v="0"/>
    <m/>
  </r>
  <r>
    <s v="Okanagan Sockeye"/>
    <s v="2000s"/>
    <x v="23"/>
    <n v="1997"/>
    <x v="24"/>
    <n v="39291"/>
    <n v="40728"/>
    <n v="40728"/>
    <n v="29374"/>
    <n v="0.84459012622559593"/>
    <n v="34992"/>
    <n v="34398.46666091607"/>
    <n v="29374"/>
    <n v="1196344272"/>
    <n v="9.8212531919072868E-4"/>
    <n v="0.84459012622559593"/>
    <n v="0.87278693528693529"/>
    <n v="0.84000000000000008"/>
    <n v="0.11832154782950305"/>
    <x v="7"/>
    <n v="6.0000000000000018"/>
    <n v="3"/>
    <n v="2.8000000000000001E-2"/>
    <n v="1140.384"/>
    <m/>
    <n v="979.77600000000007"/>
    <s v="CRITFC"/>
    <n v="963.15706650564994"/>
    <n v="33497639.616"/>
    <n v="0"/>
    <n v="963.15706650564994"/>
    <m/>
    <n v="0"/>
    <m/>
    <s v="a lot of older fish"/>
  </r>
  <r>
    <s v="Okanagan Sockeye"/>
    <s v="2000s"/>
    <x v="23"/>
    <n v="1996"/>
    <x v="23"/>
    <n v="39291"/>
    <n v="40728"/>
    <n v="40728"/>
    <n v="29374"/>
    <n v="0.84459012622559593"/>
    <n v="34992"/>
    <n v="34398.46666091607"/>
    <n v="29374"/>
    <n v="1196344272"/>
    <n v="9.8212531919072868E-4"/>
    <n v="0.84459012622559593"/>
    <n v="0.87278693528693529"/>
    <n v="0.84000000000000008"/>
    <n v="0.11832154782950305"/>
    <x v="8"/>
    <n v="6.9999999999999982"/>
    <n v="3"/>
    <n v="1E-3"/>
    <n v="40.728000000000002"/>
    <m/>
    <n v="34.991999999999997"/>
    <s v="CRITFC"/>
    <n v="34.398466660916071"/>
    <n v="1196344.2720000001"/>
    <n v="0"/>
    <n v="34.398466660916071"/>
    <m/>
    <n v="0"/>
    <m/>
    <m/>
  </r>
  <r>
    <s v="Okanagan Sockeye"/>
    <s v="2000s"/>
    <x v="23"/>
    <n v="1997"/>
    <x v="25"/>
    <n v="39291"/>
    <n v="40728"/>
    <n v="40728"/>
    <n v="29374"/>
    <n v="0.84459012622559593"/>
    <n v="34992"/>
    <n v="34398.46666091607"/>
    <n v="29374"/>
    <n v="1196344272"/>
    <n v="9.8212531919072868E-4"/>
    <n v="0.84459012622559593"/>
    <n v="0.87278693528693529"/>
    <n v="0.84000000000000008"/>
    <n v="0.11832154782950305"/>
    <x v="9"/>
    <n v="5.9999999999999964"/>
    <n v="4"/>
    <n v="4.8000000000000001E-2"/>
    <n v="1954.944"/>
    <m/>
    <n v="1679.616"/>
    <s v="CRITFC"/>
    <n v="1651.1263997239714"/>
    <n v="57424525.056000002"/>
    <n v="0"/>
    <n v="1651.1263997239714"/>
    <m/>
    <n v="0"/>
    <m/>
    <m/>
  </r>
  <r>
    <s v="Okanagan Sockeye"/>
    <s v="2000s"/>
    <x v="24"/>
    <n v="2001"/>
    <x v="26"/>
    <n v="130231"/>
    <n v="129057"/>
    <n v="128385"/>
    <n v="78053"/>
    <n v="0.73175144844655282"/>
    <n v="91547"/>
    <n v="94437.646682166771"/>
    <n v="78053"/>
    <n v="10073286021"/>
    <n v="9.1432467824294694E-4"/>
    <n v="0.73175144844655282"/>
    <n v="0.75366728328952071"/>
    <n v="0.77000000000000013"/>
    <n v="0.13462631927405849"/>
    <x v="0"/>
    <n v="3.0000000000000009"/>
    <n v="1"/>
    <n v="3.1E-2"/>
    <n v="4000.7669999999998"/>
    <n v="2.6365348399246705E-2"/>
    <n v="2837.9569999999999"/>
    <s v="CRITFC"/>
    <n v="2927.5670471471699"/>
    <n v="312271866.65100002"/>
    <n v="2489.8814567802915"/>
    <n v="2927.5670471471699"/>
    <n v="2057.8945386064029"/>
    <n v="2.0301318267419967E-2"/>
    <n v="5.0743565589848065E-6"/>
    <s v="SIRE = broodstock?  Wells = 0.016, Use Fryer"/>
  </r>
  <r>
    <s v="Okanagan Sockeye"/>
    <s v="2000s"/>
    <x v="24"/>
    <n v="2000"/>
    <x v="25"/>
    <n v="130231"/>
    <n v="129057"/>
    <n v="128385"/>
    <n v="78053"/>
    <n v="0.73175144844655282"/>
    <n v="91547"/>
    <n v="94437.646682166771"/>
    <n v="78053"/>
    <n v="10073286021"/>
    <n v="9.1432467824294694E-4"/>
    <n v="0.73175144844655282"/>
    <n v="0.75366728328952071"/>
    <n v="0.77000000000000013"/>
    <n v="0.13462631927405849"/>
    <x v="1"/>
    <n v="3.9999999999999996"/>
    <n v="1"/>
    <n v="0.93400000000000005"/>
    <n v="120539.23800000001"/>
    <n v="0.95291902071563084"/>
    <n v="85504.898000000001"/>
    <s v="CRITFC"/>
    <n v="88204.762001143768"/>
    <n v="9408449143.6140003"/>
    <n v="89991.429795059099"/>
    <n v="88204.762001143768"/>
    <n v="74378.188323917129"/>
    <n v="0.73374764595103592"/>
    <n v="6.0872099253774593E-6"/>
    <s v="broodstock; Wells = 0.951"/>
  </r>
  <r>
    <s v="Okanagan Sockeye"/>
    <s v="2000s"/>
    <x v="24"/>
    <n v="1999"/>
    <x v="24"/>
    <n v="130231"/>
    <n v="129057"/>
    <n v="128385"/>
    <n v="78053"/>
    <n v="0.73175144844655282"/>
    <n v="91547"/>
    <n v="94437.646682166771"/>
    <n v="78053"/>
    <n v="10073286021"/>
    <n v="9.1432467824294694E-4"/>
    <n v="0.73175144844655282"/>
    <n v="0.75366728328952071"/>
    <n v="0.77000000000000013"/>
    <n v="0.13462631927405849"/>
    <x v="2"/>
    <n v="5"/>
    <n v="1"/>
    <n v="0"/>
    <n v="0"/>
    <n v="1.8832391713747645E-2"/>
    <n v="0"/>
    <s v="CRITFC"/>
    <n v="0"/>
    <n v="0"/>
    <n v="1778.4867548430652"/>
    <n v="0"/>
    <n v="1469.9246704331449"/>
    <n v="1.4500941619585688E-2"/>
    <n v="0"/>
    <s v="broodstock; Wells = na"/>
  </r>
  <r>
    <s v="Okanagan Sockeye"/>
    <s v="2000s"/>
    <x v="24"/>
    <n v="2000"/>
    <x v="26"/>
    <n v="130231"/>
    <n v="129057"/>
    <n v="128385"/>
    <n v="78053"/>
    <n v="0.73175144844655282"/>
    <n v="91547"/>
    <n v="94437.646682166771"/>
    <n v="78053"/>
    <n v="10073286021"/>
    <n v="9.1432467824294694E-4"/>
    <n v="0.73175144844655282"/>
    <n v="0.75366728328952071"/>
    <n v="0.77000000000000013"/>
    <n v="0.13462631927405849"/>
    <x v="3"/>
    <n v="4.0000000000000009"/>
    <n v="2"/>
    <n v="3.0000000000000001E-3"/>
    <n v="387.17099999999999"/>
    <n v="0"/>
    <n v="274.64100000000002"/>
    <s v="CRITFC"/>
    <n v="283.31294004650033"/>
    <n v="30219858.063000001"/>
    <n v="0"/>
    <n v="283.31294004650033"/>
    <n v="0"/>
    <n v="0"/>
    <n v="0"/>
    <s v="broodstock; Wells = 0.001"/>
  </r>
  <r>
    <s v="Okanagan Sockeye"/>
    <s v="2000s"/>
    <x v="24"/>
    <n v="1999"/>
    <x v="25"/>
    <n v="130231"/>
    <n v="129057"/>
    <n v="128385"/>
    <n v="78053"/>
    <n v="0.73175144844655282"/>
    <n v="91547"/>
    <n v="94437.646682166771"/>
    <n v="78053"/>
    <n v="10073286021"/>
    <n v="9.1432467824294694E-4"/>
    <n v="0.73175144844655282"/>
    <n v="0.75366728328952071"/>
    <n v="0.77000000000000013"/>
    <n v="0.13462631927405849"/>
    <x v="4"/>
    <n v="5.0000000000000018"/>
    <n v="2"/>
    <n v="1.4999999999999999E-2"/>
    <n v="1935.855"/>
    <n v="1.8832391713747645E-3"/>
    <n v="1373.2049999999999"/>
    <s v="CRITFC"/>
    <n v="1416.5647002325015"/>
    <n v="151099290.315"/>
    <n v="177.84867548430654"/>
    <n v="1416.5647002325015"/>
    <n v="146.99246704331449"/>
    <n v="1.4500941619585688E-3"/>
    <n v="7.4907168251680459E-7"/>
    <s v="broodstock; Wells = 0.017"/>
  </r>
  <r>
    <s v="Okanagan Sockeye"/>
    <s v="2000s"/>
    <x v="24"/>
    <n v="1998"/>
    <x v="24"/>
    <n v="130231"/>
    <n v="129057"/>
    <n v="128385"/>
    <n v="78053"/>
    <n v="0.73175144844655282"/>
    <n v="91547"/>
    <n v="94437.646682166771"/>
    <n v="78053"/>
    <n v="10073286021"/>
    <n v="9.1432467824294694E-4"/>
    <n v="0.73175144844655282"/>
    <n v="0.75366728328952071"/>
    <n v="0.77000000000000013"/>
    <n v="0.13462631927405849"/>
    <x v="5"/>
    <n v="5.9999999999999982"/>
    <n v="2"/>
    <n v="0"/>
    <n v="0"/>
    <m/>
    <n v="0"/>
    <s v="CRITFC"/>
    <n v="0"/>
    <n v="0"/>
    <n v="0"/>
    <n v="0"/>
    <m/>
    <m/>
    <m/>
    <m/>
  </r>
  <r>
    <s v="Okanagan Sockeye"/>
    <s v="2000s"/>
    <x v="24"/>
    <n v="1999"/>
    <x v="26"/>
    <n v="130231"/>
    <n v="129057"/>
    <n v="128385"/>
    <n v="78053"/>
    <n v="0.73175144844655282"/>
    <n v="91547"/>
    <n v="94437.646682166771"/>
    <n v="78053"/>
    <n v="10073286021"/>
    <n v="9.1432467824294694E-4"/>
    <n v="0.73175144844655282"/>
    <n v="0.75366728328952071"/>
    <n v="0.77000000000000013"/>
    <n v="0.13462631927405849"/>
    <x v="6"/>
    <n v="5.0000000000000009"/>
    <n v="3"/>
    <n v="1.7999999999999999E-2"/>
    <n v="2323.0259999999998"/>
    <m/>
    <n v="1647.8459999999998"/>
    <s v="CRITFC"/>
    <n v="1699.8776402790018"/>
    <n v="181319148.37799999"/>
    <n v="0"/>
    <n v="1699.8776402790018"/>
    <m/>
    <m/>
    <m/>
    <m/>
  </r>
  <r>
    <s v="Okanagan Sockeye"/>
    <s v="2000s"/>
    <x v="25"/>
    <n v="2002"/>
    <x v="27"/>
    <n v="77399"/>
    <n v="75878"/>
    <n v="75874"/>
    <n v="55559"/>
    <n v="0.78003818830202454"/>
    <n v="59170"/>
    <n v="59187.73765198102"/>
    <n v="55559"/>
    <n v="4215705802"/>
    <n v="2.504019610427265E-4"/>
    <n v="0.78003818830202454"/>
    <n v="0.78290130693413229"/>
    <n v="0.78000000000000014"/>
    <n v="2.4553865619316235E-2"/>
    <x v="0"/>
    <n v="3.0000000000000009"/>
    <n v="1"/>
    <n v="1.4999999999999999E-2"/>
    <n v="1138.1699999999998"/>
    <n v="1.4999999999999999E-2"/>
    <n v="887.55"/>
    <s v="CRITFC"/>
    <n v="887.81606477971525"/>
    <n v="63235587.030000001"/>
    <n v="887.81606477971525"/>
    <n v="887.81606477971525"/>
    <n v="833.38499999999999"/>
    <n v="1.1700000000000002E-2"/>
    <n v="1.0279659453332986E-5"/>
    <s v="broodstock: Wells = 0.015"/>
  </r>
  <r>
    <s v="Okanagan Sockeye"/>
    <s v="2000s"/>
    <x v="25"/>
    <n v="2001"/>
    <x v="26"/>
    <n v="77399"/>
    <n v="75878"/>
    <n v="75874"/>
    <n v="55559"/>
    <n v="0.78003818830202454"/>
    <n v="59170"/>
    <n v="59187.73765198102"/>
    <n v="55559"/>
    <n v="4215705802"/>
    <n v="2.504019610427265E-4"/>
    <n v="0.78003818830202454"/>
    <n v="0.78290130693413229"/>
    <n v="0.78000000000000014"/>
    <n v="2.4553865619316235E-2"/>
    <x v="1"/>
    <n v="3.9999999999999996"/>
    <n v="1"/>
    <n v="0.89100000000000001"/>
    <n v="67607.297999999995"/>
    <n v="0.88700000000000001"/>
    <n v="52720.47"/>
    <s v="CRITFC"/>
    <n v="52736.274247915091"/>
    <n v="3756193869.5820003"/>
    <n v="52499.523297307169"/>
    <n v="52736.274247915091"/>
    <n v="49280.832999999999"/>
    <n v="0.69186000000000014"/>
    <n v="1.0233510589344957E-5"/>
    <s v="broodstock; Wells = 0.887"/>
  </r>
  <r>
    <s v="Okanagan Sockeye"/>
    <s v="2000s"/>
    <x v="25"/>
    <n v="2000"/>
    <x v="25"/>
    <n v="77399"/>
    <n v="75878"/>
    <n v="75874"/>
    <n v="55559"/>
    <n v="0.78003818830202454"/>
    <n v="59170"/>
    <n v="59187.73765198102"/>
    <n v="55559"/>
    <n v="4215705802"/>
    <n v="2.504019610427265E-4"/>
    <n v="0.78003818830202454"/>
    <n v="0.78290130693413229"/>
    <n v="0.78000000000000014"/>
    <n v="2.4553865619316235E-2"/>
    <x v="2"/>
    <n v="5"/>
    <n v="1"/>
    <n v="3.9E-2"/>
    <n v="2959.2420000000002"/>
    <n v="3.9E-2"/>
    <n v="2307.63"/>
    <s v="CRITFC"/>
    <n v="2308.3217684272599"/>
    <n v="164412526.278"/>
    <n v="2308.3217684272599"/>
    <n v="2308.3217684272599"/>
    <n v="2166.8009999999999"/>
    <n v="3.0420000000000006E-2"/>
    <n v="1.0279659453332984E-5"/>
    <s v="broodstock; Wells = 0.039"/>
  </r>
  <r>
    <s v="Okanagan Sockeye"/>
    <s v="2000s"/>
    <x v="25"/>
    <n v="2001"/>
    <x v="27"/>
    <n v="77399"/>
    <n v="75878"/>
    <n v="75874"/>
    <n v="55559"/>
    <n v="0.78003818830202454"/>
    <n v="59170"/>
    <n v="59187.73765198102"/>
    <n v="55559"/>
    <n v="4215705802"/>
    <n v="2.504019610427265E-4"/>
    <n v="0.78003818830202454"/>
    <n v="0.78290130693413229"/>
    <n v="0.78000000000000014"/>
    <n v="2.4553865619316235E-2"/>
    <x v="3"/>
    <n v="4.0000000000000009"/>
    <n v="2"/>
    <n v="2.3E-2"/>
    <n v="1745.194"/>
    <n v="2.3E-2"/>
    <n v="1360.91"/>
    <s v="CRITFC"/>
    <n v="1361.3179659955636"/>
    <n v="96961233.445999995"/>
    <n v="1361.3179659955636"/>
    <n v="1361.3179659955636"/>
    <n v="1277.857"/>
    <n v="1.7940000000000005E-2"/>
    <n v="1.0279659453332984E-5"/>
    <s v="broodstock; Wells = 0.023"/>
  </r>
  <r>
    <s v="Okanagan Sockeye"/>
    <s v="2000s"/>
    <x v="25"/>
    <n v="2000"/>
    <x v="26"/>
    <n v="77399"/>
    <n v="75878"/>
    <n v="75874"/>
    <n v="55559"/>
    <n v="0.78003818830202454"/>
    <n v="59170"/>
    <n v="59187.73765198102"/>
    <n v="55559"/>
    <n v="4215705802"/>
    <n v="2.504019610427265E-4"/>
    <n v="0.78003818830202454"/>
    <n v="0.78290130693413229"/>
    <n v="0.78000000000000014"/>
    <n v="2.4553865619316235E-2"/>
    <x v="4"/>
    <n v="5.0000000000000018"/>
    <n v="2"/>
    <n v="1.9E-2"/>
    <n v="1441.682"/>
    <n v="2.3E-2"/>
    <n v="1124.23"/>
    <s v="CRITFC"/>
    <n v="1124.5670153876395"/>
    <n v="80098410.237999991"/>
    <n v="1361.3179659955636"/>
    <n v="1124.5670153876395"/>
    <n v="1277.857"/>
    <n v="1.7940000000000005E-2"/>
    <n v="1.2443798285613613E-5"/>
    <s v="broodstock; Wells = 0.023"/>
  </r>
  <r>
    <s v="Okanagan Sockeye"/>
    <s v="2000s"/>
    <x v="25"/>
    <n v="1999"/>
    <x v="25"/>
    <n v="77399"/>
    <n v="75878"/>
    <n v="75874"/>
    <n v="55559"/>
    <n v="0.78003818830202454"/>
    <n v="59170"/>
    <n v="59187.73765198102"/>
    <n v="55559"/>
    <n v="4215705802"/>
    <n v="2.504019610427265E-4"/>
    <n v="0.78003818830202454"/>
    <n v="0.78290130693413229"/>
    <n v="0.78000000000000014"/>
    <n v="2.4553865619316235E-2"/>
    <x v="5"/>
    <n v="5.9999999999999982"/>
    <n v="2"/>
    <n v="1.4E-2"/>
    <n v="1062.2919999999999"/>
    <m/>
    <n v="828.38"/>
    <s v="CRITFC"/>
    <n v="828.62832712773434"/>
    <n v="59019881.228"/>
    <n v="0"/>
    <n v="828.62832712773434"/>
    <n v="0"/>
    <n v="0"/>
    <n v="0"/>
    <m/>
  </r>
  <r>
    <s v="Okanagan Sockeye"/>
    <s v="2000s"/>
    <x v="26"/>
    <n v="2003"/>
    <x v="28"/>
    <n v="37067"/>
    <n v="38407"/>
    <n v="38406"/>
    <n v="22075"/>
    <n v="0.62834452920414441"/>
    <n v="27616"/>
    <n v="24132.828333143574"/>
    <n v="22075"/>
    <n v="847834525"/>
    <n v="1.3278829380060926E-3"/>
    <n v="0.62834452920414441"/>
    <n v="0.72233291586018444"/>
    <n v="0.72799999999999987"/>
    <n v="4.2363172420975891E-2"/>
    <x v="0"/>
    <n v="3.0000000000000009"/>
    <n v="1"/>
    <n v="8.0000000000000002E-3"/>
    <n v="307.25600000000003"/>
    <n v="2.3809523809523812E-3"/>
    <n v="65.75238095238096"/>
    <s v="SiRE"/>
    <n v="193.0626266651486"/>
    <n v="6782676.2000000002"/>
    <n v="57.459115078913278"/>
    <n v="57.459115078913278"/>
    <n v="52.559523809523817"/>
    <n v="1.7333333333333333E-3"/>
    <n v="5.6413327431631381E-6"/>
    <s v="CNAT - deadpitch ages &lt;-- use"/>
  </r>
  <r>
    <s v="Okanagan Sockeye"/>
    <s v="2000s"/>
    <x v="26"/>
    <n v="2002"/>
    <x v="27"/>
    <n v="37067"/>
    <n v="38407"/>
    <n v="38406"/>
    <n v="22075"/>
    <n v="0.62834452920414441"/>
    <n v="27616"/>
    <n v="24132.828333143574"/>
    <n v="22075"/>
    <n v="847834525"/>
    <n v="1.3278829380060926E-3"/>
    <n v="0.62834452920414441"/>
    <n v="0.72233291586018444"/>
    <n v="0.72799999999999987"/>
    <n v="4.2363172420975891E-2"/>
    <x v="1"/>
    <n v="3.9999999999999996"/>
    <n v="1"/>
    <n v="0.72399999999999998"/>
    <n v="27806.667999999998"/>
    <n v="0.8833333333333333"/>
    <n v="24394.133333333331"/>
    <s v="SiRE"/>
    <n v="17472.167713195948"/>
    <n v="613832196.10000002"/>
    <n v="21317.331694276822"/>
    <n v="21317.331694276822"/>
    <n v="19499.583333333332"/>
    <n v="0.64306666666666656"/>
    <n v="2.3126347488547229E-5"/>
    <s v="CNAT - deadpitch ages"/>
  </r>
  <r>
    <s v="Okanagan Sockeye"/>
    <s v="2000s"/>
    <x v="26"/>
    <n v="2001"/>
    <x v="26"/>
    <n v="37067"/>
    <n v="38407"/>
    <n v="38406"/>
    <n v="22075"/>
    <n v="0.62834452920414441"/>
    <n v="27616"/>
    <n v="24132.828333143574"/>
    <n v="22075"/>
    <n v="847834525"/>
    <n v="1.3278829380060926E-3"/>
    <n v="0.62834452920414441"/>
    <n v="0.72233291586018444"/>
    <n v="0.72799999999999987"/>
    <n v="4.2363172420975891E-2"/>
    <x v="2"/>
    <n v="5"/>
    <n v="1"/>
    <n v="8.4000000000000005E-2"/>
    <n v="3226.1880000000001"/>
    <n v="0.10952380952380952"/>
    <n v="3024.6095238095236"/>
    <s v="SiRE"/>
    <n v="2027.1575799840602"/>
    <n v="71218100.100000009"/>
    <n v="2643.1192936300104"/>
    <n v="2643.1192936300104"/>
    <n v="2417.7380952380954"/>
    <n v="7.9733333333333323E-2"/>
    <n v="2.4714410112905174E-5"/>
    <s v="CNAT - deadpitch ages"/>
  </r>
  <r>
    <s v="Okanagan Sockeye"/>
    <s v="2000s"/>
    <x v="26"/>
    <n v="2002"/>
    <x v="28"/>
    <n v="37067"/>
    <n v="38407"/>
    <n v="38406"/>
    <n v="22075"/>
    <n v="0.62834452920414441"/>
    <n v="27616"/>
    <n v="24132.828333143574"/>
    <n v="22075"/>
    <n v="847834525"/>
    <n v="1.3278829380060926E-3"/>
    <n v="0.62834452920414441"/>
    <n v="0.72233291586018444"/>
    <n v="0.72799999999999987"/>
    <n v="4.2363172420975891E-2"/>
    <x v="3"/>
    <n v="4.0000000000000009"/>
    <n v="2"/>
    <n v="1.7000000000000001E-2"/>
    <n v="652.9190000000001"/>
    <n v="0"/>
    <n v="0"/>
    <s v="SiRE"/>
    <n v="410.25808166344081"/>
    <n v="14413186.925000001"/>
    <n v="0"/>
    <n v="0"/>
    <n v="0"/>
    <n v="0"/>
    <n v="0"/>
    <s v="CNAT - deadpitch ages"/>
  </r>
  <r>
    <s v="Okanagan Sockeye"/>
    <s v="2000s"/>
    <x v="26"/>
    <n v="2001"/>
    <x v="27"/>
    <n v="37067"/>
    <n v="38407"/>
    <n v="38406"/>
    <n v="22075"/>
    <n v="0.62834452920414441"/>
    <n v="27616"/>
    <n v="24132.828333143574"/>
    <n v="22075"/>
    <n v="847834525"/>
    <n v="1.3278829380060926E-3"/>
    <n v="0.62834452920414441"/>
    <n v="0.72233291586018444"/>
    <n v="0.72799999999999987"/>
    <n v="4.2363172420975891E-2"/>
    <x v="4"/>
    <n v="5.0000000000000018"/>
    <n v="2"/>
    <n v="0.14799999999999999"/>
    <n v="5684.2359999999999"/>
    <n v="4.7619047619047623E-3"/>
    <n v="131.50476190476192"/>
    <s v="SiRE"/>
    <n v="3571.6585933052488"/>
    <n v="125479509.69999999"/>
    <n v="114.91823015782656"/>
    <n v="114.91823015782656"/>
    <n v="105.11904761904763"/>
    <n v="3.4666666666666665E-3"/>
    <n v="6.098738100716907E-7"/>
    <s v="CNAT - deadpitch ages"/>
  </r>
  <r>
    <s v="Okanagan Sockeye"/>
    <s v="2000s"/>
    <x v="26"/>
    <n v="2000"/>
    <x v="26"/>
    <n v="37067"/>
    <n v="38407"/>
    <n v="38406"/>
    <n v="22075"/>
    <n v="0.62834452920414441"/>
    <n v="27616"/>
    <n v="24132.828333143574"/>
    <n v="22075"/>
    <n v="847834525"/>
    <n v="1.3278829380060926E-3"/>
    <n v="0.62834452920414441"/>
    <n v="0.72233291586018444"/>
    <n v="0.72799999999999987"/>
    <n v="4.2363172420975891E-2"/>
    <x v="5"/>
    <n v="5.9999999999999982"/>
    <n v="2"/>
    <n v="2E-3"/>
    <n v="76.814000000000007"/>
    <m/>
    <n v="0"/>
    <s v="SiRE"/>
    <n v="48.26565666628715"/>
    <n v="1695669.05"/>
    <n v="0"/>
    <n v="0"/>
    <m/>
    <m/>
    <m/>
    <m/>
  </r>
  <r>
    <s v="Okanagan Sockeye"/>
    <s v="2000s"/>
    <x v="27"/>
    <n v="2004"/>
    <x v="29"/>
    <n v="26604"/>
    <n v="25164"/>
    <n v="25164"/>
    <n v="22273"/>
    <n v="0.95953691802619823"/>
    <n v="22344"/>
    <n v="24145.787005211252"/>
    <n v="22273"/>
    <n v="560477772"/>
    <n v="2.3048799872834209E-3"/>
    <n v="0.95953691802619823"/>
    <n v="0.82300000000000006"/>
    <n v="0.85299999999999987"/>
    <n v="1.9065382369907159E-2"/>
    <x v="0"/>
    <n v="3.0000000000000009"/>
    <n v="1"/>
    <n v="0.42399999999999999"/>
    <n v="10669.536"/>
    <n v="0.2831168831168831"/>
    <n v="6325.9636363636364"/>
    <s v="SiRE"/>
    <n v="10237.81369020957"/>
    <n v="237642575.32799998"/>
    <n v="6836.0799573195491"/>
    <n v="6836.0799573195491"/>
    <n v="6305.8623376623373"/>
    <n v="0.24149870129870124"/>
    <n v="2.2634414589228739E-5"/>
    <s v="CNAT - deadpitch ages &lt;-- use"/>
  </r>
  <r>
    <s v="Okanagan Sockeye"/>
    <s v="2000s"/>
    <x v="27"/>
    <n v="2003"/>
    <x v="28"/>
    <n v="26604"/>
    <n v="25164"/>
    <n v="25164"/>
    <n v="22273"/>
    <n v="0.95953691802619823"/>
    <n v="22344"/>
    <n v="24145.787005211252"/>
    <n v="22273"/>
    <n v="560477772"/>
    <n v="2.3048799872834209E-3"/>
    <n v="0.95953691802619823"/>
    <n v="0.82300000000000006"/>
    <n v="0.85299999999999987"/>
    <n v="1.9065382369907159E-2"/>
    <x v="1"/>
    <n v="3.9999999999999996"/>
    <n v="1"/>
    <n v="0.38200000000000001"/>
    <n v="9612.648000000001"/>
    <n v="0.51168831168831164"/>
    <n v="11433.163636363635"/>
    <s v="SiRE"/>
    <n v="9223.6906359906989"/>
    <n v="214102508.90400001"/>
    <n v="12355.11698708212"/>
    <n v="12355.11698708212"/>
    <n v="11396.833766233765"/>
    <n v="0.43647012987012979"/>
    <n v="4.5405816365077525E-5"/>
    <s v="CNAT - deadpitch ages"/>
  </r>
  <r>
    <s v="Okanagan Sockeye"/>
    <s v="2000s"/>
    <x v="27"/>
    <n v="2002"/>
    <x v="27"/>
    <n v="26604"/>
    <n v="25164"/>
    <n v="25164"/>
    <n v="22273"/>
    <n v="0.95953691802619823"/>
    <n v="22344"/>
    <n v="24145.787005211252"/>
    <n v="22273"/>
    <n v="560477772"/>
    <n v="2.3048799872834209E-3"/>
    <n v="0.95953691802619823"/>
    <n v="0.82300000000000006"/>
    <n v="0.85299999999999987"/>
    <n v="1.9065382369907159E-2"/>
    <x v="2"/>
    <n v="5"/>
    <n v="1"/>
    <n v="3.2000000000000001E-2"/>
    <n v="805.24800000000005"/>
    <n v="0.12987012987012986"/>
    <n v="2901.8181818181815"/>
    <s v="SiRE"/>
    <n v="772.66518416676013"/>
    <n v="17935288.704"/>
    <n v="3135.8164941832792"/>
    <n v="3135.8164941832792"/>
    <n v="2892.5974025974024"/>
    <n v="0.11077922077922076"/>
    <n v="1.3757155656297283E-4"/>
    <s v="CNAT - deadpitch ages"/>
  </r>
  <r>
    <s v="Okanagan Sockeye"/>
    <s v="2000s"/>
    <x v="27"/>
    <n v="2003"/>
    <x v="29"/>
    <n v="26604"/>
    <n v="25164"/>
    <n v="25164"/>
    <n v="22273"/>
    <n v="0.95953691802619823"/>
    <n v="22344"/>
    <n v="24145.787005211252"/>
    <n v="22273"/>
    <n v="560477772"/>
    <n v="2.3048799872834209E-3"/>
    <n v="0.95953691802619823"/>
    <n v="0.82300000000000006"/>
    <n v="0.85299999999999987"/>
    <n v="1.9065382369907159E-2"/>
    <x v="3"/>
    <n v="4.0000000000000009"/>
    <n v="2"/>
    <n v="5.8000000000000003E-2"/>
    <n v="1459.5120000000002"/>
    <n v="6.4935064935064901E-2"/>
    <n v="1450.9090909090901"/>
    <s v="SiRE"/>
    <n v="1400.4556463022527"/>
    <n v="32507710.776000001"/>
    <n v="1567.9082470916389"/>
    <n v="1567.9082470916389"/>
    <n v="1446.2987012987005"/>
    <n v="5.538961038961035E-2"/>
    <n v="3.7950774224268349E-5"/>
    <s v="CNAT - deadpitch ages"/>
  </r>
  <r>
    <s v="Okanagan Sockeye"/>
    <s v="2000s"/>
    <x v="27"/>
    <n v="2002"/>
    <x v="28"/>
    <n v="26604"/>
    <n v="25164"/>
    <n v="25164"/>
    <n v="22273"/>
    <n v="0.95953691802619823"/>
    <n v="22344"/>
    <n v="24145.787005211252"/>
    <n v="22273"/>
    <n v="560477772"/>
    <n v="2.3048799872834209E-3"/>
    <n v="0.95953691802619823"/>
    <n v="0.82300000000000006"/>
    <n v="0.85299999999999987"/>
    <n v="1.9065382369907159E-2"/>
    <x v="4"/>
    <n v="5.0000000000000018"/>
    <n v="2"/>
    <n v="9.2999999999999999E-2"/>
    <n v="2340.252"/>
    <n v="1.038961038961039E-2"/>
    <n v="232.14545454545456"/>
    <s v="SiRE"/>
    <n v="2245.5581914846466"/>
    <n v="52124432.795999996"/>
    <n v="250.86531953466235"/>
    <n v="250.86531953466235"/>
    <n v="231.4077922077922"/>
    <n v="8.8623376623376618E-3"/>
    <n v="3.7869159656044142E-6"/>
    <s v="CNAT - deadpitch ages"/>
  </r>
  <r>
    <s v="Okanagan Sockeye"/>
    <s v="2000s"/>
    <x v="27"/>
    <n v="2001"/>
    <x v="27"/>
    <n v="26604"/>
    <n v="25164"/>
    <n v="25164"/>
    <n v="22273"/>
    <n v="0.95953691802619823"/>
    <n v="22344"/>
    <n v="24145.787005211252"/>
    <n v="22273"/>
    <n v="560477772"/>
    <n v="2.3048799872834209E-3"/>
    <n v="0.95953691802619823"/>
    <n v="0.82300000000000006"/>
    <n v="0.85299999999999987"/>
    <n v="1.9065382369907159E-2"/>
    <x v="5"/>
    <n v="5.9999999999999982"/>
    <n v="2"/>
    <n v="1.0999999999999999E-2"/>
    <n v="276.80399999999997"/>
    <m/>
    <n v="0"/>
    <s v="SiRE"/>
    <n v="265.60365705732374"/>
    <n v="6165255.4919999996"/>
    <n v="0"/>
    <n v="0"/>
    <m/>
    <m/>
    <m/>
    <m/>
  </r>
  <r>
    <s v="Okanagan Sockeye"/>
    <s v="2000s"/>
    <x v="28"/>
    <n v="2005"/>
    <x v="30"/>
    <n v="214465"/>
    <n v="225383"/>
    <n v="224525"/>
    <n v="165334"/>
    <n v="0.85338522445145271"/>
    <n v="190819"/>
    <n v="192338.52204254176"/>
    <n v="165334"/>
    <n v="37263472922"/>
    <n v="3.9488337629723629E-3"/>
    <n v="0.85338522445145271"/>
    <n v="0.87662988966900701"/>
    <n v="0.83299999999999996"/>
    <n v="9.2991871729206102E-2"/>
    <x v="0"/>
    <n v="3.0000000000000009"/>
    <n v="1"/>
    <n v="7.3999999999999996E-2"/>
    <n v="16678.342000000001"/>
    <n v="4.6382189239332093E-2"/>
    <n v="8850.6029684601108"/>
    <s v="SiRE"/>
    <n v="14233.050631148089"/>
    <n v="2757496996.2279997"/>
    <n v="8921.0817273906196"/>
    <n v="8921.0817273906196"/>
    <n v="7668.5528756957319"/>
    <n v="3.8636363636363628E-2"/>
    <n v="2.3165590222555471E-6"/>
    <s v="CNAT - deadpitch ages"/>
  </r>
  <r>
    <s v="Okanagan Sockeye"/>
    <s v="2000s"/>
    <x v="28"/>
    <n v="2004"/>
    <x v="29"/>
    <n v="214465"/>
    <n v="225383"/>
    <n v="224525"/>
    <n v="165334"/>
    <n v="0.85338522445145271"/>
    <n v="190819"/>
    <n v="192338.52204254176"/>
    <n v="165334"/>
    <n v="37263472922"/>
    <n v="3.9488337629723629E-3"/>
    <n v="0.85338522445145271"/>
    <n v="0.87662988966900701"/>
    <n v="0.83299999999999996"/>
    <n v="9.2991871729206102E-2"/>
    <x v="1"/>
    <n v="3.9999999999999996"/>
    <n v="1"/>
    <n v="0.86399999999999999"/>
    <n v="194730.91200000001"/>
    <n v="0.94063079777365488"/>
    <n v="179490.22820037106"/>
    <s v="SiRE"/>
    <n v="166180.48304475608"/>
    <n v="32195640604.607998"/>
    <n v="180919.53743148176"/>
    <n v="180919.53743148176"/>
    <n v="155518.25231910945"/>
    <n v="0.78354545454545443"/>
    <n v="4.0237343239344266E-6"/>
    <s v="CNAT - deadpitch ages"/>
  </r>
  <r>
    <s v="Okanagan Sockeye"/>
    <s v="2000s"/>
    <x v="28"/>
    <n v="2003"/>
    <x v="28"/>
    <n v="214465"/>
    <n v="225383"/>
    <n v="224525"/>
    <n v="165334"/>
    <n v="0.85338522445145271"/>
    <n v="190819"/>
    <n v="192338.52204254176"/>
    <n v="165334"/>
    <n v="37263472922"/>
    <n v="3.9488337629723629E-3"/>
    <n v="0.85338522445145271"/>
    <n v="0.87662988966900701"/>
    <n v="0.83299999999999996"/>
    <n v="9.2991871729206102E-2"/>
    <x v="2"/>
    <n v="5"/>
    <n v="1"/>
    <n v="7.0000000000000001E-3"/>
    <n v="1577.681"/>
    <n v="9.2764378478664197E-3"/>
    <n v="1770.1205936920223"/>
    <s v="SiRE"/>
    <n v="1346.3696542977923"/>
    <n v="260844310.454"/>
    <n v="1784.2163454781241"/>
    <n v="1784.2163454781241"/>
    <n v="1533.7105751391466"/>
    <n v="7.7272727272727276E-3"/>
    <n v="4.8978676470545864E-6"/>
    <s v="CNAT - deadpitch ages"/>
  </r>
  <r>
    <s v="Okanagan Sockeye"/>
    <s v="2000s"/>
    <x v="28"/>
    <n v="2004"/>
    <x v="30"/>
    <n v="214465"/>
    <n v="225383"/>
    <n v="224525"/>
    <n v="165334"/>
    <n v="0.85338522445145271"/>
    <n v="190819"/>
    <n v="192338.52204254176"/>
    <n v="165334"/>
    <n v="37263472922"/>
    <n v="3.9488337629723629E-3"/>
    <n v="0.85338522445145271"/>
    <n v="0.87662988966900701"/>
    <n v="0.83299999999999996"/>
    <n v="9.2991871729206102E-2"/>
    <x v="3"/>
    <n v="4.0000000000000009"/>
    <n v="2"/>
    <n v="2.3E-2"/>
    <n v="5183.8090000000002"/>
    <n v="0"/>
    <n v="0"/>
    <s v="SiRE"/>
    <n v="4423.7860069784601"/>
    <n v="857059877.20599997"/>
    <n v="0"/>
    <n v="0"/>
    <n v="0"/>
    <n v="0"/>
    <n v="0"/>
    <s v="CNAT - deadpitch ages"/>
  </r>
  <r>
    <s v="Okanagan Sockeye"/>
    <s v="2000s"/>
    <x v="28"/>
    <n v="2003"/>
    <x v="29"/>
    <n v="214465"/>
    <n v="225383"/>
    <n v="224525"/>
    <n v="165334"/>
    <n v="0.85338522445145271"/>
    <n v="190819"/>
    <n v="192338.52204254176"/>
    <n v="165334"/>
    <n v="37263472922"/>
    <n v="3.9488337629723629E-3"/>
    <n v="0.85338522445145271"/>
    <n v="0.87662988966900701"/>
    <n v="0.83299999999999996"/>
    <n v="9.2991871729206102E-2"/>
    <x v="4"/>
    <n v="5.0000000000000018"/>
    <n v="2"/>
    <n v="3.2000000000000001E-2"/>
    <n v="7212.2560000000003"/>
    <n v="3.7105751391465678E-3"/>
    <n v="708.04823747680894"/>
    <s v="SiRE"/>
    <n v="6154.8327053613366"/>
    <n v="1192431133.5039999"/>
    <n v="713.68653819124961"/>
    <n v="713.68653819124961"/>
    <n v="613.4842300556586"/>
    <n v="3.0909090909090908E-3"/>
    <n v="4.285634191172763E-7"/>
    <s v="CNAT - deadpitch ages"/>
  </r>
  <r>
    <s v="Okanagan Sockeye"/>
    <s v="2000s"/>
    <x v="29"/>
    <n v="2006"/>
    <x v="31"/>
    <n v="179732"/>
    <n v="187614"/>
    <n v="186485"/>
    <n v="134937"/>
    <n v="0.82869864275624883"/>
    <n v="154546"/>
    <n v="155475.46716207085"/>
    <n v="134937"/>
    <n v="25316070318"/>
    <n v="7.5367509887321838E-3"/>
    <n v="0.82869864275624883"/>
    <n v="0.84521802685402403"/>
    <n v="0.82599999999999996"/>
    <n v="6.7083143416360569E-2"/>
    <x v="0"/>
    <n v="3.0000000000000009"/>
    <n v="1"/>
    <n v="0.125"/>
    <n v="23451.75"/>
    <n v="3.4979423868312758E-2"/>
    <n v="5405.9300411522636"/>
    <s v="SiRE"/>
    <n v="19434.433395258857"/>
    <n v="3164508789.75"/>
    <n v="5438.4422669860178"/>
    <n v="5438.4422669860178"/>
    <n v="4720.0185185185182"/>
    <n v="2.8893004115226335E-2"/>
    <n v="1.2320191079653473E-6"/>
    <s v="CNAT - deadpitch ages"/>
  </r>
  <r>
    <s v="Okanagan Sockeye"/>
    <s v="2000s"/>
    <x v="29"/>
    <n v="2005"/>
    <x v="30"/>
    <n v="179732"/>
    <n v="187614"/>
    <n v="186485"/>
    <n v="134937"/>
    <n v="0.82869864275624883"/>
    <n v="154546"/>
    <n v="155475.46716207085"/>
    <n v="134937"/>
    <n v="25316070318"/>
    <n v="7.5367509887321838E-3"/>
    <n v="0.82869864275624883"/>
    <n v="0.84521802685402403"/>
    <n v="0.82599999999999996"/>
    <n v="6.7083143416360569E-2"/>
    <x v="1"/>
    <n v="3.9999999999999996"/>
    <n v="1"/>
    <n v="0.79200000000000004"/>
    <n v="148590.288"/>
    <n v="0.87860082304526754"/>
    <n v="135784.24279835392"/>
    <s v="SiRE"/>
    <n v="123136.56999236012"/>
    <n v="20050327691.856003"/>
    <n v="136600.87341194291"/>
    <n v="136600.87341194291"/>
    <n v="118555.75925925927"/>
    <n v="0.72572427983539101"/>
    <n v="4.8840626773358905E-6"/>
    <s v="CNAT - deadpitch ages"/>
  </r>
  <r>
    <s v="Okanagan Sockeye"/>
    <s v="2000s"/>
    <x v="29"/>
    <n v="2004"/>
    <x v="29"/>
    <n v="179732"/>
    <n v="187614"/>
    <n v="186485"/>
    <n v="134937"/>
    <n v="0.82869864275624883"/>
    <n v="154546"/>
    <n v="155475.46716207085"/>
    <n v="134937"/>
    <n v="25316070318"/>
    <n v="7.5367509887321838E-3"/>
    <n v="0.82869864275624883"/>
    <n v="0.84521802685402403"/>
    <n v="0.82599999999999996"/>
    <n v="6.7083143416360569E-2"/>
    <x v="2"/>
    <n v="5"/>
    <n v="1"/>
    <n v="2.5999999999999999E-2"/>
    <n v="4877.9639999999999"/>
    <n v="5.3497942386831275E-2"/>
    <n v="8267.8930041152271"/>
    <s v="SiRE"/>
    <n v="4042.3621462138422"/>
    <n v="658217828.26800001"/>
    <n v="8317.6175848021448"/>
    <n v="8317.6175848021448"/>
    <n v="7218.8518518518522"/>
    <n v="4.4189300411522629E-2"/>
    <n v="9.0589640291569652E-6"/>
    <s v="CNAT - deadpitch ages"/>
  </r>
  <r>
    <s v="Okanagan Sockeye"/>
    <s v="2000s"/>
    <x v="29"/>
    <n v="2005"/>
    <x v="31"/>
    <n v="179732"/>
    <n v="187614"/>
    <n v="186485"/>
    <n v="134937"/>
    <n v="0.82869864275624883"/>
    <n v="154546"/>
    <n v="155475.46716207085"/>
    <n v="134937"/>
    <n v="25316070318"/>
    <n v="7.5367509887321838E-3"/>
    <n v="0.82869864275624883"/>
    <n v="0.84521802685402403"/>
    <n v="0.82599999999999996"/>
    <n v="6.7083143416360569E-2"/>
    <x v="3"/>
    <n v="4.0000000000000009"/>
    <n v="2"/>
    <n v="0.01"/>
    <n v="1876.14"/>
    <n v="0"/>
    <n v="0"/>
    <s v="SiRE"/>
    <n v="1554.7546716207087"/>
    <n v="253160703.18000001"/>
    <n v="0"/>
    <n v="0"/>
    <n v="0"/>
    <n v="0"/>
    <n v="0"/>
    <s v="CNAT - deadpitch ages"/>
  </r>
  <r>
    <s v="Okanagan Sockeye"/>
    <s v="2000s"/>
    <x v="29"/>
    <n v="2004"/>
    <x v="30"/>
    <n v="179732"/>
    <n v="187614"/>
    <n v="186485"/>
    <n v="134937"/>
    <n v="0.82869864275624883"/>
    <n v="154546"/>
    <n v="155475.46716207085"/>
    <n v="134937"/>
    <n v="25316070318"/>
    <n v="7.5367509887321838E-3"/>
    <n v="0.82869864275624883"/>
    <n v="0.84521802685402403"/>
    <n v="0.82599999999999996"/>
    <n v="6.7083143416360569E-2"/>
    <x v="4"/>
    <n v="5.0000000000000018"/>
    <n v="2"/>
    <n v="4.5999999999999999E-2"/>
    <n v="8630.2440000000006"/>
    <n v="3.292181069958848E-2"/>
    <n v="5087.9341563786011"/>
    <s v="SiRE"/>
    <n v="7151.8714894552595"/>
    <n v="1164539234.628"/>
    <n v="5118.5338983397814"/>
    <n v="5118.5338983397814"/>
    <n v="4442.3703703703704"/>
    <n v="2.7193415637860083E-2"/>
    <n v="3.1509440101415536E-6"/>
    <s v="CNAT - deadpitch ages"/>
  </r>
  <r>
    <s v="Okanagan Sockeye"/>
    <s v="2000s"/>
    <x v="29"/>
    <n v="2003"/>
    <x v="29"/>
    <n v="179732"/>
    <n v="187614"/>
    <n v="186485"/>
    <n v="134937"/>
    <n v="0.82869864275624883"/>
    <n v="154546"/>
    <n v="155475.46716207085"/>
    <n v="134937"/>
    <n v="25316070318"/>
    <n v="7.5367509887321838E-3"/>
    <n v="0.82869864275624883"/>
    <n v="0.84521802685402403"/>
    <n v="0.82599999999999996"/>
    <n v="6.7083143416360569E-2"/>
    <x v="5"/>
    <n v="5.9999999999999982"/>
    <n v="2"/>
    <n v="1E-3"/>
    <n v="187.614"/>
    <n v="0"/>
    <n v="0"/>
    <s v="SiRE"/>
    <n v="155.47546716207086"/>
    <n v="25316070.318"/>
    <n v="0"/>
    <n v="0"/>
    <n v="0"/>
    <n v="0"/>
    <n v="0"/>
    <m/>
  </r>
  <r>
    <s v="Okanagan Sockeye"/>
    <s v="2000s"/>
    <x v="30"/>
    <n v="2007"/>
    <x v="32"/>
    <n v="392193"/>
    <n v="409950"/>
    <n v="408346"/>
    <n v="291764"/>
    <n v="0.86241612722059646"/>
    <n v="355037"/>
    <n v="353547.49135408353"/>
    <n v="291764"/>
    <n v="119608651800"/>
    <n v="4.539577997316746E-3"/>
    <n v="0.86241612722059646"/>
    <n v="0.87268949753590441"/>
    <n v="0.81799999999999995"/>
    <n v="0.10297639746685409"/>
    <x v="0"/>
    <n v="3.0000000000000009"/>
    <n v="1"/>
    <n v="1.7999999999999999E-2"/>
    <n v="7379.0999999999995"/>
    <n v="8.8183421516754845E-3"/>
    <n v="3130.8377425044091"/>
    <s v="SiRE"/>
    <n v="6363.8548443735026"/>
    <n v="2152955732.3999996"/>
    <n v="3117.7027456268388"/>
    <n v="3117.7027456268388"/>
    <n v="2572.8747795414461"/>
    <n v="7.2134038800705461E-3"/>
    <n v="9.7754521284039333E-7"/>
    <s v="CNAT - deadpitch ages"/>
  </r>
  <r>
    <s v="Okanagan Sockeye"/>
    <s v="2000s"/>
    <x v="30"/>
    <n v="2006"/>
    <x v="31"/>
    <n v="392193"/>
    <n v="409950"/>
    <n v="408346"/>
    <n v="291764"/>
    <n v="0.86241612722059646"/>
    <n v="355037"/>
    <n v="353547.49135408353"/>
    <n v="291764"/>
    <n v="119608651800"/>
    <n v="4.539577997316746E-3"/>
    <n v="0.86241612722059646"/>
    <n v="0.87268949753590441"/>
    <n v="0.81799999999999995"/>
    <n v="0.10297639746685409"/>
    <x v="1"/>
    <n v="3.9999999999999996"/>
    <n v="1"/>
    <n v="0.95399999999999996"/>
    <n v="391092.3"/>
    <n v="0.89400000000000002"/>
    <n v="317403.07799999998"/>
    <s v="SiRE"/>
    <n v="337284.3067517957"/>
    <n v="114106653817.2"/>
    <n v="316071.45727055066"/>
    <n v="316071.45727055066"/>
    <n v="260837.016"/>
    <n v="0.73129199999999994"/>
    <n v="1.8698706162202631E-6"/>
    <s v="CNAT - deadpitch ages"/>
  </r>
  <r>
    <s v="Okanagan Sockeye"/>
    <s v="2000s"/>
    <x v="30"/>
    <n v="2005"/>
    <x v="30"/>
    <n v="392193"/>
    <n v="409950"/>
    <n v="408346"/>
    <n v="291764"/>
    <n v="0.86241612722059646"/>
    <n v="355037"/>
    <n v="353547.49135408353"/>
    <n v="291764"/>
    <n v="119608651800"/>
    <n v="4.539577997316746E-3"/>
    <n v="0.86241612722059646"/>
    <n v="0.87268949753590441"/>
    <n v="0.81799999999999995"/>
    <n v="0.10297639746685409"/>
    <x v="2"/>
    <n v="5"/>
    <n v="1"/>
    <n v="5.0000000000000001E-3"/>
    <n v="2049.75"/>
    <n v="7.3999999999999996E-2"/>
    <n v="26272.737999999998"/>
    <s v="SiRE"/>
    <n v="1767.7374567704176"/>
    <n v="598043259"/>
    <n v="26162.514360202178"/>
    <n v="26162.514360202178"/>
    <n v="21590.536"/>
    <n v="6.0531999999999996E-2"/>
    <n v="2.95314062690572E-5"/>
    <s v="CNAT - deadpitch ages"/>
  </r>
  <r>
    <s v="Okanagan Sockeye"/>
    <s v="2000s"/>
    <x v="30"/>
    <n v="2006"/>
    <x v="32"/>
    <n v="392193"/>
    <n v="409950"/>
    <n v="408346"/>
    <n v="291764"/>
    <n v="0.86241612722059646"/>
    <n v="355037"/>
    <n v="353547.49135408353"/>
    <n v="291764"/>
    <n v="119608651800"/>
    <n v="4.539577997316746E-3"/>
    <n v="0.86241612722059646"/>
    <n v="0.87268949753590441"/>
    <n v="0.81799999999999995"/>
    <n v="0.10297639746685409"/>
    <x v="3"/>
    <n v="4.0000000000000009"/>
    <n v="2"/>
    <n v="6.0000000000000001E-3"/>
    <n v="2459.7000000000003"/>
    <n v="1.7000000000000001E-2"/>
    <n v="6035.6290000000008"/>
    <s v="SiRE"/>
    <n v="2121.2849481245012"/>
    <n v="717651910.80000007"/>
    <n v="6010.3073530194206"/>
    <n v="6010.3073530194206"/>
    <n v="4959.9880000000003"/>
    <n v="1.3906E-2"/>
    <n v="5.6535349839411304E-6"/>
    <s v="CNAT - deadpitch ages"/>
  </r>
  <r>
    <s v="Okanagan Sockeye"/>
    <s v="2000s"/>
    <x v="30"/>
    <n v="2005"/>
    <x v="31"/>
    <n v="392193"/>
    <n v="409950"/>
    <n v="408346"/>
    <n v="291764"/>
    <n v="0.86241612722059646"/>
    <n v="355037"/>
    <n v="353547.49135408353"/>
    <n v="291764"/>
    <n v="119608651800"/>
    <n v="4.539577997316746E-3"/>
    <n v="0.86241612722059646"/>
    <n v="0.87268949753590441"/>
    <n v="0.81799999999999995"/>
    <n v="0.10297639746685409"/>
    <x v="4"/>
    <n v="5.0000000000000018"/>
    <n v="2"/>
    <n v="1.6E-2"/>
    <n v="6559.2"/>
    <n v="6.0000000000000001E-3"/>
    <n v="2130.2220000000002"/>
    <s v="SiRE"/>
    <n v="5656.7598616653368"/>
    <n v="1913738428.8"/>
    <n v="2121.2849481245012"/>
    <n v="2121.2849481245012"/>
    <n v="1750.5840000000001"/>
    <n v="4.908E-3"/>
    <n v="7.4826198316867915E-7"/>
    <s v="CNAT - deadpitch ages"/>
  </r>
  <r>
    <s v="Okanagan Sockeye"/>
    <s v="2010s"/>
    <x v="31"/>
    <n v="2008"/>
    <x v="33"/>
    <n v="187365"/>
    <n v="196529"/>
    <n v="194960"/>
    <n v="111508"/>
    <n v="0.76317320393399535"/>
    <n v="171572"/>
    <n v="149985.66659594417"/>
    <n v="111508"/>
    <n v="21914555732"/>
    <n v="7.9428481292837198E-3"/>
    <n v="0.76317320393399535"/>
    <n v="0.85363401434282982"/>
    <n v="0.7679999999999999"/>
    <n v="0.17662597455888387"/>
    <x v="0"/>
    <n v="3.0000000000000009"/>
    <n v="1"/>
    <n v="0.26100000000000001"/>
    <n v="51294.069000000003"/>
    <n v="0.182"/>
    <n v="31226.103999999999"/>
    <s v="SiRE"/>
    <n v="39146.258981541432"/>
    <n v="5719699046.052"/>
    <n v="27297.39132046184"/>
    <n v="27297.39132046184"/>
    <n v="20294.455999999998"/>
    <n v="0.13977599999999998"/>
    <n v="2.724993410056823E-6"/>
    <s v="CNAT - deadpitch ages"/>
  </r>
  <r>
    <s v="Okanagan Sockeye"/>
    <s v="2000s"/>
    <x v="31"/>
    <n v="2007"/>
    <x v="32"/>
    <n v="187365"/>
    <n v="196529"/>
    <n v="194960"/>
    <n v="111508"/>
    <n v="0.76317320393399535"/>
    <n v="171572"/>
    <n v="149985.66659594417"/>
    <n v="111508"/>
    <n v="21914555732"/>
    <n v="7.9428481292837198E-3"/>
    <n v="0.76317320393399535"/>
    <n v="0.85363401434282982"/>
    <n v="0.7679999999999999"/>
    <n v="0.17662597455888387"/>
    <x v="1"/>
    <n v="3.9999999999999996"/>
    <n v="1"/>
    <n v="0.59199999999999997"/>
    <n v="116345.16799999999"/>
    <n v="0.66400000000000003"/>
    <n v="113923.808"/>
    <s v="SiRE"/>
    <n v="88791.514624798947"/>
    <n v="12973416993.344"/>
    <n v="99590.482619706934"/>
    <n v="99590.482619706934"/>
    <n v="74041.312000000005"/>
    <n v="0.50995199999999996"/>
    <n v="4.3830956520686786E-6"/>
    <s v="CNAT - deadpitch ages"/>
  </r>
  <r>
    <s v="Okanagan Sockeye"/>
    <s v="2000s"/>
    <x v="31"/>
    <n v="2006"/>
    <x v="31"/>
    <n v="187365"/>
    <n v="196529"/>
    <n v="194960"/>
    <n v="111508"/>
    <n v="0.76317320393399535"/>
    <n v="171572"/>
    <n v="149985.66659594417"/>
    <n v="111508"/>
    <n v="21914555732"/>
    <n v="7.9428481292837198E-3"/>
    <n v="0.76317320393399535"/>
    <n v="0.85363401434282982"/>
    <n v="0.7679999999999999"/>
    <n v="0.17662597455888387"/>
    <x v="2"/>
    <n v="5"/>
    <n v="1"/>
    <n v="7.6999999999999999E-2"/>
    <n v="15132.733"/>
    <n v="7.0999999999999994E-2"/>
    <n v="12181.611999999999"/>
    <s v="SiRE"/>
    <n v="11548.896327887702"/>
    <n v="1687420791.3640001"/>
    <n v="10648.982328312035"/>
    <n v="10648.982328312035"/>
    <n v="7917.0679999999993"/>
    <n v="5.4527999999999986E-2"/>
    <n v="3.6033147482348352E-6"/>
    <s v="CNAT - deadpitch ages"/>
  </r>
  <r>
    <s v="Okanagan Sockeye"/>
    <s v="2010s"/>
    <x v="31"/>
    <n v="2007"/>
    <x v="33"/>
    <n v="187365"/>
    <n v="196529"/>
    <n v="194960"/>
    <n v="111508"/>
    <n v="0.76317320393399535"/>
    <n v="171572"/>
    <n v="149985.66659594417"/>
    <n v="111508"/>
    <n v="21914555732"/>
    <n v="7.9428481292837198E-3"/>
    <n v="0.76317320393399535"/>
    <n v="0.85363401434282982"/>
    <n v="0.7679999999999999"/>
    <n v="0.17662597455888387"/>
    <x v="3"/>
    <n v="4.0000000000000009"/>
    <n v="2"/>
    <n v="3.1E-2"/>
    <n v="6092.3990000000003"/>
    <n v="4.2999999999999997E-2"/>
    <n v="7377.5959999999995"/>
    <s v="SiRE"/>
    <n v="4649.5556644742692"/>
    <n v="679351227.69200003"/>
    <n v="6449.3836636255992"/>
    <n v="6449.3836636255992"/>
    <n v="4794.8440000000001"/>
    <n v="3.3023999999999991E-2"/>
    <n v="5.4205248211747109E-6"/>
    <s v="CNAT - deadpitch ages"/>
  </r>
  <r>
    <s v="Okanagan Sockeye"/>
    <s v="2000s"/>
    <x v="31"/>
    <n v="2006"/>
    <x v="32"/>
    <n v="187365"/>
    <n v="196529"/>
    <n v="194960"/>
    <n v="111508"/>
    <n v="0.76317320393399535"/>
    <n v="171572"/>
    <n v="149985.66659594417"/>
    <n v="111508"/>
    <n v="21914555732"/>
    <n v="7.9428481292837198E-3"/>
    <n v="0.76317320393399535"/>
    <n v="0.85363401434282982"/>
    <n v="0.7679999999999999"/>
    <n v="0.17662597455888387"/>
    <x v="4"/>
    <n v="5.0000000000000018"/>
    <n v="2"/>
    <n v="3.6999999999999998E-2"/>
    <n v="7271.5729999999994"/>
    <n v="0.04"/>
    <n v="6862.88"/>
    <s v="SiRE"/>
    <n v="5549.4696640499342"/>
    <n v="810838562.08399999"/>
    <n v="5999.4266638377667"/>
    <n v="5999.4266638377667"/>
    <n v="4460.32"/>
    <n v="3.0719999999999997E-2"/>
    <n v="4.2246705080180034E-6"/>
    <s v="CNAT - deadpitch ages"/>
  </r>
  <r>
    <s v="Okanagan Sockeye"/>
    <s v="2000s"/>
    <x v="31"/>
    <n v="2005"/>
    <x v="31"/>
    <n v="187365"/>
    <n v="196529"/>
    <n v="194960"/>
    <n v="111508"/>
    <n v="0.76317320393399535"/>
    <n v="171572"/>
    <n v="149985.66659594417"/>
    <n v="111508"/>
    <n v="21914555732"/>
    <n v="7.9428481292837198E-3"/>
    <n v="0.76317320393399535"/>
    <n v="0.85363401434282982"/>
    <n v="0.7679999999999999"/>
    <n v="0.17662597455888387"/>
    <x v="5"/>
    <n v="5.9999999999999982"/>
    <n v="2"/>
    <n v="2E-3"/>
    <n v="393.05799999999999"/>
    <n v="0"/>
    <n v="0"/>
    <s v="SiRE"/>
    <n v="299.97133319188833"/>
    <n v="43829111.464000002"/>
    <n v="0"/>
    <n v="0"/>
    <n v="0"/>
    <n v="0"/>
    <n v="0"/>
    <m/>
  </r>
  <r>
    <s v="Okanagan Sockeye"/>
    <s v="2010s"/>
    <x v="32"/>
    <n v="2009"/>
    <x v="34"/>
    <n v="521159"/>
    <n v="550232"/>
    <n v="545637"/>
    <n v="326107"/>
    <n v="0.79418196873021285"/>
    <n v="461765"/>
    <n v="436984.33301836246"/>
    <n v="326107"/>
    <n v="179434506824"/>
    <n v="9.3051658209627943E-4"/>
    <n v="0.79418196873021285"/>
    <n v="0.88812599785679791"/>
    <n v="0.82400000000000007"/>
    <n v="0.16339251187144566"/>
    <x v="0"/>
    <n v="3.0000000000000009"/>
    <n v="1"/>
    <n v="1.7000000000000001E-2"/>
    <n v="9353.9440000000013"/>
    <n v="3.0000000000000001E-3"/>
    <n v="1385.2950000000001"/>
    <s v="SiRE"/>
    <n v="7428.7336613121624"/>
    <n v="3050386616.0080004"/>
    <n v="1310.9529990550875"/>
    <n v="1310.9529990550875"/>
    <n v="978.32100000000003"/>
    <n v="2.4720000000000002E-3"/>
    <n v="2.6427355134903521E-7"/>
    <s v="CNAT - deadpitch ages"/>
  </r>
  <r>
    <s v="Okanagan Sockeye"/>
    <s v="2010s"/>
    <x v="32"/>
    <n v="2008"/>
    <x v="33"/>
    <n v="521159"/>
    <n v="550232"/>
    <n v="545637"/>
    <n v="326107"/>
    <n v="0.79418196873021285"/>
    <n v="461765"/>
    <n v="436984.33301836246"/>
    <n v="326107"/>
    <n v="179434506824"/>
    <n v="9.3051658209627943E-4"/>
    <n v="0.79418196873021285"/>
    <n v="0.88812599785679791"/>
    <n v="0.82400000000000007"/>
    <n v="0.16339251187144566"/>
    <x v="1"/>
    <n v="3.9999999999999996"/>
    <n v="1"/>
    <n v="0.96"/>
    <n v="528222.71999999997"/>
    <n v="0.97099999999999997"/>
    <n v="448373.815"/>
    <s v="SiRE"/>
    <n v="419504.95969762793"/>
    <n v="172257126551.04001"/>
    <n v="424311.78736082994"/>
    <n v="424311.78736082994"/>
    <n v="316649.897"/>
    <n v="0.80010400000000004"/>
    <n v="1.5147095528189322E-6"/>
    <s v="CNAT - deadpitch ages"/>
  </r>
  <r>
    <s v="Okanagan Sockeye"/>
    <s v="2000s"/>
    <x v="32"/>
    <n v="2007"/>
    <x v="32"/>
    <n v="521159"/>
    <n v="550232"/>
    <n v="545637"/>
    <n v="326107"/>
    <n v="0.79418196873021285"/>
    <n v="461765"/>
    <n v="436984.33301836246"/>
    <n v="326107"/>
    <n v="179434506824"/>
    <n v="9.3051658209627943E-4"/>
    <n v="0.79418196873021285"/>
    <n v="0.88812599785679791"/>
    <n v="0.82400000000000007"/>
    <n v="0.16339251187144566"/>
    <x v="2"/>
    <n v="5"/>
    <n v="1"/>
    <n v="1.7000000000000001E-2"/>
    <n v="9353.9440000000013"/>
    <n v="7.0000000000000001E-3"/>
    <n v="3232.355"/>
    <s v="SiRE"/>
    <n v="7428.7336613121624"/>
    <n v="3050386616.0080004"/>
    <n v="3058.8903311285371"/>
    <n v="3058.8903311285371"/>
    <n v="2282.7490000000003"/>
    <n v="5.7680000000000006E-3"/>
    <n v="6.1663828648108213E-7"/>
    <s v="CNAT - deadpitch ages"/>
  </r>
  <r>
    <s v="Okanagan Sockeye"/>
    <s v="2010s"/>
    <x v="32"/>
    <n v="2008"/>
    <x v="34"/>
    <n v="521159"/>
    <n v="550232"/>
    <n v="545637"/>
    <n v="326107"/>
    <n v="0.79418196873021285"/>
    <n v="461765"/>
    <n v="436984.33301836246"/>
    <n v="326107"/>
    <n v="179434506824"/>
    <n v="9.3051658209627943E-4"/>
    <n v="0.79418196873021285"/>
    <n v="0.88812599785679791"/>
    <n v="0.82400000000000007"/>
    <n v="0.16339251187144566"/>
    <x v="3"/>
    <n v="4.0000000000000009"/>
    <n v="2"/>
    <n v="1E-3"/>
    <n v="550.23199999999997"/>
    <n v="7.0000000000000001E-3"/>
    <n v="3232.355"/>
    <s v="SiRE"/>
    <n v="436.98433301836246"/>
    <n v="179434506.824"/>
    <n v="3058.8903311285371"/>
    <n v="3058.8903311285371"/>
    <n v="2282.7490000000003"/>
    <n v="5.7680000000000006E-3"/>
    <n v="1.0482850870178399E-5"/>
    <s v="CNAT - deadpitch ages"/>
  </r>
  <r>
    <s v="Okanagan Sockeye"/>
    <s v="2010s"/>
    <x v="32"/>
    <n v="2007"/>
    <x v="33"/>
    <n v="521159"/>
    <n v="550232"/>
    <n v="545637"/>
    <n v="326107"/>
    <n v="0.79418196873021285"/>
    <n v="461765"/>
    <n v="436984.33301836246"/>
    <n v="326107"/>
    <n v="179434506824"/>
    <n v="9.3051658209627943E-4"/>
    <n v="0.79418196873021285"/>
    <n v="0.88812599785679791"/>
    <n v="0.82400000000000007"/>
    <n v="0.16339251187144566"/>
    <x v="4"/>
    <n v="5.0000000000000018"/>
    <n v="2"/>
    <n v="6.0000000000000001E-3"/>
    <n v="3301.3920000000003"/>
    <n v="1.2E-2"/>
    <n v="5541.18"/>
    <s v="SiRE"/>
    <n v="2621.905998110175"/>
    <n v="1076607040.944"/>
    <n v="5243.81199622035"/>
    <n v="5243.81199622035"/>
    <n v="3913.2840000000001"/>
    <n v="9.888000000000001E-3"/>
    <n v="2.9951002486223994E-6"/>
    <s v="CNAT - deadpitch ages"/>
  </r>
  <r>
    <s v="Okanagan Sockeye"/>
    <s v="2010s"/>
    <x v="33"/>
    <n v="2010"/>
    <x v="35"/>
    <n v="186191"/>
    <n v="195327"/>
    <n v="194651"/>
    <n v="129993"/>
    <n v="0.81644150509675351"/>
    <n v="159339"/>
    <n v="159473.06986603356"/>
    <n v="129993"/>
    <n v="25391142711"/>
    <n v="5.1759357385307717E-3"/>
    <n v="0.81644150509675351"/>
    <n v="0.83868307496053995"/>
    <n v="0.7"/>
    <n v="0.13549891857735125"/>
    <x v="0"/>
    <n v="3.0000000000000009"/>
    <n v="1"/>
    <n v="0.23499999999999999"/>
    <n v="45901.844999999994"/>
    <n v="0.17100000000000001"/>
    <n v="37444.665000000001"/>
    <s v="CRITFC"/>
    <n v="37476.171418517886"/>
    <n v="5966918537.085"/>
    <n v="27269.89494709174"/>
    <n v="27269.89494709174"/>
    <n v="22228.803"/>
    <n v="0.1197"/>
    <n v="2.607738316401008E-6"/>
    <s v="Using Fryer, since SIRE age comp does not add up to 100%"/>
  </r>
  <r>
    <s v="Okanagan Sockeye"/>
    <s v="2010s"/>
    <x v="33"/>
    <n v="2009"/>
    <x v="34"/>
    <n v="186191"/>
    <n v="195327"/>
    <n v="194651"/>
    <n v="129993"/>
    <n v="0.81644150509675351"/>
    <n v="159339"/>
    <n v="159473.06986603356"/>
    <n v="129993"/>
    <n v="25391142711"/>
    <n v="5.1759357385307717E-3"/>
    <n v="0.81644150509675351"/>
    <n v="0.83868307496053995"/>
    <n v="0.7"/>
    <n v="0.13549891857735125"/>
    <x v="1"/>
    <n v="3.9999999999999996"/>
    <n v="1"/>
    <n v="0.63400000000000001"/>
    <n v="123837.318"/>
    <n v="0.57299999999999995"/>
    <n v="101020.92600000001"/>
    <s v="CRITFC"/>
    <n v="101105.92629506528"/>
    <n v="16097984478.774"/>
    <n v="91378.069033237218"/>
    <n v="91378.069033237218"/>
    <n v="74485.988999999987"/>
    <n v="0.40109999999999996"/>
    <n v="3.2389267345082518E-6"/>
    <s v="Using Fryer, since SIRE age comp does not add up to 100%"/>
  </r>
  <r>
    <s v="Okanagan Sockeye"/>
    <s v="2010s"/>
    <x v="33"/>
    <n v="2008"/>
    <x v="33"/>
    <n v="186191"/>
    <n v="195327"/>
    <n v="194651"/>
    <n v="129993"/>
    <n v="0.81644150509675351"/>
    <n v="159339"/>
    <n v="159473.06986603356"/>
    <n v="129993"/>
    <n v="25391142711"/>
    <n v="5.1759357385307717E-3"/>
    <n v="0.81644150509675351"/>
    <n v="0.83868307496053995"/>
    <n v="0.7"/>
    <n v="0.13549891857735125"/>
    <x v="2"/>
    <n v="5"/>
    <n v="1"/>
    <n v="8.1000000000000003E-2"/>
    <n v="15821.487000000001"/>
    <n v="2.4E-2"/>
    <n v="12906.459000000001"/>
    <s v="CRITFC"/>
    <n v="12917.318659148719"/>
    <n v="2056682559.5910001"/>
    <n v="3827.3536767848054"/>
    <n v="3827.3536767848054"/>
    <n v="3119.8319999999999"/>
    <n v="1.6799999999999999E-2"/>
    <n v="1.0618470943976378E-6"/>
    <s v="Using Fryer, since SIRE age comp does not add up to 100%"/>
  </r>
  <r>
    <s v="Okanagan Sockeye"/>
    <s v="2010s"/>
    <x v="33"/>
    <n v="2009"/>
    <x v="35"/>
    <n v="186191"/>
    <n v="195327"/>
    <n v="194651"/>
    <n v="129993"/>
    <n v="0.81644150509675351"/>
    <n v="159339"/>
    <n v="159473.06986603356"/>
    <n v="129993"/>
    <n v="25391142711"/>
    <n v="5.1759357385307717E-3"/>
    <n v="0.81644150509675351"/>
    <n v="0.83868307496053995"/>
    <n v="0.7"/>
    <n v="0.13549891857735125"/>
    <x v="3"/>
    <n v="4.0000000000000009"/>
    <n v="2"/>
    <n v="0"/>
    <n v="0"/>
    <n v="1.2E-2"/>
    <n v="0"/>
    <s v="CRITFC"/>
    <n v="0"/>
    <n v="0"/>
    <n v="1913.6768383924027"/>
    <n v="1913.6768383924027"/>
    <n v="1559.9159999999999"/>
    <n v="8.3999999999999995E-3"/>
    <n v="0"/>
    <s v="Using Fryer, since SIRE age comp does not add up to 100%"/>
  </r>
  <r>
    <s v="Okanagan Sockeye"/>
    <s v="2010s"/>
    <x v="33"/>
    <n v="2008"/>
    <x v="34"/>
    <n v="186191"/>
    <n v="195327"/>
    <n v="194651"/>
    <n v="129993"/>
    <n v="0.81644150509675351"/>
    <n v="159339"/>
    <n v="159473.06986603356"/>
    <n v="129993"/>
    <n v="25391142711"/>
    <n v="5.1759357385307717E-3"/>
    <n v="0.81644150509675351"/>
    <n v="0.83868307496053995"/>
    <n v="0.7"/>
    <n v="0.13549891857735125"/>
    <x v="4"/>
    <n v="5.0000000000000018"/>
    <n v="2"/>
    <n v="0.05"/>
    <n v="9766.35"/>
    <n v="0.11"/>
    <n v="7966.9500000000007"/>
    <s v="CRITFC"/>
    <n v="7973.6534933016783"/>
    <n v="1269557135.55"/>
    <n v="17542.037685263691"/>
    <n v="17542.037685263691"/>
    <n v="14299.23"/>
    <n v="7.6999999999999999E-2"/>
    <n v="7.8842146759024609E-6"/>
    <s v="Using Fryer, since SIRE age comp does not add up to 100%"/>
  </r>
  <r>
    <s v="Okanagan Sockeye"/>
    <s v="2010s"/>
    <x v="34"/>
    <n v="2011"/>
    <x v="36"/>
    <n v="651146"/>
    <n v="651702"/>
    <n v="650354"/>
    <n v="490804"/>
    <n v="0.84458142108097967"/>
    <n v="538819"/>
    <n v="550415.40128131665"/>
    <n v="490804"/>
    <n v="319857948408"/>
    <n v="3.8714013460139757E-3"/>
    <n v="0.84458142108097967"/>
    <n v="0.84608240013574598"/>
    <n v="0.81100000000000017"/>
    <n v="5.5366769482466473E-2"/>
    <x v="0"/>
    <n v="3.0000000000000009"/>
    <n v="1"/>
    <n v="0.17499999999999999"/>
    <n v="114047.84999999999"/>
    <n v="8.2199999999999995E-2"/>
    <n v="44290.921799999996"/>
    <s v="SiRE"/>
    <n v="96322.695224230411"/>
    <n v="55975140971.399994"/>
    <n v="45244.145985324227"/>
    <n v="45244.145985324227"/>
    <n v="40344.088799999998"/>
    <n v="6.6664200000000007E-2"/>
    <n v="5.8452833613259703E-7"/>
    <s v="CNAT - deadpitch ages"/>
  </r>
  <r>
    <s v="Okanagan Sockeye"/>
    <s v="2010s"/>
    <x v="34"/>
    <n v="2010"/>
    <x v="35"/>
    <n v="651146"/>
    <n v="651702"/>
    <n v="650354"/>
    <n v="490804"/>
    <n v="0.84458142108097967"/>
    <n v="538819"/>
    <n v="550415.40128131665"/>
    <n v="490804"/>
    <n v="319857948408"/>
    <n v="3.8714013460139757E-3"/>
    <n v="0.84458142108097967"/>
    <n v="0.84608240013574598"/>
    <n v="0.81100000000000017"/>
    <n v="5.5366769482466473E-2"/>
    <x v="1"/>
    <n v="3.9999999999999996"/>
    <n v="1"/>
    <n v="0.81899999999999995"/>
    <n v="533743.93799999997"/>
    <n v="0.88400000000000001"/>
    <n v="476315.99599999998"/>
    <s v="SiRE"/>
    <n v="450790.2136493983"/>
    <n v="261963659746.15198"/>
    <n v="486567.2147326839"/>
    <n v="486567.2147326839"/>
    <n v="433870.73599999998"/>
    <n v="0.71692400000000012"/>
    <n v="1.3431983933839078E-6"/>
    <s v="CNAT - deadpitch ages"/>
  </r>
  <r>
    <s v="Okanagan Sockeye"/>
    <s v="2010s"/>
    <x v="34"/>
    <n v="2009"/>
    <x v="34"/>
    <n v="651146"/>
    <n v="651702"/>
    <n v="650354"/>
    <n v="490804"/>
    <n v="0.84458142108097967"/>
    <n v="538819"/>
    <n v="550415.40128131665"/>
    <n v="490804"/>
    <n v="319857948408"/>
    <n v="3.8714013460139757E-3"/>
    <n v="0.84458142108097967"/>
    <n v="0.84608240013574598"/>
    <n v="0.81100000000000017"/>
    <n v="5.5366769482466473E-2"/>
    <x v="2"/>
    <n v="5"/>
    <n v="1"/>
    <n v="1E-3"/>
    <n v="651.702"/>
    <n v="0.03"/>
    <n v="16164.57"/>
    <s v="SiRE"/>
    <n v="550.41540128131669"/>
    <n v="319857948.40799999"/>
    <n v="16512.462038439498"/>
    <n v="16512.462038439498"/>
    <n v="14724.119999999999"/>
    <n v="2.4330000000000004E-2"/>
    <n v="3.7333014169052734E-5"/>
    <s v="CNAT - deadpitch ages"/>
  </r>
  <r>
    <s v="Okanagan Sockeye"/>
    <s v="2010s"/>
    <x v="34"/>
    <n v="2010"/>
    <x v="36"/>
    <n v="651146"/>
    <n v="651702"/>
    <n v="650354"/>
    <n v="490804"/>
    <n v="0.84458142108097967"/>
    <n v="538819"/>
    <n v="550415.40128131665"/>
    <n v="490804"/>
    <n v="319857948408"/>
    <n v="3.8714013460139757E-3"/>
    <n v="0.84458142108097967"/>
    <n v="0.84608240013574598"/>
    <n v="0.81100000000000017"/>
    <n v="5.5366769482466473E-2"/>
    <x v="3"/>
    <n v="4.0000000000000009"/>
    <n v="2"/>
    <n v="1E-3"/>
    <n v="651.702"/>
    <n v="0"/>
    <n v="0"/>
    <s v="SiRE"/>
    <n v="550.41540128131669"/>
    <n v="319857948.40799999"/>
    <n v="0"/>
    <n v="0"/>
    <n v="0"/>
    <n v="0"/>
    <n v="0"/>
    <s v="CNAT - deadpitch ages"/>
  </r>
  <r>
    <s v="Okanagan Sockeye"/>
    <s v="2010s"/>
    <x v="34"/>
    <n v="2009"/>
    <x v="35"/>
    <n v="651146"/>
    <n v="651702"/>
    <n v="650354"/>
    <n v="490804"/>
    <n v="0.84458142108097967"/>
    <n v="538819"/>
    <n v="550415.40128131665"/>
    <n v="490804"/>
    <n v="319857948408"/>
    <n v="3.8714013460139757E-3"/>
    <n v="0.84458142108097967"/>
    <n v="0.84608240013574598"/>
    <n v="0.81100000000000017"/>
    <n v="5.5366769482466473E-2"/>
    <x v="4"/>
    <n v="5.0000000000000018"/>
    <n v="2"/>
    <n v="4.0000000000000001E-3"/>
    <n v="2606.808"/>
    <n v="4.0000000000000001E-3"/>
    <n v="2155.2759999999998"/>
    <s v="SiRE"/>
    <n v="2201.6616051252668"/>
    <n v="1279431793.632"/>
    <n v="2201.6616051252668"/>
    <n v="2201.6616051252668"/>
    <n v="1963.2160000000001"/>
    <n v="3.2440000000000008E-3"/>
    <n v="1.2444338056350911E-6"/>
    <s v="CNAT - deadpitch ages"/>
  </r>
  <r>
    <s v="Okanagan Sockeye"/>
    <s v="2010s"/>
    <x v="35"/>
    <n v="2012"/>
    <x v="37"/>
    <n v="512455"/>
    <n v="542103"/>
    <n v="540357"/>
    <n v="187055"/>
    <n v="0.70672666409750717"/>
    <n v="437687"/>
    <n v="383118.64478725096"/>
    <n v="187055"/>
    <n v="101403076665"/>
    <n v="3.2263241487318832E-3"/>
    <n v="0.70672666409750717"/>
    <n v="0.72614743814231109"/>
    <n v="0.78400000000000003"/>
    <n v="0.45124797124863747"/>
    <x v="0"/>
    <n v="3.0000000000000009"/>
    <n v="1"/>
    <n v="1E-3"/>
    <n v="542.10300000000007"/>
    <n v="2E-3"/>
    <n v="437.68700000000001"/>
    <s v="CRITFC"/>
    <n v="383.11864478725096"/>
    <n v="101403076.66500001"/>
    <n v="766.23728957450192"/>
    <n v="766.23728957450192"/>
    <n v="374.11"/>
    <n v="1.5680000000000002E-3"/>
    <n v="2.8924392596978804E-6"/>
    <s v="NB: 2015 was DEATH year for Columbia sox because of high temps"/>
  </r>
  <r>
    <s v="Okanagan Sockeye"/>
    <s v="2010s"/>
    <x v="35"/>
    <n v="2011"/>
    <x v="36"/>
    <n v="512455"/>
    <n v="542103"/>
    <n v="540357"/>
    <n v="187055"/>
    <n v="0.70672666409750717"/>
    <n v="437687"/>
    <n v="383118.64478725096"/>
    <n v="187055"/>
    <n v="101403076665"/>
    <n v="3.2263241487318832E-3"/>
    <n v="0.70672666409750717"/>
    <n v="0.72614743814231109"/>
    <n v="0.78400000000000003"/>
    <n v="0.45124797124863747"/>
    <x v="1"/>
    <n v="3.9999999999999996"/>
    <n v="1"/>
    <n v="0.97499999999999998"/>
    <n v="528550.42499999993"/>
    <n v="0.94699999999999995"/>
    <n v="426744.82500000001"/>
    <s v="CRITFC"/>
    <n v="373540.67866756965"/>
    <n v="98867999748.375"/>
    <n v="362813.35661352664"/>
    <n v="362813.35661352664"/>
    <n v="177141.08499999999"/>
    <n v="0.742448"/>
    <n v="1.4046871686840476E-6"/>
    <s v="mortalities between BON and Wells unknown"/>
  </r>
  <r>
    <s v="Okanagan Sockeye"/>
    <s v="2010s"/>
    <x v="35"/>
    <n v="2010"/>
    <x v="35"/>
    <n v="512455"/>
    <n v="542103"/>
    <n v="540357"/>
    <n v="187055"/>
    <n v="0.70672666409750717"/>
    <n v="437687"/>
    <n v="383118.64478725096"/>
    <n v="187055"/>
    <n v="101403076665"/>
    <n v="3.2263241487318832E-3"/>
    <n v="0.70672666409750717"/>
    <n v="0.72614743814231109"/>
    <n v="0.78400000000000003"/>
    <n v="0.45124797124863747"/>
    <x v="2"/>
    <n v="5"/>
    <n v="1"/>
    <n v="1E-3"/>
    <n v="542.10300000000007"/>
    <n v="0.03"/>
    <n v="437.68700000000001"/>
    <s v="CRITFC"/>
    <n v="383.11864478725096"/>
    <n v="101403076.66500001"/>
    <n v="11493.559343617528"/>
    <n v="11493.559343617528"/>
    <n v="5611.65"/>
    <n v="2.3519999999999999E-2"/>
    <n v="4.3386588895468198E-5"/>
    <m/>
  </r>
  <r>
    <s v="Okanagan Sockeye"/>
    <s v="2010s"/>
    <x v="35"/>
    <n v="2011"/>
    <x v="37"/>
    <n v="512455"/>
    <n v="542103"/>
    <n v="540357"/>
    <n v="187055"/>
    <n v="0.70672666409750717"/>
    <n v="437687"/>
    <n v="383118.64478725096"/>
    <n v="187055"/>
    <n v="101403076665"/>
    <n v="3.2263241487318832E-3"/>
    <n v="0.70672666409750717"/>
    <n v="0.72614743814231109"/>
    <n v="0.78400000000000003"/>
    <n v="0.45124797124863747"/>
    <x v="3"/>
    <n v="4.0000000000000009"/>
    <n v="2"/>
    <n v="0"/>
    <n v="0"/>
    <n v="3.0000000000000001E-3"/>
    <n v="0"/>
    <s v="CRITFC"/>
    <n v="0"/>
    <n v="0"/>
    <n v="1149.3559343617528"/>
    <n v="1149.3559343617528"/>
    <n v="561.16499999999996"/>
    <n v="2.3519999999999999E-3"/>
    <n v="0"/>
    <s v="~10% of Ok Sox returned to spawning grounds"/>
  </r>
  <r>
    <s v="Okanagan Sockeye"/>
    <s v="2010s"/>
    <x v="35"/>
    <n v="2010"/>
    <x v="36"/>
    <n v="512455"/>
    <n v="542103"/>
    <n v="540357"/>
    <n v="187055"/>
    <n v="0.70672666409750717"/>
    <n v="437687"/>
    <n v="383118.64478725096"/>
    <n v="187055"/>
    <n v="101403076665"/>
    <n v="3.2263241487318832E-3"/>
    <n v="0.70672666409750717"/>
    <n v="0.72614743814231109"/>
    <n v="0.78400000000000003"/>
    <n v="0.45124797124863747"/>
    <x v="4"/>
    <n v="5.0000000000000018"/>
    <n v="2"/>
    <n v="2.1999999999999999E-2"/>
    <n v="11926.266"/>
    <n v="1E-3"/>
    <n v="9629.1139999999996"/>
    <s v="CRITFC"/>
    <n v="8428.6101853195214"/>
    <n v="2230867686.6299996"/>
    <n v="383.11864478725096"/>
    <n v="383.11864478725096"/>
    <n v="187.05500000000001"/>
    <n v="7.8400000000000008E-4"/>
    <n v="6.5737255902224555E-8"/>
    <s v="* sample sizes for ages extremely small - use Fryer age comp"/>
  </r>
  <r>
    <s v="Okanagan Sockeye"/>
    <s v="2010s"/>
    <x v="36"/>
    <n v="2013"/>
    <x v="38"/>
    <n v="356606"/>
    <n v="363350"/>
    <n v="361543"/>
    <n v="216036"/>
    <n v="0.69612458553655499"/>
    <n v="275427"/>
    <n v="252936.86815470725"/>
    <n v="216036"/>
    <n v="78496680600"/>
    <n v="2.6035502958579883E-3"/>
    <n v="0.69612458553655499"/>
    <n v="0.73560301084842705"/>
    <n v="0.70099999999999996"/>
    <n v="9.2860323668277359E-2"/>
    <x v="0"/>
    <n v="3.0000000000000009"/>
    <n v="1"/>
    <n v="8.9999999999999993E-3"/>
    <n v="3270.1499999999996"/>
    <n v="0.01"/>
    <n v="2754.27"/>
    <s v="SiRE"/>
    <n v="2276.4318133923653"/>
    <n v="706470125.39999998"/>
    <n v="2529.3686815470724"/>
    <n v="2529.3686815470724"/>
    <n v="2160.36"/>
    <n v="7.0099999999999997E-3"/>
    <n v="2.1436325550815715E-6"/>
    <m/>
  </r>
  <r>
    <s v="Okanagan Sockeye"/>
    <s v="2010s"/>
    <x v="36"/>
    <n v="2012"/>
    <x v="37"/>
    <n v="356606"/>
    <n v="363350"/>
    <n v="361543"/>
    <n v="216036"/>
    <n v="0.69612458553655499"/>
    <n v="275427"/>
    <n v="252936.86815470725"/>
    <n v="216036"/>
    <n v="78496680600"/>
    <n v="2.6035502958579883E-3"/>
    <n v="0.69612458553655499"/>
    <n v="0.73560301084842705"/>
    <n v="0.70099999999999996"/>
    <n v="9.2860323668277359E-2"/>
    <x v="1"/>
    <n v="3.9999999999999996"/>
    <n v="1"/>
    <n v="0.96"/>
    <n v="348816"/>
    <n v="0.95699999999999996"/>
    <n v="263583.63899999997"/>
    <s v="SiRE"/>
    <n v="242819.39342851896"/>
    <n v="75356813376"/>
    <n v="242060.58282405481"/>
    <n v="242060.58282405481"/>
    <n v="206746.45199999999"/>
    <n v="0.67085699999999993"/>
    <n v="1.923240333012247E-6"/>
    <s v="presuming SIRE age comp from Sp Grds in 2016"/>
  </r>
  <r>
    <s v="Okanagan Sockeye"/>
    <s v="2010s"/>
    <x v="36"/>
    <n v="2011"/>
    <x v="36"/>
    <n v="356606"/>
    <n v="363350"/>
    <n v="361543"/>
    <n v="216036"/>
    <n v="0.69612458553655499"/>
    <n v="275427"/>
    <n v="252936.86815470725"/>
    <n v="216036"/>
    <n v="78496680600"/>
    <n v="2.6035502958579883E-3"/>
    <n v="0.69612458553655499"/>
    <n v="0.73560301084842705"/>
    <n v="0.70099999999999996"/>
    <n v="9.2860323668277359E-2"/>
    <x v="2"/>
    <n v="5"/>
    <n v="1"/>
    <n v="7.0000000000000001E-3"/>
    <n v="2543.4500000000003"/>
    <n v="2.5000000000000001E-2"/>
    <n v="6885.6750000000002"/>
    <s v="SiRE"/>
    <n v="1770.5580770829508"/>
    <n v="549476764.20000005"/>
    <n v="6323.4217038676816"/>
    <n v="6323.4217038676816"/>
    <n v="5400.9000000000005"/>
    <n v="1.7524999999999999E-2"/>
    <n v="6.8902474984764779E-6"/>
    <m/>
  </r>
  <r>
    <s v="Okanagan Sockeye"/>
    <s v="2010s"/>
    <x v="36"/>
    <n v="2012"/>
    <x v="38"/>
    <n v="356606"/>
    <n v="363350"/>
    <n v="361543"/>
    <n v="216036"/>
    <n v="0.69612458553655499"/>
    <n v="275427"/>
    <n v="252936.86815470725"/>
    <n v="216036"/>
    <n v="78496680600"/>
    <n v="2.6035502958579883E-3"/>
    <n v="0.69612458553655499"/>
    <n v="0.73560301084842705"/>
    <n v="0.70099999999999996"/>
    <n v="9.2860323668277359E-2"/>
    <x v="3"/>
    <n v="4.0000000000000009"/>
    <n v="2"/>
    <n v="0"/>
    <n v="0"/>
    <n v="3.0000000000000001E-3"/>
    <n v="826.28100000000006"/>
    <s v="SiRE"/>
    <n v="0"/>
    <n v="0"/>
    <n v="758.81060446412175"/>
    <n v="758.81060446412175"/>
    <n v="648.10800000000006"/>
    <n v="2.1029999999999998E-3"/>
    <n v="0"/>
    <m/>
  </r>
  <r>
    <s v="Okanagan Sockeye"/>
    <s v="2010s"/>
    <x v="36"/>
    <n v="2011"/>
    <x v="37"/>
    <n v="356606"/>
    <n v="363350"/>
    <n v="361543"/>
    <n v="216036"/>
    <n v="0.69612458553655499"/>
    <n v="275427"/>
    <n v="252936.86815470725"/>
    <n v="216036"/>
    <n v="78496680600"/>
    <n v="2.6035502958579883E-3"/>
    <n v="0.69612458553655499"/>
    <n v="0.73560301084842705"/>
    <n v="0.70099999999999996"/>
    <n v="9.2860323668277359E-2"/>
    <x v="4"/>
    <n v="5.0000000000000018"/>
    <n v="2"/>
    <n v="2.4E-2"/>
    <n v="8720.4"/>
    <n v="5.0000000000000001E-3"/>
    <n v="1377.135"/>
    <s v="SiRE"/>
    <n v="6070.484835712974"/>
    <n v="1883920334.4000001"/>
    <n v="1264.6843407735362"/>
    <n v="1264.6843407735362"/>
    <n v="1080.18"/>
    <n v="3.5049999999999999E-3"/>
    <n v="4.0193110407779461E-7"/>
    <m/>
  </r>
  <r>
    <s v="Okanagan Sockeye"/>
    <s v="2010s"/>
    <x v="37"/>
    <n v="2014"/>
    <x v="39"/>
    <n v="88263"/>
    <n v="91242"/>
    <n v="90672"/>
    <n v="42299"/>
    <n v="0.57771313065093288"/>
    <n v="58111"/>
    <n v="52711.701466852421"/>
    <n v="42299"/>
    <n v="3859445358"/>
    <n v="4.8661800486618006E-3"/>
    <n v="0.57771313065093288"/>
    <n v="0"/>
    <n v="0.59199999999999997"/>
    <n v="0.13819040056467266"/>
    <x v="0"/>
    <n v="3.0000000000000009"/>
    <n v="1"/>
    <n v="0.19"/>
    <n v="17335.98"/>
    <n v="3.7999999999999999E-2"/>
    <n v="2208.2179999999998"/>
    <s v="SiRE"/>
    <n v="10015.22327870196"/>
    <n v="733294618.01999998"/>
    <n v="2003.044655740392"/>
    <n v="2003.044655740392"/>
    <n v="1607.3619999999999"/>
    <n v="2.2495999999999999E-2"/>
    <n v="1.2976480129764801E-6"/>
    <s v="presuming SIRE age comp from Sp Grds in 2017"/>
  </r>
  <r>
    <s v="Okanagan Sockeye"/>
    <s v="2010s"/>
    <x v="37"/>
    <n v="2013"/>
    <x v="38"/>
    <n v="88263"/>
    <n v="91242"/>
    <n v="90672"/>
    <n v="42299"/>
    <n v="0.57771313065093288"/>
    <n v="58111"/>
    <n v="52711.701466852421"/>
    <n v="42299"/>
    <n v="3859445358"/>
    <n v="4.8661800486618006E-3"/>
    <n v="0.57771313065093288"/>
    <n v="0"/>
    <n v="0.59199999999999997"/>
    <n v="0.13819040056467266"/>
    <x v="1"/>
    <n v="3.9999999999999996"/>
    <n v="1"/>
    <n v="0.52700000000000002"/>
    <n v="48084.534"/>
    <n v="0.75900000000000001"/>
    <n v="44106.249000000003"/>
    <s v="SiRE"/>
    <n v="27779.066673031226"/>
    <n v="2033927703.6660001"/>
    <n v="40008.181413340986"/>
    <n v="40008.181413340986"/>
    <n v="32104.940999999999"/>
    <n v="0.44932800000000001"/>
    <n v="9.344543091547898E-6"/>
    <m/>
  </r>
  <r>
    <s v="Okanagan Sockeye"/>
    <s v="2010s"/>
    <x v="37"/>
    <n v="2012"/>
    <x v="37"/>
    <n v="88263"/>
    <n v="91242"/>
    <n v="90672"/>
    <n v="42299"/>
    <n v="0.57771313065093288"/>
    <n v="58111"/>
    <n v="52711.701466852421"/>
    <n v="42299"/>
    <n v="3859445358"/>
    <n v="4.8661800486618006E-3"/>
    <n v="0.57771313065093288"/>
    <n v="0"/>
    <n v="0.59199999999999997"/>
    <n v="0.13819040056467266"/>
    <x v="2"/>
    <n v="5"/>
    <n v="1"/>
    <n v="0.221"/>
    <n v="20164.482"/>
    <n v="0.18099999999999999"/>
    <n v="10518.091"/>
    <s v="SiRE"/>
    <n v="11649.286024174386"/>
    <n v="852937424.11800003"/>
    <n v="9540.8179655002878"/>
    <n v="9540.8179655002878"/>
    <n v="7656.1189999999997"/>
    <n v="0.107152"/>
    <n v="5.3138979716910158E-6"/>
    <m/>
  </r>
  <r>
    <s v="Okanagan Sockeye"/>
    <s v="2010s"/>
    <x v="37"/>
    <n v="2013"/>
    <x v="39"/>
    <n v="88263"/>
    <n v="91242"/>
    <n v="90672"/>
    <n v="42299"/>
    <n v="0.57771313065093288"/>
    <n v="58111"/>
    <n v="52711.701466852421"/>
    <n v="42299"/>
    <n v="3859445358"/>
    <n v="4.8661800486618006E-3"/>
    <n v="0.57771313065093288"/>
    <n v="0"/>
    <n v="0.59199999999999997"/>
    <n v="0.13819040056467266"/>
    <x v="3"/>
    <n v="4.0000000000000009"/>
    <n v="2"/>
    <n v="3.5999999999999997E-2"/>
    <n v="3284.7119999999995"/>
    <n v="1.4999999999999999E-2"/>
    <n v="871.66499999999996"/>
    <s v="SiRE"/>
    <n v="1897.6212528066869"/>
    <n v="138940032.88799998"/>
    <n v="790.67552200278624"/>
    <n v="790.67552200278624"/>
    <n v="634.48500000000001"/>
    <n v="8.879999999999999E-3"/>
    <n v="2.7034333603676671E-6"/>
    <m/>
  </r>
  <r>
    <s v="Okanagan Sockeye"/>
    <s v="2010s"/>
    <x v="37"/>
    <n v="2012"/>
    <x v="38"/>
    <n v="88263"/>
    <n v="91242"/>
    <n v="90672"/>
    <n v="42299"/>
    <n v="0.57771313065093288"/>
    <n v="58111"/>
    <n v="52711.701466852421"/>
    <n v="42299"/>
    <n v="3859445358"/>
    <n v="4.8661800486618006E-3"/>
    <n v="0.57771313065093288"/>
    <n v="0"/>
    <n v="0.59199999999999997"/>
    <n v="0.13819040056467266"/>
    <x v="4"/>
    <n v="5.0000000000000018"/>
    <n v="2"/>
    <n v="2.1999999999999999E-2"/>
    <n v="2007.3239999999998"/>
    <n v="7.0000000000000001E-3"/>
    <n v="406.77699999999999"/>
    <s v="SiRE"/>
    <n v="1159.6574322707531"/>
    <n v="84907797.876000002"/>
    <n v="368.98191026796695"/>
    <n v="368.98191026796695"/>
    <n v="296.09300000000002"/>
    <n v="4.1440000000000001E-3"/>
    <n v="2.0644400206444002E-6"/>
    <m/>
  </r>
  <r>
    <s v="Okanagan Sockeye"/>
    <s v="2010s"/>
    <x v="37"/>
    <n v="2011"/>
    <x v="37"/>
    <n v="88263"/>
    <n v="91242"/>
    <n v="90672"/>
    <n v="42299"/>
    <n v="0.57771313065093288"/>
    <n v="58111"/>
    <n v="52711.701466852421"/>
    <n v="42299"/>
    <n v="3859445358"/>
    <n v="4.8661800486618006E-3"/>
    <n v="0.57771313065093288"/>
    <n v="0"/>
    <n v="0.59199999999999997"/>
    <n v="0.13819040056467266"/>
    <x v="5"/>
    <n v="5.9999999999999982"/>
    <n v="2"/>
    <n v="4.0000000000000001E-3"/>
    <n v="364.96800000000002"/>
    <n v="0"/>
    <n v="0"/>
    <s v="SiRE"/>
    <n v="210.8468058674097"/>
    <n v="15437781.432"/>
    <n v="0"/>
    <n v="0"/>
    <n v="0"/>
    <n v="0"/>
    <n v="0"/>
    <m/>
  </r>
  <r>
    <s v="Okanagan Sockeye"/>
    <s v="2010s"/>
    <x v="38"/>
    <n v="2015"/>
    <x v="40"/>
    <n v="210915"/>
    <n v="203637"/>
    <n v="203486"/>
    <n v="153637"/>
    <n v="0.89319163532140755"/>
    <n v="187073"/>
    <n v="181886.86504194548"/>
    <n v="153637"/>
    <n v="31286177769"/>
    <n v="1.4584775851146895E-3"/>
    <n v="0.89319163532140755"/>
    <n v="0"/>
    <n v="0.90199999999999991"/>
    <n v="0.11527082944281179"/>
    <x v="0"/>
    <n v="3.0000000000000009"/>
    <n v="1"/>
    <n v="4.0000000000000001E-3"/>
    <n v="814.548"/>
    <n v="2.5999999999999999E-3"/>
    <n v="486.38979999999998"/>
    <s v="SiRE"/>
    <n v="727.54746016778188"/>
    <n v="125144711.07600001"/>
    <n v="472.90584910905824"/>
    <n v="472.90584910905824"/>
    <n v="399.45619999999997"/>
    <n v="2.3451999999999995E-3"/>
    <n v="2.8791427883930714E-6"/>
    <s v="based on deadpitch of natural spawners in &quot;2018 Deadpiitch Adult Sockeye BioData.xlsx 10/21/2020"/>
  </r>
  <r>
    <s v="Okanagan Sockeye"/>
    <s v="2010s"/>
    <x v="38"/>
    <n v="2014"/>
    <x v="39"/>
    <n v="210915"/>
    <n v="203637"/>
    <n v="203486"/>
    <n v="153637"/>
    <n v="0.89319163532140755"/>
    <n v="187073"/>
    <n v="181886.86504194548"/>
    <n v="153637"/>
    <n v="31286177769"/>
    <n v="1.4584775851146895E-3"/>
    <n v="0.89319163532140755"/>
    <n v="0"/>
    <n v="0.90199999999999991"/>
    <n v="0.11527082944281179"/>
    <x v="1"/>
    <n v="3.9999999999999996"/>
    <n v="1"/>
    <n v="0.95599999999999996"/>
    <n v="194676.97199999998"/>
    <n v="0.97099999999999997"/>
    <n v="181647.883"/>
    <s v="SiRE"/>
    <n v="173883.84298009987"/>
    <n v="29909585947.163998"/>
    <n v="176612.14595572907"/>
    <n v="176612.14595572907"/>
    <n v="149181.527"/>
    <n v="0.8758419999999999"/>
    <n v="4.4989501891369052E-6"/>
    <s v="based on deadpitch of natural spawners in &quot;2018 Deadpiitch Adult Sockeye BioData.xlsx 10/21/2021"/>
  </r>
  <r>
    <s v="Okanagan Sockeye"/>
    <s v="2010s"/>
    <x v="38"/>
    <n v="2013"/>
    <x v="38"/>
    <n v="210915"/>
    <n v="203637"/>
    <n v="203486"/>
    <n v="153637"/>
    <n v="0.89319163532140755"/>
    <n v="187073"/>
    <n v="181886.86504194548"/>
    <n v="153637"/>
    <n v="31286177769"/>
    <n v="1.4584775851146895E-3"/>
    <n v="0.89319163532140755"/>
    <n v="0"/>
    <n v="0.90199999999999991"/>
    <n v="0.11527082944281179"/>
    <x v="2"/>
    <n v="5"/>
    <n v="1"/>
    <n v="1.0999999999999999E-2"/>
    <n v="2240.0070000000001"/>
    <n v="2.1000000000000001E-2"/>
    <n v="3928.5330000000004"/>
    <s v="SiRE"/>
    <n v="2000.7555154614001"/>
    <n v="344147955.45899999"/>
    <n v="3819.6241658808553"/>
    <n v="3819.6241658808553"/>
    <n v="3226.3770000000004"/>
    <n v="1.8942000000000001E-2"/>
    <n v="8.4562235743013301E-6"/>
    <s v="based on deadpitch of natural spawners in &quot;2018 Deadpiitch Adult Sockeye BioData.xlsx 10/21/2022"/>
  </r>
  <r>
    <s v="Okanagan Sockeye"/>
    <s v="2010s"/>
    <x v="38"/>
    <n v="2014"/>
    <x v="40"/>
    <n v="210915"/>
    <n v="203637"/>
    <n v="203486"/>
    <n v="153637"/>
    <n v="0.89319163532140755"/>
    <n v="187073"/>
    <n v="181886.86504194548"/>
    <n v="153637"/>
    <n v="31286177769"/>
    <n v="1.4584775851146895E-3"/>
    <n v="0.89319163532140755"/>
    <n v="0"/>
    <n v="0.90199999999999991"/>
    <n v="0.11527082944281179"/>
    <x v="3"/>
    <n v="4.0000000000000009"/>
    <n v="2"/>
    <n v="2.1999999999999999E-2"/>
    <n v="4480.0140000000001"/>
    <n v="2.5999999999999999E-3"/>
    <n v="486.38979999999998"/>
    <s v="SiRE"/>
    <n v="4001.5110309228003"/>
    <n v="688295910.91799998"/>
    <n v="472.90584910905824"/>
    <n v="472.90584910905824"/>
    <n v="399.45619999999997"/>
    <n v="2.3451999999999995E-3"/>
    <n v="5.2348050698055844E-7"/>
    <s v="based on deadpitch of natural spawners in &quot;2018 Deadpiitch Adult Sockeye BioData.xlsx 10/21/2023"/>
  </r>
  <r>
    <s v="Okanagan Sockeye"/>
    <s v="2010s"/>
    <x v="38"/>
    <n v="2013"/>
    <x v="39"/>
    <n v="210915"/>
    <n v="203637"/>
    <n v="203486"/>
    <n v="153637"/>
    <n v="0.89319163532140755"/>
    <n v="187073"/>
    <n v="181886.86504194548"/>
    <n v="153637"/>
    <n v="31286177769"/>
    <n v="1.4584775851146895E-3"/>
    <n v="0.89319163532140755"/>
    <n v="0"/>
    <n v="0.90199999999999991"/>
    <n v="0.11527082944281179"/>
    <x v="4"/>
    <n v="5.0000000000000018"/>
    <n v="2"/>
    <n v="6.0000000000000001E-3"/>
    <n v="1221.8220000000001"/>
    <n v="2.5999999999999999E-3"/>
    <n v="486.38979999999998"/>
    <s v="SiRE"/>
    <n v="1091.321190251673"/>
    <n v="187717066.61399999"/>
    <n v="472.90584910905824"/>
    <n v="472.90584910905824"/>
    <n v="399.45619999999997"/>
    <n v="2.3451999999999995E-3"/>
    <n v="1.919428525595381E-6"/>
    <s v="based on deadpitch of natural spawners in &quot;2018 Deadpiitch Adult Sockeye BioData.xlsx 10/21/2024"/>
  </r>
  <r>
    <s v="Okanagan Sockeye"/>
    <s v="2010s"/>
    <x v="39"/>
    <n v="2016"/>
    <x v="41"/>
    <n v="63222"/>
    <n v="64511"/>
    <n v="64470"/>
    <n v="49862"/>
    <n v="0.85143950001707591"/>
    <n v="54550"/>
    <n v="54927.213585601581"/>
    <n v="49862"/>
    <n v="3216647482"/>
    <n v="5.1929128365705074E-3"/>
    <n v="0.85143950001707591"/>
    <n v="0"/>
    <n v="0.85500000000000009"/>
    <n v="6.9101907864122847E-2"/>
    <x v="0"/>
    <n v="3.0000000000000009"/>
    <n v="1"/>
    <n v="0.54300000000000004"/>
    <n v="35029.473000000005"/>
    <n v="0.185"/>
    <n v="10091.75"/>
    <s v="SiRE"/>
    <n v="29825.476976981659"/>
    <n v="1746639582.7260001"/>
    <n v="10161.534513336292"/>
    <n v="10161.534513336292"/>
    <n v="9224.4699999999993"/>
    <n v="0.15817500000000001"/>
    <n v="4.5154832903138447E-6"/>
    <s v="Mean %OK = 85.7% from CNAT_Escapement Units _2020.xlsx!%Okanagan - avg of Wells/RIS &amp; RRH/RIS estimates [HS July 2020]"/>
  </r>
  <r>
    <s v="Okanagan Sockeye"/>
    <s v="2010s"/>
    <x v="39"/>
    <n v="2015"/>
    <x v="40"/>
    <n v="63222"/>
    <n v="64511"/>
    <n v="64470"/>
    <n v="49862"/>
    <n v="0.85143950001707591"/>
    <n v="54550"/>
    <n v="54927.213585601581"/>
    <n v="49862"/>
    <n v="3216647482"/>
    <n v="5.1929128365705074E-3"/>
    <n v="0.85143950001707591"/>
    <n v="0"/>
    <n v="0.85500000000000009"/>
    <n v="6.9101907864122847E-2"/>
    <x v="1"/>
    <n v="3.9999999999999996"/>
    <n v="1"/>
    <n v="0.17199999999999999"/>
    <n v="11095.892"/>
    <n v="0.54200000000000004"/>
    <n v="29566.100000000002"/>
    <s v="SiRE"/>
    <n v="9447.4807367234716"/>
    <n v="553263366.90399992"/>
    <n v="29770.549763396059"/>
    <n v="29770.549763396059"/>
    <n v="27025.204000000002"/>
    <n v="0.4634100000000001"/>
    <n v="4.1764105130078784E-5"/>
    <s v="Fryer's sampling at BON -- 85% OK; 11% Wenatchee; 4% other [prelim. 14/09/2020]"/>
  </r>
  <r>
    <s v="Okanagan Sockeye"/>
    <s v="2010s"/>
    <x v="39"/>
    <n v="2014"/>
    <x v="39"/>
    <n v="63222"/>
    <n v="64511"/>
    <n v="64470"/>
    <n v="49862"/>
    <n v="0.85143950001707591"/>
    <n v="54550"/>
    <n v="54927.213585601581"/>
    <n v="49862"/>
    <n v="3216647482"/>
    <n v="5.1929128365705074E-3"/>
    <n v="0.85143950001707591"/>
    <n v="0"/>
    <n v="0.85500000000000009"/>
    <n v="6.9101907864122847E-2"/>
    <x v="2"/>
    <n v="5"/>
    <n v="1"/>
    <n v="0.224"/>
    <n v="14450.464"/>
    <n v="0.26700000000000002"/>
    <n v="14564.85"/>
    <s v="SiRE"/>
    <n v="12303.695843174755"/>
    <n v="720529035.96800005"/>
    <n v="14665.566027355622"/>
    <n v="14665.566027355622"/>
    <n v="13313.154"/>
    <n v="0.22828500000000004"/>
    <n v="1.5797762618556749E-5"/>
    <m/>
  </r>
  <r>
    <s v="Okanagan Sockeye"/>
    <s v="2010s"/>
    <x v="39"/>
    <n v="2015"/>
    <x v="41"/>
    <n v="63222"/>
    <n v="64511"/>
    <n v="64470"/>
    <n v="49862"/>
    <n v="0.85143950001707591"/>
    <n v="54550"/>
    <n v="54927.213585601581"/>
    <n v="49862"/>
    <n v="3216647482"/>
    <n v="5.1929128365705074E-3"/>
    <n v="0.85143950001707591"/>
    <n v="0"/>
    <n v="0.85500000000000009"/>
    <n v="6.9101907864122847E-2"/>
    <x v="3"/>
    <n v="4.0000000000000009"/>
    <n v="2"/>
    <n v="1.2E-2"/>
    <n v="774.13200000000006"/>
    <n v="2E-3"/>
    <n v="109.10000000000001"/>
    <s v="SiRE"/>
    <n v="659.12656302721894"/>
    <n v="38599769.784000002"/>
    <n v="109.85442717120317"/>
    <n v="109.85442717120317"/>
    <n v="99.724000000000004"/>
    <n v="1.7100000000000001E-3"/>
    <n v="2.2089256095859619E-6"/>
    <s v="Ages for 2019 Return year are from Fryer's sampling at BON [prelim, report not finalized, 14/09/2020]"/>
  </r>
  <r>
    <s v="Okanagan Sockeye"/>
    <s v="2010s"/>
    <x v="39"/>
    <n v="2014"/>
    <x v="40"/>
    <n v="63222"/>
    <n v="64511"/>
    <n v="64470"/>
    <n v="49862"/>
    <n v="0.85143950001707591"/>
    <n v="54550"/>
    <n v="54927.213585601581"/>
    <n v="49862"/>
    <n v="3216647482"/>
    <n v="5.1929128365705074E-3"/>
    <n v="0.85143950001707591"/>
    <n v="0"/>
    <n v="0.85500000000000009"/>
    <n v="6.9101907864122847E-2"/>
    <x v="4"/>
    <n v="5.0000000000000018"/>
    <n v="2"/>
    <n v="4.8000000000000001E-2"/>
    <n v="3096.5280000000002"/>
    <n v="4.0000000000000001E-3"/>
    <n v="218.20000000000002"/>
    <s v="SiRE"/>
    <n v="2636.5062521088757"/>
    <n v="154399079.13600001"/>
    <n v="219.70885434240634"/>
    <n v="219.70885434240634"/>
    <n v="199.44800000000001"/>
    <n v="3.4200000000000003E-3"/>
    <n v="1.104462804792981E-6"/>
    <s v="Ages for 2019 now from deadpitch [11/3/2020]"/>
  </r>
  <r>
    <s v="Okanagan Sockeye"/>
    <s v="2010s"/>
    <x v="39"/>
    <n v="2013"/>
    <x v="39"/>
    <n v="63222"/>
    <n v="64511"/>
    <n v="64470"/>
    <n v="49862"/>
    <n v="0.85143950001707591"/>
    <n v="54550"/>
    <n v="54927.213585601581"/>
    <n v="49862"/>
    <n v="3216647482"/>
    <n v="5.1929128365705074E-3"/>
    <n v="0.85143950001707591"/>
    <n v="0"/>
    <n v="0.85500000000000009"/>
    <n v="6.9101907864122847E-2"/>
    <x v="5"/>
    <n v="5.9999999999999982"/>
    <n v="2"/>
    <n v="1E-3"/>
    <n v="64.510999999999996"/>
    <n v="0"/>
    <n v="0"/>
    <s v="SiRE"/>
    <n v="54.927213585601585"/>
    <n v="3216647.4819999998"/>
    <s v=""/>
    <n v="0"/>
    <n v="0"/>
    <n v="0"/>
    <n v="0"/>
    <m/>
  </r>
  <r>
    <s v="Okanagan Sockeye"/>
    <s v="2010s"/>
    <x v="40"/>
    <n v="2017"/>
    <x v="42"/>
    <n v="345018"/>
    <n v="364015"/>
    <n v="360736"/>
    <n v="226107"/>
    <n v="0.80625802310654682"/>
    <n v="308775"/>
    <n v="293490.01428112964"/>
    <n v="226107"/>
    <n v="82306339605"/>
    <n v="2.0603546557147372E-3"/>
    <n v="0.80625802310654682"/>
    <n v="0"/>
    <n v="0.80700000000000005"/>
    <n v="0.17821343032023418"/>
    <x v="0"/>
    <n v="3.0000000000000009"/>
    <n v="1"/>
    <n v="8.9999999999999993E-3"/>
    <n v="3276.1349999999998"/>
    <n v="1.0999999999999999E-2"/>
    <n v="3396.5249999999996"/>
    <s v="SiRE"/>
    <n v="2641.4101285301667"/>
    <n v="740757056.44499993"/>
    <n v="3228.3901570924259"/>
    <n v="3228.3901570924259"/>
    <n v="2487.1769999999997"/>
    <n v="8.8769999999999995E-3"/>
    <n v="2.7095953005599588E-6"/>
    <s v="Deadpitch age comp from ONA to AO [2024-03-23]"/>
  </r>
  <r>
    <s v="Okanagan Sockeye"/>
    <s v="2010s"/>
    <x v="40"/>
    <n v="2016"/>
    <x v="41"/>
    <n v="345018"/>
    <n v="364015"/>
    <n v="360736"/>
    <n v="226107"/>
    <n v="0.80625802310654682"/>
    <n v="308775"/>
    <n v="293490.01428112964"/>
    <n v="226107"/>
    <n v="82306339605"/>
    <n v="2.0603546557147372E-3"/>
    <n v="0.80625802310654682"/>
    <n v="0"/>
    <n v="0.80700000000000005"/>
    <n v="0.17821343032023418"/>
    <x v="1"/>
    <n v="3.9999999999999996"/>
    <n v="1"/>
    <n v="0.98599999999999999"/>
    <n v="358918.79"/>
    <n v="0.97099999999999997"/>
    <n v="299820.52499999997"/>
    <s v="SiRE"/>
    <n v="289381.15408119385"/>
    <n v="81154050850.529999"/>
    <n v="284978.80386697687"/>
    <n v="284978.80386697687"/>
    <n v="219549.897"/>
    <n v="0.78359699999999999"/>
    <n v="2.1832153173145382E-6"/>
    <n v="275.5298105584082"/>
  </r>
  <r>
    <s v="Okanagan Sockeye"/>
    <s v="2010s"/>
    <x v="40"/>
    <n v="2015"/>
    <x v="40"/>
    <n v="345018"/>
    <n v="364015"/>
    <n v="360736"/>
    <n v="226107"/>
    <n v="0.80625802310654682"/>
    <n v="308775"/>
    <n v="293490.01428112964"/>
    <n v="226107"/>
    <n v="82306339605"/>
    <n v="2.0603546557147372E-3"/>
    <n v="0.80625802310654682"/>
    <n v="0"/>
    <n v="0.80700000000000005"/>
    <n v="0.17821343032023418"/>
    <x v="2"/>
    <n v="5"/>
    <n v="1"/>
    <n v="2E-3"/>
    <n v="728.03"/>
    <n v="1.7999999999999999E-2"/>
    <n v="5557.95"/>
    <s v="SiRE"/>
    <n v="586.98002856225924"/>
    <n v="164612679.21000001"/>
    <n v="5282.8202570603335"/>
    <n v="5282.8202570603335"/>
    <n v="4069.9259999999995"/>
    <n v="1.4525999999999999E-2"/>
    <n v="1.9952474485941512E-5"/>
    <n v="271396.8634000321"/>
  </r>
  <r>
    <s v="Okanagan Sockeye"/>
    <s v="2010s"/>
    <x v="40"/>
    <n v="2016"/>
    <x v="42"/>
    <n v="345018"/>
    <n v="364015"/>
    <n v="360736"/>
    <n v="226107"/>
    <n v="0.80625802310654682"/>
    <n v="308775"/>
    <n v="293490.01428112964"/>
    <n v="226107"/>
    <n v="82306339605"/>
    <n v="2.0603546557147372E-3"/>
    <n v="0.80625802310654682"/>
    <n v="0"/>
    <n v="0.80700000000000005"/>
    <n v="0.17821343032023418"/>
    <x v="3"/>
    <n v="4.0000000000000009"/>
    <n v="2"/>
    <n v="1E-3"/>
    <n v="364.01499999999999"/>
    <m/>
    <n v="0"/>
    <s v="SiRE"/>
    <n v="293.49001428112962"/>
    <n v="82306339.605000004"/>
    <s v=""/>
    <n v="293.49001428112962"/>
    <n v="0"/>
    <n v="0"/>
    <n v="0"/>
    <n v="0"/>
  </r>
  <r>
    <s v="Okanagan Sockeye"/>
    <s v="2010s"/>
    <x v="40"/>
    <n v="2015"/>
    <x v="41"/>
    <n v="345018"/>
    <n v="364015"/>
    <n v="360736"/>
    <n v="226107"/>
    <n v="0.80625802310654682"/>
    <n v="308775"/>
    <n v="293490.01428112964"/>
    <n v="226107"/>
    <n v="82306339605"/>
    <n v="2.0603546557147372E-3"/>
    <n v="0.80625802310654682"/>
    <n v="0"/>
    <n v="0.80700000000000005"/>
    <n v="0.17821343032023418"/>
    <x v="4"/>
    <n v="5.0000000000000018"/>
    <n v="2"/>
    <n v="2E-3"/>
    <n v="728.03"/>
    <m/>
    <n v="0"/>
    <s v="SiRE"/>
    <n v="586.98002856225924"/>
    <n v="164612679.21000001"/>
    <s v=""/>
    <n v="586.98002856225924"/>
    <n v="0"/>
    <n v="0"/>
    <n v="0"/>
    <n v="275.5298105584082"/>
  </r>
  <r>
    <s v="Okanagan Sockeye"/>
    <s v="2010s"/>
    <x v="40"/>
    <n v="2014"/>
    <x v="40"/>
    <n v="345018"/>
    <n v="364015"/>
    <n v="360736"/>
    <n v="226107"/>
    <n v="0.80625802310654682"/>
    <n v="308775"/>
    <n v="293490.01428112964"/>
    <n v="226107"/>
    <n v="82306339605"/>
    <n v="2.0603546557147372E-3"/>
    <n v="0.80625802310654682"/>
    <n v="0"/>
    <n v="0.80700000000000005"/>
    <n v="0.17821343032023418"/>
    <x v="5"/>
    <n v="5.9999999999999982"/>
    <n v="2"/>
    <n v="0"/>
    <n v="0"/>
    <m/>
    <n v="0"/>
    <s v="SiRE"/>
    <n v="0"/>
    <n v="0"/>
    <s v=""/>
    <n v="0"/>
    <n v="0"/>
    <n v="0"/>
    <n v="0"/>
    <n v="551.0596211168164"/>
  </r>
  <r>
    <s v="Okanagan Sockeye"/>
    <s v="2020s"/>
    <x v="41"/>
    <n v="2018"/>
    <x v="43"/>
    <n v="152309"/>
    <n v="159340"/>
    <n v="158783"/>
    <n v="76255"/>
    <n v="0.69723956952279942"/>
    <n v="114039"/>
    <n v="111098.15300776286"/>
    <n v="76255"/>
    <n v="12150471700"/>
    <n v="5.9746454123258443E-3"/>
    <n v="0.69723956952279942"/>
    <n v="0"/>
    <n v="0.69262486130169598"/>
    <n v="0.24521516787061587"/>
    <x v="0"/>
    <n v="3.0000000000000009"/>
    <n v="1"/>
    <n v="0.253"/>
    <n v="40313.019999999997"/>
    <n v="0.17799999999999999"/>
    <n v="20298.941999999999"/>
    <s v="SiRE"/>
    <n v="28107.832710964001"/>
    <n v="3074069340.0999999"/>
    <n v="19775.471235381789"/>
    <n v="19775.471235381789"/>
    <n v="13573.39"/>
    <n v="0.12328722531170187"/>
    <n v="3.0582483106376522E-6"/>
    <s v="Deadpitch age comp from ONA to AO [2024-03-23]"/>
  </r>
  <r>
    <s v="Okanagan Sockeye"/>
    <s v="2010s"/>
    <x v="41"/>
    <n v="2017"/>
    <x v="42"/>
    <n v="152309"/>
    <n v="159340"/>
    <n v="158783"/>
    <n v="76255"/>
    <n v="0.69723956952279942"/>
    <n v="114039"/>
    <n v="111098.15300776286"/>
    <n v="76255"/>
    <n v="12150471700"/>
    <n v="5.9746454123258443E-3"/>
    <n v="0.69723956952279942"/>
    <n v="0"/>
    <n v="0.69262486130169598"/>
    <n v="0.24521516787061587"/>
    <x v="1"/>
    <n v="3.9999999999999996"/>
    <n v="1"/>
    <n v="0.59799999999999998"/>
    <n v="95285.319999999992"/>
    <n v="0.76500000000000001"/>
    <n v="87239.835000000006"/>
    <s v="SiRE"/>
    <n v="66436.695498642192"/>
    <n v="7265982076.5999994"/>
    <n v="84990.087050938586"/>
    <n v="84990.087050938586"/>
    <n v="58335.075000000004"/>
    <n v="0.52985801889579742"/>
    <n v="5.5607518439965089E-6"/>
    <m/>
  </r>
  <r>
    <s v="Okanagan Sockeye"/>
    <s v="2010s"/>
    <x v="41"/>
    <n v="2016"/>
    <x v="41"/>
    <n v="152309"/>
    <n v="159340"/>
    <n v="158783"/>
    <n v="76255"/>
    <n v="0.69723956952279942"/>
    <n v="114039"/>
    <n v="111098.15300776286"/>
    <n v="76255"/>
    <n v="12150471700"/>
    <n v="5.9746454123258443E-3"/>
    <n v="0.69723956952279942"/>
    <n v="0"/>
    <n v="0.69262486130169598"/>
    <n v="0.24521516787061587"/>
    <x v="2"/>
    <n v="5"/>
    <n v="1"/>
    <n v="0.114"/>
    <n v="18164.760000000002"/>
    <n v="5.7000000000000002E-2"/>
    <n v="6500.223"/>
    <s v="SiRE"/>
    <n v="12665.189442884966"/>
    <n v="1385153773.8"/>
    <n v="6332.5947214424832"/>
    <n v="6332.5947214424832"/>
    <n v="4346.5349999999999"/>
    <n v="3.9479617094196673E-2"/>
    <n v="2.1734180409868705E-6"/>
    <m/>
  </r>
  <r>
    <s v="Okanagan Sockeye"/>
    <s v="2020s"/>
    <x v="41"/>
    <n v="2017"/>
    <x v="43"/>
    <n v="152309"/>
    <n v="159340"/>
    <n v="158783"/>
    <n v="76255"/>
    <n v="0.69723956952279942"/>
    <n v="114039"/>
    <n v="111098.15300776286"/>
    <n v="76255"/>
    <n v="12150471700"/>
    <n v="5.9746454123258443E-3"/>
    <n v="0.69723956952279942"/>
    <n v="0"/>
    <n v="0.69262486130169598"/>
    <n v="0.24521516787061587"/>
    <x v="3"/>
    <n v="4.0000000000000009"/>
    <n v="2"/>
    <n v="0.03"/>
    <n v="4780.2"/>
    <m/>
    <n v="0"/>
    <s v="SiRE"/>
    <n v="3332.9445902328857"/>
    <n v="364514151"/>
    <s v=""/>
    <n v="3332.9445902328857"/>
    <n v="0"/>
    <n v="0"/>
    <n v="0"/>
    <m/>
  </r>
  <r>
    <s v="Okanagan Sockeye"/>
    <s v="2010s"/>
    <x v="41"/>
    <n v="2016"/>
    <x v="42"/>
    <n v="152309"/>
    <n v="159340"/>
    <n v="158783"/>
    <n v="76255"/>
    <n v="0.69723956952279942"/>
    <n v="114039"/>
    <n v="111098.15300776286"/>
    <n v="76255"/>
    <n v="12150471700"/>
    <n v="5.9746454123258443E-3"/>
    <n v="0.69723956952279942"/>
    <n v="0"/>
    <n v="0.69262486130169598"/>
    <n v="0.24521516787061587"/>
    <x v="4"/>
    <n v="5.0000000000000018"/>
    <n v="2"/>
    <n v="5.0000000000000001E-3"/>
    <n v="796.7"/>
    <m/>
    <n v="0"/>
    <s v="SiRE"/>
    <n v="555.49076503881429"/>
    <n v="60752358.5"/>
    <s v=""/>
    <n v="555.49076503881429"/>
    <n v="0"/>
    <n v="0"/>
    <n v="0"/>
    <m/>
  </r>
  <r>
    <s v="Okanagan Sockeye"/>
    <s v="2010s"/>
    <x v="41"/>
    <n v="2015"/>
    <x v="41"/>
    <n v="152309"/>
    <n v="159340"/>
    <n v="158783"/>
    <n v="76255"/>
    <n v="0.69723956952279942"/>
    <n v="114039"/>
    <n v="111098.15300776286"/>
    <n v="76255"/>
    <n v="12150471700"/>
    <n v="5.9746454123258443E-3"/>
    <n v="0.69723956952279942"/>
    <n v="0"/>
    <n v="0.69262486130169598"/>
    <n v="0.24521516787061587"/>
    <x v="5"/>
    <n v="5.9999999999999982"/>
    <n v="2"/>
    <n v="0"/>
    <n v="0"/>
    <m/>
    <n v="0"/>
    <s v="SiRE"/>
    <n v="0"/>
    <n v="0"/>
    <s v=""/>
    <n v="0"/>
    <n v="0"/>
    <n v="0"/>
    <n v="0"/>
    <m/>
  </r>
  <r>
    <s v="Okanagan Sockeye"/>
    <s v="2020s"/>
    <x v="42"/>
    <n v="2019"/>
    <x v="44"/>
    <n v="663253"/>
    <n v="704203"/>
    <n v="702522"/>
    <n v="478418"/>
    <n v="0.72494935091895696"/>
    <n v="582555"/>
    <n v="510511.50776518224"/>
    <n v="478418"/>
    <n v="336903390854"/>
    <n v="3.3072849732250502E-3"/>
    <n v="0.72494935091895696"/>
    <n v="0"/>
    <n v="0"/>
    <n v="1.671122043153097E-2"/>
    <x v="0"/>
    <n v="3.0000000000000009"/>
    <n v="1"/>
    <n v="0.02"/>
    <n v="14084.06"/>
    <n v="1.9E-2"/>
    <n v="11068.545"/>
    <s v="SiRE"/>
    <m/>
    <m/>
    <m/>
    <m/>
    <m/>
    <m/>
    <m/>
    <s v="Deadpitch age comp from ONA to AO [2024-03-23]"/>
  </r>
  <r>
    <s v="Okanagan Sockeye"/>
    <s v="2020s"/>
    <x v="42"/>
    <n v="2018"/>
    <x v="43"/>
    <n v="663253"/>
    <n v="704203"/>
    <n v="702522"/>
    <n v="478418"/>
    <n v="0.72494935091895696"/>
    <n v="582555"/>
    <n v="510511.50776518224"/>
    <n v="478418"/>
    <n v="336903390854"/>
    <n v="3.3072849732250502E-3"/>
    <n v="0.72494935091895696"/>
    <n v="0"/>
    <n v="0"/>
    <n v="1.671122043153097E-2"/>
    <x v="1"/>
    <n v="3.9999999999999996"/>
    <n v="1"/>
    <n v="0.94399999999999995"/>
    <n v="664767.63199999998"/>
    <n v="0.86099999999999999"/>
    <n v="501579.85499999998"/>
    <s v="SiRE"/>
    <m/>
    <m/>
    <m/>
    <m/>
    <m/>
    <m/>
    <m/>
    <m/>
  </r>
  <r>
    <s v="Okanagan Sockeye"/>
    <s v="2010s"/>
    <x v="42"/>
    <n v="2017"/>
    <x v="42"/>
    <n v="663253"/>
    <n v="704203"/>
    <n v="702522"/>
    <n v="478418"/>
    <n v="0.72494935091895696"/>
    <n v="582555"/>
    <n v="510511.50776518224"/>
    <n v="478418"/>
    <n v="336903390854"/>
    <n v="3.3072849732250502E-3"/>
    <n v="0.72494935091895696"/>
    <n v="0"/>
    <n v="0"/>
    <n v="1.671122043153097E-2"/>
    <x v="2"/>
    <n v="5"/>
    <n v="1"/>
    <n v="2.3E-2"/>
    <n v="16196.669"/>
    <n v="0.12"/>
    <n v="69906.599999999991"/>
    <s v="SiRE"/>
    <m/>
    <m/>
    <m/>
    <m/>
    <m/>
    <m/>
    <m/>
    <m/>
  </r>
  <r>
    <s v="Okanagan Sockeye"/>
    <s v="2020s"/>
    <x v="42"/>
    <n v="2018"/>
    <x v="44"/>
    <n v="663253"/>
    <n v="704203"/>
    <n v="702522"/>
    <n v="478418"/>
    <n v="0.72494935091895696"/>
    <n v="582555"/>
    <n v="510511.50776518224"/>
    <n v="478418"/>
    <n v="336903390854"/>
    <n v="3.3072849732250502E-3"/>
    <n v="0.72494935091895696"/>
    <n v="0"/>
    <n v="0"/>
    <n v="1.671122043153097E-2"/>
    <x v="3"/>
    <n v="4.0000000000000009"/>
    <n v="2"/>
    <n v="8.0000000000000002E-3"/>
    <n v="5633.6239999999998"/>
    <m/>
    <n v="0"/>
    <s v="SiRE"/>
    <m/>
    <m/>
    <m/>
    <m/>
    <m/>
    <m/>
    <m/>
    <m/>
  </r>
  <r>
    <s v="Okanagan Sockeye"/>
    <s v="2020s"/>
    <x v="42"/>
    <n v="2017"/>
    <x v="43"/>
    <n v="663253"/>
    <n v="704203"/>
    <n v="702522"/>
    <n v="478418"/>
    <n v="0.72494935091895696"/>
    <n v="582555"/>
    <n v="510511.50776518224"/>
    <n v="478418"/>
    <n v="336903390854"/>
    <n v="3.3072849732250502E-3"/>
    <n v="0.72494935091895696"/>
    <n v="0"/>
    <n v="0"/>
    <n v="1.671122043153097E-2"/>
    <x v="4"/>
    <n v="5.0000000000000018"/>
    <n v="2"/>
    <n v="4.0000000000000001E-3"/>
    <n v="2816.8119999999999"/>
    <m/>
    <n v="0"/>
    <s v="SiRE"/>
    <m/>
    <m/>
    <m/>
    <m/>
    <m/>
    <m/>
    <m/>
    <m/>
  </r>
  <r>
    <s v="Okanagan Sockeye"/>
    <s v="2010s"/>
    <x v="42"/>
    <n v="2016"/>
    <x v="42"/>
    <n v="663253"/>
    <n v="704203"/>
    <n v="702522"/>
    <n v="478418"/>
    <n v="0.72494935091895696"/>
    <n v="582555"/>
    <n v="510511.50776518224"/>
    <n v="478418"/>
    <n v="336903390854"/>
    <n v="3.3072849732250502E-3"/>
    <n v="0.72494935091895696"/>
    <n v="0"/>
    <n v="0"/>
    <n v="1.671122043153097E-2"/>
    <x v="5"/>
    <n v="5.9999999999999982"/>
    <n v="2"/>
    <n v="0"/>
    <n v="0"/>
    <m/>
    <n v="0"/>
    <s v="SiRE"/>
    <m/>
    <m/>
    <m/>
    <m/>
    <m/>
    <m/>
    <m/>
    <m/>
  </r>
  <r>
    <s v="Okanagan Sockeye"/>
    <s v="2020s"/>
    <x v="43"/>
    <n v="2020"/>
    <x v="45"/>
    <n v="327600"/>
    <n v="347145"/>
    <n v="345705"/>
    <n v="136956"/>
    <n v="0.55275010897115084"/>
    <n v="207088"/>
    <m/>
    <m/>
    <m/>
    <m/>
    <m/>
    <m/>
    <m/>
    <m/>
    <x v="0"/>
    <n v="3.0000000000000009"/>
    <n v="1"/>
    <n v="0.02"/>
    <m/>
    <n v="8.8999999999999996E-2"/>
    <n v="18430.831999999999"/>
    <s v="SiRE"/>
    <m/>
    <m/>
    <m/>
    <m/>
    <m/>
    <m/>
    <m/>
    <s v="Deadpitch age comp from ONA to AO [2024-03-23]"/>
  </r>
  <r>
    <s v="Okanagan Sockeye"/>
    <s v="2020s"/>
    <x v="43"/>
    <n v="2019"/>
    <x v="44"/>
    <n v="327600"/>
    <n v="347145"/>
    <n v="345705"/>
    <n v="136956"/>
    <n v="0.55275010897115084"/>
    <n v="207088"/>
    <m/>
    <m/>
    <m/>
    <m/>
    <m/>
    <m/>
    <m/>
    <m/>
    <x v="1"/>
    <n v="3.9999999999999996"/>
    <n v="1"/>
    <n v="0.94399999999999995"/>
    <m/>
    <n v="0.81200000000000006"/>
    <n v="168155.45600000001"/>
    <s v="SiRE"/>
    <m/>
    <m/>
    <m/>
    <m/>
    <m/>
    <m/>
    <m/>
    <m/>
  </r>
  <r>
    <s v="Okanagan Sockeye"/>
    <s v="2020s"/>
    <x v="43"/>
    <n v="2018"/>
    <x v="43"/>
    <n v="327600"/>
    <n v="347145"/>
    <n v="345705"/>
    <n v="136956"/>
    <n v="0.55275010897115084"/>
    <n v="207088"/>
    <m/>
    <m/>
    <m/>
    <m/>
    <m/>
    <m/>
    <m/>
    <m/>
    <x v="2"/>
    <n v="5"/>
    <n v="1"/>
    <n v="2.3E-2"/>
    <m/>
    <n v="9.6000000000000002E-2"/>
    <n v="19880.448"/>
    <s v="SiRE"/>
    <m/>
    <m/>
    <m/>
    <m/>
    <m/>
    <m/>
    <m/>
    <m/>
  </r>
  <r>
    <s v="Okanagan Sockeye"/>
    <s v="2020s"/>
    <x v="43"/>
    <n v="2019"/>
    <x v="45"/>
    <n v="327600"/>
    <n v="347145"/>
    <n v="345705"/>
    <n v="136956"/>
    <n v="0.55275010897115084"/>
    <n v="207088"/>
    <m/>
    <m/>
    <m/>
    <m/>
    <m/>
    <m/>
    <m/>
    <m/>
    <x v="3"/>
    <n v="4.0000000000000009"/>
    <n v="2"/>
    <n v="8.0000000000000002E-3"/>
    <m/>
    <n v="3.0000000000000001E-3"/>
    <n v="621.26400000000001"/>
    <s v="SiRE"/>
    <m/>
    <m/>
    <m/>
    <m/>
    <m/>
    <m/>
    <m/>
    <m/>
  </r>
  <r>
    <s v="Okanagan Sockeye"/>
    <s v="2020s"/>
    <x v="43"/>
    <n v="2018"/>
    <x v="44"/>
    <n v="327600"/>
    <n v="347145"/>
    <n v="345705"/>
    <n v="136956"/>
    <n v="0.55275010897115084"/>
    <n v="207088"/>
    <m/>
    <m/>
    <m/>
    <m/>
    <m/>
    <m/>
    <m/>
    <m/>
    <x v="4"/>
    <n v="5.0000000000000018"/>
    <n v="2"/>
    <n v="4.0000000000000001E-3"/>
    <m/>
    <m/>
    <n v="0"/>
    <s v="SiRE"/>
    <m/>
    <m/>
    <m/>
    <m/>
    <m/>
    <m/>
    <m/>
    <m/>
  </r>
  <r>
    <s v="Okanagan Sockeye"/>
    <s v="2020s"/>
    <x v="43"/>
    <n v="2017"/>
    <x v="43"/>
    <n v="327600"/>
    <n v="347145"/>
    <n v="345705"/>
    <n v="136956"/>
    <n v="0.55275010897115084"/>
    <n v="207088"/>
    <m/>
    <m/>
    <m/>
    <m/>
    <m/>
    <m/>
    <m/>
    <m/>
    <x v="5"/>
    <n v="5.9999999999999982"/>
    <n v="2"/>
    <n v="0"/>
    <m/>
    <m/>
    <n v="0"/>
    <s v="SiRE"/>
    <m/>
    <m/>
    <m/>
    <m/>
    <m/>
    <m/>
    <m/>
    <m/>
  </r>
  <r>
    <m/>
    <m/>
    <x v="44"/>
    <m/>
    <x v="46"/>
    <m/>
    <m/>
    <m/>
    <m/>
    <m/>
    <m/>
    <m/>
    <m/>
    <m/>
    <m/>
    <m/>
    <m/>
    <m/>
    <m/>
    <x v="10"/>
    <m/>
    <m/>
    <m/>
    <m/>
    <m/>
    <m/>
    <m/>
    <m/>
    <m/>
    <m/>
    <m/>
    <m/>
    <m/>
    <m/>
    <m/>
  </r>
  <r>
    <m/>
    <m/>
    <x v="44"/>
    <m/>
    <x v="46"/>
    <m/>
    <m/>
    <m/>
    <m/>
    <m/>
    <m/>
    <m/>
    <m/>
    <m/>
    <m/>
    <m/>
    <m/>
    <m/>
    <m/>
    <x v="10"/>
    <m/>
    <m/>
    <m/>
    <m/>
    <m/>
    <m/>
    <m/>
    <m/>
    <m/>
    <m/>
    <m/>
    <m/>
    <m/>
    <m/>
    <m/>
  </r>
  <r>
    <m/>
    <m/>
    <x v="44"/>
    <m/>
    <x v="46"/>
    <m/>
    <m/>
    <m/>
    <m/>
    <m/>
    <m/>
    <m/>
    <m/>
    <m/>
    <m/>
    <m/>
    <m/>
    <m/>
    <m/>
    <x v="10"/>
    <m/>
    <m/>
    <m/>
    <m/>
    <m/>
    <m/>
    <m/>
    <m/>
    <m/>
    <m/>
    <m/>
    <m/>
    <m/>
    <m/>
    <m/>
  </r>
  <r>
    <m/>
    <m/>
    <x v="44"/>
    <m/>
    <x v="46"/>
    <m/>
    <m/>
    <m/>
    <m/>
    <m/>
    <m/>
    <m/>
    <m/>
    <m/>
    <m/>
    <m/>
    <m/>
    <m/>
    <m/>
    <x v="10"/>
    <m/>
    <m/>
    <m/>
    <m/>
    <m/>
    <m/>
    <m/>
    <m/>
    <m/>
    <m/>
    <m/>
    <m/>
    <m/>
    <m/>
    <m/>
  </r>
  <r>
    <m/>
    <m/>
    <x v="44"/>
    <m/>
    <x v="46"/>
    <m/>
    <m/>
    <m/>
    <m/>
    <m/>
    <m/>
    <m/>
    <m/>
    <m/>
    <m/>
    <m/>
    <m/>
    <m/>
    <m/>
    <x v="10"/>
    <m/>
    <m/>
    <m/>
    <m/>
    <m/>
    <m/>
    <m/>
    <m/>
    <m/>
    <m/>
    <m/>
    <m/>
    <m/>
    <m/>
    <m/>
  </r>
  <r>
    <m/>
    <m/>
    <x v="44"/>
    <m/>
    <x v="46"/>
    <m/>
    <m/>
    <m/>
    <m/>
    <m/>
    <m/>
    <m/>
    <m/>
    <m/>
    <m/>
    <m/>
    <m/>
    <m/>
    <m/>
    <x v="10"/>
    <m/>
    <m/>
    <m/>
    <m/>
    <m/>
    <m/>
    <m/>
    <m/>
    <m/>
    <m/>
    <m/>
    <m/>
    <m/>
    <m/>
    <m/>
  </r>
  <r>
    <m/>
    <m/>
    <x v="44"/>
    <m/>
    <x v="46"/>
    <m/>
    <m/>
    <m/>
    <m/>
    <m/>
    <m/>
    <m/>
    <m/>
    <m/>
    <m/>
    <m/>
    <m/>
    <m/>
    <m/>
    <x v="10"/>
    <m/>
    <m/>
    <m/>
    <m/>
    <m/>
    <m/>
    <m/>
    <m/>
    <m/>
    <m/>
    <m/>
    <m/>
    <m/>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5">
  <r>
    <s v="Okanagan Sockeye"/>
    <s v="1980s"/>
    <x v="0"/>
    <n v="1977"/>
    <x v="0"/>
    <n v="58886"/>
    <n v="61175.897733999991"/>
    <n v="61171.897733999991"/>
    <n v="30080.635999999999"/>
    <n v="0.57125616727120798"/>
    <n v="39084.094549759997"/>
    <n v="34947.108868900214"/>
    <m/>
    <m/>
    <n v="1.7490548396240722E-3"/>
    <n v="0.57125616727120798"/>
    <n v="0"/>
    <n v="0"/>
    <n v="0"/>
    <x v="0"/>
    <n v="3.0000000000000009"/>
    <x v="0"/>
    <m/>
    <m/>
    <n v="5.1999999999999998E-2"/>
    <n v="2032.3729165875197"/>
    <s v="SiRE MultiYr"/>
    <m/>
    <m/>
    <m/>
    <m/>
    <m/>
    <m/>
    <m/>
    <s v="Use SIRE default age comp"/>
  </r>
  <r>
    <s v="Okanagan Sockeye"/>
    <s v="1980s"/>
    <x v="0"/>
    <n v="1976"/>
    <x v="1"/>
    <n v="58886"/>
    <n v="61175.897733999991"/>
    <n v="61171.897733999991"/>
    <n v="30080.635999999999"/>
    <n v="0.57125616727120798"/>
    <n v="39084.094549759997"/>
    <n v="34947.108868900214"/>
    <m/>
    <m/>
    <n v="1.7490548396240722E-3"/>
    <n v="0.57125616727120798"/>
    <n v="0"/>
    <n v="0"/>
    <n v="0"/>
    <x v="1"/>
    <n v="3.9999999999999996"/>
    <x v="0"/>
    <m/>
    <m/>
    <n v="0.82499999999999996"/>
    <n v="32244.378003551996"/>
    <s v="SiRE MultiYr"/>
    <m/>
    <m/>
    <m/>
    <m/>
    <m/>
    <m/>
    <m/>
    <s v="Use SIRE default age comp"/>
  </r>
  <r>
    <s v="Okanagan Sockeye"/>
    <s v="1980s"/>
    <x v="0"/>
    <n v="1975"/>
    <x v="2"/>
    <n v="58886"/>
    <n v="61175.897733999991"/>
    <n v="61171.897733999991"/>
    <n v="30080.635999999999"/>
    <n v="0.57125616727120798"/>
    <n v="39084.094549759997"/>
    <n v="34947.108868900214"/>
    <m/>
    <m/>
    <n v="1.7490548396240722E-3"/>
    <n v="0.57125616727120798"/>
    <n v="0"/>
    <n v="0"/>
    <n v="0"/>
    <x v="2"/>
    <n v="5"/>
    <x v="0"/>
    <m/>
    <m/>
    <n v="8.3000000000000004E-2"/>
    <n v="3243.9798476300798"/>
    <s v="SiRE MultiYr"/>
    <m/>
    <m/>
    <m/>
    <m/>
    <m/>
    <m/>
    <m/>
    <s v="Use SIRE default age comp"/>
  </r>
  <r>
    <s v="Okanagan Sockeye"/>
    <s v="1980s"/>
    <x v="0"/>
    <n v="1976"/>
    <x v="0"/>
    <n v="58886"/>
    <n v="61175.897733999991"/>
    <n v="61171.897733999991"/>
    <n v="30080.635999999999"/>
    <n v="0.57125616727120798"/>
    <n v="39084.094549759997"/>
    <n v="34947.108868900214"/>
    <m/>
    <m/>
    <n v="1.7490548396240722E-3"/>
    <n v="0.57125616727120798"/>
    <n v="0"/>
    <n v="0"/>
    <n v="0"/>
    <x v="3"/>
    <n v="4.0000000000000009"/>
    <x v="1"/>
    <m/>
    <m/>
    <n v="2.3E-2"/>
    <n v="898.93417464447987"/>
    <s v="SiRE MultiYr"/>
    <m/>
    <m/>
    <m/>
    <m/>
    <m/>
    <m/>
    <m/>
    <s v="Use SIRE default age comp"/>
  </r>
  <r>
    <s v="Okanagan Sockeye"/>
    <s v="1980s"/>
    <x v="0"/>
    <n v="1975"/>
    <x v="1"/>
    <n v="58886"/>
    <n v="61175.897733999991"/>
    <n v="61171.897733999991"/>
    <n v="30080.635999999999"/>
    <n v="0.57125616727120798"/>
    <n v="39084.094549759997"/>
    <n v="34947.108868900214"/>
    <m/>
    <m/>
    <n v="1.7490548396240722E-3"/>
    <n v="0.57125616727120798"/>
    <n v="0"/>
    <n v="0"/>
    <n v="0"/>
    <x v="4"/>
    <n v="5.0000000000000018"/>
    <x v="1"/>
    <m/>
    <m/>
    <n v="1.6E-2"/>
    <n v="625.34551279615994"/>
    <s v="SiRE MultiYr"/>
    <m/>
    <m/>
    <m/>
    <m/>
    <m/>
    <m/>
    <m/>
    <s v="Use SIRE default age comp"/>
  </r>
  <r>
    <s v="Okanagan Sockeye"/>
    <s v="1980s"/>
    <x v="1"/>
    <n v="1978"/>
    <x v="3"/>
    <n v="56037"/>
    <n v="58203.034968999993"/>
    <n v="58203.034968999993"/>
    <n v="31960.887999999995"/>
    <n v="0.67801370415155171"/>
    <n v="42315.935527369991"/>
    <n v="39462.455332193982"/>
    <m/>
    <m/>
    <n v="4.0547713727591347E-3"/>
    <n v="0.67801370415155171"/>
    <n v="0"/>
    <n v="0"/>
    <n v="0"/>
    <x v="0"/>
    <n v="3.0000000000000009"/>
    <x v="0"/>
    <m/>
    <m/>
    <n v="5.1999999999999998E-2"/>
    <n v="2200.4286474232395"/>
    <s v="SiRE MultiYr"/>
    <m/>
    <m/>
    <m/>
    <m/>
    <m/>
    <m/>
    <m/>
    <s v="Use SIRE default age comp"/>
  </r>
  <r>
    <s v="Okanagan Sockeye"/>
    <s v="1980s"/>
    <x v="1"/>
    <n v="1977"/>
    <x v="0"/>
    <n v="56037"/>
    <n v="58203.034968999993"/>
    <n v="58203.034968999993"/>
    <n v="31960.887999999995"/>
    <n v="0.67801370415155171"/>
    <n v="42315.935527369991"/>
    <n v="39462.455332193982"/>
    <m/>
    <m/>
    <n v="4.0547713727591347E-3"/>
    <n v="0.67801370415155171"/>
    <n v="0"/>
    <n v="0"/>
    <n v="0"/>
    <x v="1"/>
    <n v="3.9999999999999996"/>
    <x v="0"/>
    <m/>
    <m/>
    <n v="0.82499999999999996"/>
    <n v="34910.646810080238"/>
    <s v="SiRE MultiYr"/>
    <m/>
    <m/>
    <m/>
    <m/>
    <m/>
    <m/>
    <m/>
    <s v="Use SIRE default age comp"/>
  </r>
  <r>
    <s v="Okanagan Sockeye"/>
    <s v="1980s"/>
    <x v="1"/>
    <n v="1976"/>
    <x v="1"/>
    <n v="56037"/>
    <n v="58203.034968999993"/>
    <n v="58203.034968999993"/>
    <n v="31960.887999999995"/>
    <n v="0.67801370415155171"/>
    <n v="42315.935527369991"/>
    <n v="39462.455332193982"/>
    <m/>
    <m/>
    <n v="4.0547713727591347E-3"/>
    <n v="0.67801370415155171"/>
    <n v="0"/>
    <n v="0"/>
    <n v="0"/>
    <x v="2"/>
    <n v="5"/>
    <x v="0"/>
    <m/>
    <m/>
    <n v="8.3000000000000004E-2"/>
    <n v="3512.2226487717094"/>
    <s v="SiRE MultiYr"/>
    <m/>
    <m/>
    <m/>
    <m/>
    <m/>
    <m/>
    <m/>
    <s v="Use SIRE default age comp"/>
  </r>
  <r>
    <s v="Okanagan Sockeye"/>
    <s v="1980s"/>
    <x v="1"/>
    <n v="1977"/>
    <x v="3"/>
    <n v="56037"/>
    <n v="58203.034968999993"/>
    <n v="58203.034968999993"/>
    <n v="31960.887999999995"/>
    <n v="0.67801370415155171"/>
    <n v="42315.935527369991"/>
    <n v="39462.455332193982"/>
    <m/>
    <m/>
    <n v="4.0547713727591347E-3"/>
    <n v="0.67801370415155171"/>
    <n v="0"/>
    <n v="0"/>
    <n v="0"/>
    <x v="3"/>
    <n v="4.0000000000000009"/>
    <x v="1"/>
    <m/>
    <m/>
    <n v="2.3E-2"/>
    <n v="973.26651712950979"/>
    <s v="SiRE MultiYr"/>
    <m/>
    <m/>
    <m/>
    <m/>
    <m/>
    <m/>
    <m/>
    <s v="Use SIRE default age comp"/>
  </r>
  <r>
    <s v="Okanagan Sockeye"/>
    <s v="1980s"/>
    <x v="1"/>
    <n v="1976"/>
    <x v="0"/>
    <n v="56037"/>
    <n v="58203.034968999993"/>
    <n v="58203.034968999993"/>
    <n v="31960.887999999995"/>
    <n v="0.67801370415155171"/>
    <n v="42315.935527369991"/>
    <n v="39462.455332193982"/>
    <m/>
    <m/>
    <n v="4.0547713727591347E-3"/>
    <n v="0.67801370415155171"/>
    <n v="0"/>
    <n v="0"/>
    <n v="0"/>
    <x v="4"/>
    <n v="5.0000000000000018"/>
    <x v="1"/>
    <m/>
    <m/>
    <n v="1.6E-2"/>
    <n v="677.05496843791991"/>
    <s v="SiRE MultiYr"/>
    <m/>
    <m/>
    <m/>
    <m/>
    <m/>
    <m/>
    <m/>
    <s v="Use SIRE default age comp"/>
  </r>
  <r>
    <s v="Okanagan Sockeye"/>
    <s v="1980s"/>
    <x v="2"/>
    <n v="1979"/>
    <x v="4"/>
    <n v="50319"/>
    <n v="52231.736702999995"/>
    <n v="52131.736702999995"/>
    <n v="21513.659999999996"/>
    <n v="0.52330665758556094"/>
    <n v="27026.863085559999"/>
    <n v="27333.215553935996"/>
    <m/>
    <m/>
    <n v="4.9203801409352507E-3"/>
    <n v="0.52330665758556094"/>
    <n v="0"/>
    <n v="0"/>
    <n v="0"/>
    <x v="0"/>
    <n v="3.0000000000000009"/>
    <x v="0"/>
    <m/>
    <m/>
    <n v="5.1999999999999998E-2"/>
    <n v="1405.3968804491199"/>
    <s v="SiRE MultiYr"/>
    <m/>
    <m/>
    <m/>
    <m/>
    <m/>
    <m/>
    <m/>
    <s v="Use SIRE default age comp"/>
  </r>
  <r>
    <s v="Okanagan Sockeye"/>
    <s v="1980s"/>
    <x v="2"/>
    <n v="1978"/>
    <x v="3"/>
    <n v="50319"/>
    <n v="52231.736702999995"/>
    <n v="52131.736702999995"/>
    <n v="21513.659999999996"/>
    <n v="0.52330665758556094"/>
    <n v="27026.863085559999"/>
    <n v="27333.215553935996"/>
    <m/>
    <m/>
    <n v="4.9203801409352507E-3"/>
    <n v="0.52330665758556094"/>
    <n v="0"/>
    <n v="0"/>
    <n v="0"/>
    <x v="1"/>
    <n v="3.9999999999999996"/>
    <x v="0"/>
    <m/>
    <m/>
    <n v="0.82499999999999996"/>
    <n v="22297.162045586996"/>
    <s v="SiRE MultiYr"/>
    <m/>
    <m/>
    <m/>
    <m/>
    <m/>
    <m/>
    <m/>
    <s v="Use SIRE default age comp"/>
  </r>
  <r>
    <s v="Okanagan Sockeye"/>
    <s v="1980s"/>
    <x v="2"/>
    <n v="1977"/>
    <x v="0"/>
    <n v="50319"/>
    <n v="52231.736702999995"/>
    <n v="52131.736702999995"/>
    <n v="21513.659999999996"/>
    <n v="0.52330665758556094"/>
    <n v="27026.863085559999"/>
    <n v="27333.215553935996"/>
    <m/>
    <m/>
    <n v="4.9203801409352507E-3"/>
    <n v="0.52330665758556094"/>
    <n v="0"/>
    <n v="0"/>
    <n v="0"/>
    <x v="2"/>
    <n v="5"/>
    <x v="0"/>
    <m/>
    <m/>
    <n v="8.3000000000000004E-2"/>
    <n v="2243.2296361014801"/>
    <s v="SiRE MultiYr"/>
    <m/>
    <m/>
    <m/>
    <m/>
    <m/>
    <m/>
    <m/>
    <s v="Use SIRE default age comp"/>
  </r>
  <r>
    <s v="Okanagan Sockeye"/>
    <s v="1980s"/>
    <x v="2"/>
    <n v="1978"/>
    <x v="4"/>
    <n v="50319"/>
    <n v="52231.736702999995"/>
    <n v="52131.736702999995"/>
    <n v="21513.659999999996"/>
    <n v="0.52330665758556094"/>
    <n v="27026.863085559999"/>
    <n v="27333.215553935996"/>
    <m/>
    <m/>
    <n v="4.9203801409352507E-3"/>
    <n v="0.52330665758556094"/>
    <n v="0"/>
    <n v="0"/>
    <n v="0"/>
    <x v="3"/>
    <n v="4.0000000000000009"/>
    <x v="1"/>
    <m/>
    <m/>
    <n v="2.3E-2"/>
    <n v="621.61785096787992"/>
    <s v="SiRE MultiYr"/>
    <m/>
    <m/>
    <m/>
    <m/>
    <m/>
    <m/>
    <m/>
    <s v="Use SIRE default age comp"/>
  </r>
  <r>
    <s v="Okanagan Sockeye"/>
    <s v="1980s"/>
    <x v="2"/>
    <n v="1977"/>
    <x v="3"/>
    <n v="50319"/>
    <n v="52231.736702999995"/>
    <n v="52131.736702999995"/>
    <n v="21513.659999999996"/>
    <n v="0.52330665758556094"/>
    <n v="27026.863085559999"/>
    <n v="27333.215553935996"/>
    <m/>
    <m/>
    <n v="4.9203801409352507E-3"/>
    <n v="0.52330665758556094"/>
    <n v="0"/>
    <n v="0"/>
    <n v="0"/>
    <x v="4"/>
    <n v="5.0000000000000018"/>
    <x v="1"/>
    <m/>
    <m/>
    <n v="1.6E-2"/>
    <n v="432.42980936895998"/>
    <s v="SiRE MultiYr"/>
    <m/>
    <m/>
    <m/>
    <m/>
    <m/>
    <m/>
    <m/>
    <s v="Use SIRE default age comp"/>
  </r>
  <r>
    <s v="Okanagan Sockeye"/>
    <s v="1980s"/>
    <x v="3"/>
    <n v="1980"/>
    <x v="5"/>
    <n v="100610"/>
    <n v="104712.996099"/>
    <n v="104629.996099"/>
    <n v="31611.1"/>
    <n v="0.36576761084883824"/>
    <n v="38654.638556630001"/>
    <n v="38300.62240795495"/>
    <m/>
    <m/>
    <n v="2.3015290267518335E-3"/>
    <n v="0.36576761084883824"/>
    <n v="0"/>
    <n v="0"/>
    <n v="0"/>
    <x v="0"/>
    <n v="3.0000000000000009"/>
    <x v="0"/>
    <m/>
    <m/>
    <n v="5.1999999999999998E-2"/>
    <n v="2010.04120494476"/>
    <s v="SiRE MultiYr"/>
    <m/>
    <m/>
    <m/>
    <m/>
    <m/>
    <m/>
    <m/>
    <s v="Use SIRE default age comp"/>
  </r>
  <r>
    <s v="Okanagan Sockeye"/>
    <s v="1980s"/>
    <x v="3"/>
    <n v="1979"/>
    <x v="4"/>
    <n v="100610"/>
    <n v="104712.996099"/>
    <n v="104629.996099"/>
    <n v="31611.1"/>
    <n v="0.36576761084883824"/>
    <n v="38654.638556630001"/>
    <n v="38300.62240795495"/>
    <m/>
    <m/>
    <n v="2.3015290267518335E-3"/>
    <n v="0.36576761084883824"/>
    <n v="0"/>
    <n v="0"/>
    <n v="0"/>
    <x v="1"/>
    <n v="3.9999999999999996"/>
    <x v="0"/>
    <m/>
    <m/>
    <n v="0.82499999999999996"/>
    <n v="31890.07680921975"/>
    <s v="SiRE MultiYr"/>
    <m/>
    <m/>
    <m/>
    <m/>
    <m/>
    <m/>
    <m/>
    <s v="Use SIRE default age comp"/>
  </r>
  <r>
    <s v="Okanagan Sockeye"/>
    <s v="1980s"/>
    <x v="3"/>
    <n v="1978"/>
    <x v="3"/>
    <n v="100610"/>
    <n v="104712.996099"/>
    <n v="104629.996099"/>
    <n v="31611.1"/>
    <n v="0.36576761084883824"/>
    <n v="38654.638556630001"/>
    <n v="38300.62240795495"/>
    <m/>
    <m/>
    <n v="2.3015290267518335E-3"/>
    <n v="0.36576761084883824"/>
    <n v="0"/>
    <n v="0"/>
    <n v="0"/>
    <x v="2"/>
    <n v="5"/>
    <x v="0"/>
    <m/>
    <m/>
    <n v="8.3000000000000004E-2"/>
    <n v="3208.3350002002903"/>
    <s v="SiRE MultiYr"/>
    <m/>
    <m/>
    <m/>
    <m/>
    <m/>
    <m/>
    <m/>
    <s v="Use SIRE default age comp"/>
  </r>
  <r>
    <s v="Okanagan Sockeye"/>
    <s v="1980s"/>
    <x v="3"/>
    <n v="1979"/>
    <x v="5"/>
    <n v="100610"/>
    <n v="104712.996099"/>
    <n v="104629.996099"/>
    <n v="31611.1"/>
    <n v="0.36576761084883824"/>
    <n v="38654.638556630001"/>
    <n v="38300.62240795495"/>
    <m/>
    <m/>
    <n v="2.3015290267518335E-3"/>
    <n v="0.36576761084883824"/>
    <n v="0"/>
    <n v="0"/>
    <n v="0"/>
    <x v="3"/>
    <n v="4.0000000000000009"/>
    <x v="1"/>
    <m/>
    <m/>
    <n v="2.3E-2"/>
    <n v="889.05668680249005"/>
    <s v="SiRE MultiYr"/>
    <m/>
    <m/>
    <m/>
    <m/>
    <m/>
    <m/>
    <m/>
    <s v="Use SIRE default age comp"/>
  </r>
  <r>
    <s v="Okanagan Sockeye"/>
    <s v="1980s"/>
    <x v="3"/>
    <n v="1978"/>
    <x v="4"/>
    <n v="100610"/>
    <n v="104712.996099"/>
    <n v="104629.996099"/>
    <n v="31611.1"/>
    <n v="0.36576761084883824"/>
    <n v="38654.638556630001"/>
    <n v="38300.62240795495"/>
    <m/>
    <m/>
    <n v="2.3015290267518335E-3"/>
    <n v="0.36576761084883824"/>
    <n v="0"/>
    <n v="0"/>
    <n v="0"/>
    <x v="4"/>
    <n v="5.0000000000000018"/>
    <x v="1"/>
    <m/>
    <m/>
    <n v="1.6E-2"/>
    <n v="618.47421690608007"/>
    <s v="SiRE MultiYr"/>
    <m/>
    <m/>
    <m/>
    <m/>
    <m/>
    <m/>
    <m/>
    <s v="Use SIRE default age comp"/>
  </r>
  <r>
    <s v="Okanagan Sockeye"/>
    <s v="1980s"/>
    <x v="4"/>
    <n v="1981"/>
    <x v="6"/>
    <n v="161890"/>
    <n v="168257.70376499998"/>
    <n v="158912.70376499998"/>
    <n v="91753.127999999997"/>
    <n v="0.84106192938070612"/>
    <n v="141211.31116259997"/>
    <n v="141515.14896175818"/>
    <m/>
    <m/>
    <n v="8.8554637716976934E-4"/>
    <n v="0.84106192938070612"/>
    <n v="0"/>
    <n v="0"/>
    <n v="0"/>
    <x v="0"/>
    <n v="3.0000000000000009"/>
    <x v="0"/>
    <m/>
    <m/>
    <n v="5.1999999999999998E-2"/>
    <n v="7342.9881804551987"/>
    <s v="SiRE MultiYr"/>
    <m/>
    <m/>
    <m/>
    <m/>
    <m/>
    <m/>
    <m/>
    <s v="Use SIRE default age comp"/>
  </r>
  <r>
    <s v="Okanagan Sockeye"/>
    <s v="1980s"/>
    <x v="4"/>
    <n v="1980"/>
    <x v="5"/>
    <n v="161890"/>
    <n v="168257.70376499998"/>
    <n v="158912.70376499998"/>
    <n v="91753.127999999997"/>
    <n v="0.84106192938070612"/>
    <n v="141211.31116259997"/>
    <n v="141515.14896175818"/>
    <m/>
    <m/>
    <n v="8.8554637716976934E-4"/>
    <n v="0.84106192938070612"/>
    <n v="0"/>
    <n v="0"/>
    <n v="0"/>
    <x v="1"/>
    <n v="3.9999999999999996"/>
    <x v="0"/>
    <m/>
    <m/>
    <n v="0.82499999999999996"/>
    <n v="116499.33170914497"/>
    <s v="SiRE MultiYr"/>
    <m/>
    <m/>
    <m/>
    <m/>
    <m/>
    <m/>
    <m/>
    <s v="Use SIRE default age comp"/>
  </r>
  <r>
    <s v="Okanagan Sockeye"/>
    <s v="1980s"/>
    <x v="4"/>
    <n v="1979"/>
    <x v="4"/>
    <n v="161890"/>
    <n v="168257.70376499998"/>
    <n v="158912.70376499998"/>
    <n v="91753.127999999997"/>
    <n v="0.84106192938070612"/>
    <n v="141211.31116259997"/>
    <n v="141515.14896175818"/>
    <m/>
    <m/>
    <n v="8.8554637716976934E-4"/>
    <n v="0.84106192938070612"/>
    <n v="0"/>
    <n v="0"/>
    <n v="0"/>
    <x v="2"/>
    <n v="5"/>
    <x v="0"/>
    <m/>
    <m/>
    <n v="8.3000000000000004E-2"/>
    <n v="11720.538826495798"/>
    <s v="SiRE MultiYr"/>
    <m/>
    <m/>
    <m/>
    <m/>
    <m/>
    <m/>
    <m/>
    <s v="Use SIRE default age comp"/>
  </r>
  <r>
    <s v="Okanagan Sockeye"/>
    <s v="1980s"/>
    <x v="4"/>
    <n v="1980"/>
    <x v="6"/>
    <n v="161890"/>
    <n v="168257.70376499998"/>
    <n v="158912.70376499998"/>
    <n v="91753.127999999997"/>
    <n v="0.84106192938070612"/>
    <n v="141211.31116259997"/>
    <n v="141515.14896175818"/>
    <m/>
    <m/>
    <n v="8.8554637716976934E-4"/>
    <n v="0.84106192938070612"/>
    <n v="0"/>
    <n v="0"/>
    <n v="0"/>
    <x v="3"/>
    <n v="4.0000000000000009"/>
    <x v="1"/>
    <m/>
    <m/>
    <n v="2.3E-2"/>
    <n v="3247.8601567397995"/>
    <s v="SiRE MultiYr"/>
    <m/>
    <m/>
    <m/>
    <m/>
    <m/>
    <m/>
    <m/>
    <s v="Use SIRE default age comp"/>
  </r>
  <r>
    <s v="Okanagan Sockeye"/>
    <s v="1980s"/>
    <x v="4"/>
    <n v="1979"/>
    <x v="5"/>
    <n v="161890"/>
    <n v="168257.70376499998"/>
    <n v="158912.70376499998"/>
    <n v="91753.127999999997"/>
    <n v="0.84106192938070612"/>
    <n v="141211.31116259997"/>
    <n v="141515.14896175818"/>
    <m/>
    <m/>
    <n v="8.8554637716976934E-4"/>
    <n v="0.84106192938070612"/>
    <n v="0"/>
    <n v="0"/>
    <n v="0"/>
    <x v="4"/>
    <n v="5.0000000000000018"/>
    <x v="1"/>
    <m/>
    <m/>
    <n v="1.6E-2"/>
    <n v="2259.3809786015995"/>
    <s v="SiRE MultiYr"/>
    <m/>
    <m/>
    <m/>
    <m/>
    <m/>
    <m/>
    <m/>
    <s v="Use SIRE default age comp"/>
  </r>
  <r>
    <s v="Okanagan Sockeye"/>
    <s v="1980s"/>
    <x v="5"/>
    <n v="1982"/>
    <x v="7"/>
    <n v="200758"/>
    <n v="205521"/>
    <n v="173308"/>
    <n v="59983.547999999995"/>
    <n v="0.58123593023255804"/>
    <n v="121223"/>
    <n v="119456.18961732557"/>
    <m/>
    <m/>
    <n v="2.870752867103605E-4"/>
    <n v="0.58123593023255804"/>
    <n v="0.51892511237550554"/>
    <n v="0"/>
    <n v="0.30173448427077804"/>
    <x v="0"/>
    <n v="3.0000000000000009"/>
    <x v="0"/>
    <n v="6.9000000000000006E-2"/>
    <n v="14180.949000000001"/>
    <n v="5.1999999999999998E-2"/>
    <n v="8364.3870000000006"/>
    <s v="CRITFC"/>
    <n v="8242.4770835954641"/>
    <s v=""/>
    <n v="6211.721860100929"/>
    <n v="8242.4770835954641"/>
    <n v="3119.1444959999994"/>
    <n v="0"/>
    <n v="0"/>
    <s v="Fryer thesis: freshwater aged, marine ages based on length"/>
  </r>
  <r>
    <s v="Okanagan Sockeye"/>
    <s v="1980s"/>
    <x v="5"/>
    <n v="1981"/>
    <x v="6"/>
    <n v="200758"/>
    <n v="205521"/>
    <n v="173308"/>
    <n v="59983.547999999995"/>
    <n v="0.58123593023255804"/>
    <n v="121223"/>
    <n v="119456.18961732557"/>
    <m/>
    <m/>
    <n v="2.870752867103605E-4"/>
    <n v="0.58123593023255804"/>
    <n v="0.51892511237550554"/>
    <n v="0"/>
    <n v="0.30173448427077804"/>
    <x v="1"/>
    <n v="3.9999999999999996"/>
    <x v="0"/>
    <n v="0.88"/>
    <n v="180858.48"/>
    <n v="0.82499999999999996"/>
    <n v="106676.24"/>
    <s v="CRITFC"/>
    <n v="105121.4468632465"/>
    <s v=""/>
    <n v="98551.356434293586"/>
    <n v="105121.4468632465"/>
    <n v="49486.427099999994"/>
    <n v="0"/>
    <n v="0"/>
    <s v="Fryer thesis: freshwater aged, marine ages based on length"/>
  </r>
  <r>
    <s v="Okanagan Sockeye"/>
    <s v="1980s"/>
    <x v="5"/>
    <n v="1980"/>
    <x v="5"/>
    <n v="200758"/>
    <n v="205521"/>
    <n v="173308"/>
    <n v="59983.547999999995"/>
    <n v="0.58123593023255804"/>
    <n v="121223"/>
    <n v="119456.18961732557"/>
    <m/>
    <m/>
    <n v="2.870752867103605E-4"/>
    <n v="0.58123593023255804"/>
    <n v="0.51892511237550554"/>
    <n v="0"/>
    <n v="0.30173448427077804"/>
    <x v="2"/>
    <n v="5"/>
    <x v="0"/>
    <n v="6.0000000000000001E-3"/>
    <n v="1233.126"/>
    <n v="8.3000000000000004E-2"/>
    <n v="727.33799999999997"/>
    <s v="CRITFC"/>
    <n v="716.73713770395341"/>
    <s v=""/>
    <n v="9914.8637382380221"/>
    <n v="716.73713770395341"/>
    <n v="4978.6344840000002"/>
    <n v="0"/>
    <n v="0"/>
    <s v="Fryer thesis: freshwater aged, marine ages based on length"/>
  </r>
  <r>
    <s v="Okanagan Sockeye"/>
    <s v="1980s"/>
    <x v="5"/>
    <n v="1981"/>
    <x v="7"/>
    <n v="200758"/>
    <n v="205521"/>
    <n v="173308"/>
    <n v="59983.547999999995"/>
    <n v="0.58123593023255804"/>
    <n v="121223"/>
    <n v="119456.18961732557"/>
    <m/>
    <m/>
    <n v="2.870752867103605E-4"/>
    <n v="0.58123593023255804"/>
    <n v="0.51892511237550554"/>
    <n v="0"/>
    <n v="0.30173448427077804"/>
    <x v="3"/>
    <n v="4.0000000000000009"/>
    <x v="1"/>
    <n v="1.0999999999999999E-2"/>
    <n v="2260.7309999999998"/>
    <n v="2.3E-2"/>
    <n v="1333.453"/>
    <s v="CRITFC"/>
    <n v="1314.0180857905812"/>
    <s v=""/>
    <n v="2747.4923611984882"/>
    <n v="1314.0180857905812"/>
    <n v="1379.6216039999999"/>
    <n v="0"/>
    <n v="0"/>
    <s v="Fryer thesis: freshwater aged, marine ages based on length"/>
  </r>
  <r>
    <s v="Okanagan Sockeye"/>
    <s v="1980s"/>
    <x v="5"/>
    <n v="1980"/>
    <x v="6"/>
    <n v="200758"/>
    <n v="205521"/>
    <n v="173308"/>
    <n v="59983.547999999995"/>
    <n v="0.58123593023255804"/>
    <n v="121223"/>
    <n v="119456.18961732557"/>
    <m/>
    <m/>
    <n v="2.870752867103605E-4"/>
    <n v="0.58123593023255804"/>
    <n v="0.51892511237550554"/>
    <n v="0"/>
    <n v="0.30173448427077804"/>
    <x v="4"/>
    <n v="5.0000000000000018"/>
    <x v="1"/>
    <n v="3.4000000000000002E-2"/>
    <n v="6987.7140000000009"/>
    <n v="1.6E-2"/>
    <n v="4121.5820000000003"/>
    <s v="CRITFC"/>
    <n v="4061.5104469890694"/>
    <s v=""/>
    <n v="1911.299033877209"/>
    <n v="4061.5104469890694"/>
    <n v="959.73676799999998"/>
    <n v="0"/>
    <n v="0"/>
    <s v="Fryer thesis: freshwater aged, marine ages based on length"/>
  </r>
  <r>
    <s v="Okanagan Sockeye"/>
    <s v="1980s"/>
    <x v="6"/>
    <n v="1983"/>
    <x v="8"/>
    <n v="59963"/>
    <n v="62220"/>
    <n v="60380"/>
    <n v="39380.015999999996"/>
    <n v="0.79095396481079772"/>
    <n v="49135"/>
    <n v="49213.155690527834"/>
    <m/>
    <m/>
    <n v="3.8572806171648989E-4"/>
    <n v="0.79095396481079772"/>
    <n v="0.6732987535805528"/>
    <n v="0"/>
    <n v="9.4998343822457768E-2"/>
    <x v="0"/>
    <n v="3.0000000000000009"/>
    <x v="0"/>
    <n v="5.1999999999999998E-2"/>
    <n v="3235.44"/>
    <n v="5.1999999999999998E-2"/>
    <n v="2555.02"/>
    <s v="SiRE MultiYr"/>
    <n v="2559.0840959074471"/>
    <s v=""/>
    <n v="2559.0840959074471"/>
    <n v="2559.0840959074471"/>
    <n v="2047.7608319999997"/>
    <n v="0"/>
    <n v="0"/>
    <s v="no age comp data - multi-year mean applied"/>
  </r>
  <r>
    <s v="Okanagan Sockeye"/>
    <s v="1980s"/>
    <x v="6"/>
    <n v="1982"/>
    <x v="7"/>
    <n v="59963"/>
    <n v="62220"/>
    <n v="60380"/>
    <n v="39380.015999999996"/>
    <n v="0.79095396481079772"/>
    <n v="49135"/>
    <n v="49213.155690527834"/>
    <m/>
    <m/>
    <n v="3.8572806171648989E-4"/>
    <n v="0.79095396481079772"/>
    <n v="0.6732987535805528"/>
    <n v="0"/>
    <n v="9.4998343822457768E-2"/>
    <x v="1"/>
    <n v="3.9999999999999996"/>
    <x v="0"/>
    <n v="0.82499999999999996"/>
    <n v="51331.5"/>
    <n v="0.82499999999999996"/>
    <n v="40536.375"/>
    <s v="SiRE MultiYr"/>
    <n v="40600.853444685461"/>
    <s v=""/>
    <n v="40600.853444685461"/>
    <n v="40600.853444685461"/>
    <n v="32488.513199999994"/>
    <n v="0"/>
    <n v="0"/>
    <s v="no age comp data - multi-year mean applied"/>
  </r>
  <r>
    <s v="Okanagan Sockeye"/>
    <s v="1980s"/>
    <x v="6"/>
    <n v="1981"/>
    <x v="6"/>
    <n v="59963"/>
    <n v="62220"/>
    <n v="60380"/>
    <n v="39380.015999999996"/>
    <n v="0.79095396481079772"/>
    <n v="49135"/>
    <n v="49213.155690527834"/>
    <m/>
    <m/>
    <n v="3.8572806171648989E-4"/>
    <n v="0.79095396481079772"/>
    <n v="0.6732987535805528"/>
    <n v="0"/>
    <n v="9.4998343822457768E-2"/>
    <x v="2"/>
    <n v="5"/>
    <x v="0"/>
    <n v="8.3000000000000004E-2"/>
    <n v="5164.26"/>
    <n v="8.3000000000000004E-2"/>
    <n v="4078.2050000000004"/>
    <s v="SiRE MultiYr"/>
    <n v="4084.6919223138102"/>
    <s v=""/>
    <n v="4084.6919223138102"/>
    <n v="4084.6919223138102"/>
    <n v="3268.5413279999998"/>
    <n v="0"/>
    <n v="0"/>
    <s v="no age comp data - multi-year mean applied"/>
  </r>
  <r>
    <s v="Okanagan Sockeye"/>
    <s v="1980s"/>
    <x v="6"/>
    <n v="1982"/>
    <x v="8"/>
    <n v="59963"/>
    <n v="62220"/>
    <n v="60380"/>
    <n v="39380.015999999996"/>
    <n v="0.79095396481079772"/>
    <n v="49135"/>
    <n v="49213.155690527834"/>
    <m/>
    <m/>
    <n v="3.8572806171648989E-4"/>
    <n v="0.79095396481079772"/>
    <n v="0.6732987535805528"/>
    <n v="0"/>
    <n v="9.4998343822457768E-2"/>
    <x v="3"/>
    <n v="4.0000000000000009"/>
    <x v="1"/>
    <n v="2.3E-2"/>
    <n v="1431.06"/>
    <n v="2.3E-2"/>
    <n v="1130.105"/>
    <s v="SiRE MultiYr"/>
    <n v="1131.9025808821402"/>
    <s v=""/>
    <n v="1131.9025808821402"/>
    <n v="1131.9025808821402"/>
    <n v="905.74036799999988"/>
    <n v="0"/>
    <n v="0"/>
    <s v="no age comp data - multi-year mean applied"/>
  </r>
  <r>
    <s v="Okanagan Sockeye"/>
    <s v="1980s"/>
    <x v="6"/>
    <n v="1981"/>
    <x v="7"/>
    <n v="59963"/>
    <n v="62220"/>
    <n v="60380"/>
    <n v="39380.015999999996"/>
    <n v="0.79095396481079772"/>
    <n v="49135"/>
    <n v="49213.155690527834"/>
    <m/>
    <m/>
    <n v="3.8572806171648989E-4"/>
    <n v="0.79095396481079772"/>
    <n v="0.6732987535805528"/>
    <n v="0"/>
    <n v="9.4998343822457768E-2"/>
    <x v="4"/>
    <n v="5.0000000000000018"/>
    <x v="1"/>
    <n v="1.6E-2"/>
    <n v="995.52"/>
    <n v="1.6E-2"/>
    <n v="786.16"/>
    <s v="SiRE MultiYr"/>
    <n v="787.41049104844535"/>
    <s v=""/>
    <n v="787.41049104844535"/>
    <n v="787.41049104844535"/>
    <n v="630.08025599999996"/>
    <n v="0"/>
    <n v="0"/>
    <s v="no age comp data - multi-year mean applied"/>
  </r>
  <r>
    <s v="Okanagan Sockeye"/>
    <s v="1980s"/>
    <x v="7"/>
    <n v="1984"/>
    <x v="9"/>
    <n v="145546"/>
    <n v="150366"/>
    <n v="121813"/>
    <n v="45415.839999999997"/>
    <n v="0.6500234728344878"/>
    <n v="99205"/>
    <n v="97741.429516230593"/>
    <n v="45415.839999999997"/>
    <n v="6828998197.4399996"/>
    <n v="3.6577417767314418E-4"/>
    <n v="0.6500234728344878"/>
    <n v="0.58252145252856702"/>
    <n v="0.44000000000000006"/>
    <n v="0.33562099283327723"/>
    <x v="0"/>
    <n v="3.0000000000000009"/>
    <x v="0"/>
    <n v="0.49199999999999999"/>
    <n v="73980.072"/>
    <n v="5.1999999999999998E-2"/>
    <n v="48808.86"/>
    <s v="CRITFC"/>
    <n v="48088.783321985451"/>
    <n v="3359867113.1404796"/>
    <n v="5082.5543348439905"/>
    <n v="48088.783321985451"/>
    <n v="2361.6236799999997"/>
    <n v="2.2880000000000001E-2"/>
    <n v="3.0927247543095119E-7"/>
    <s v="Fryer thesis: freshwater aged, marine ages based on length"/>
  </r>
  <r>
    <s v="Okanagan Sockeye"/>
    <s v="1980s"/>
    <x v="7"/>
    <n v="1983"/>
    <x v="8"/>
    <n v="145546"/>
    <n v="150366"/>
    <n v="121813"/>
    <n v="45415.839999999997"/>
    <n v="0.6500234728344878"/>
    <n v="99205"/>
    <n v="97741.429516230593"/>
    <n v="45415.839999999997"/>
    <n v="6828998197.4399996"/>
    <n v="3.6577417767314418E-4"/>
    <n v="0.6500234728344878"/>
    <n v="0.58252145252856702"/>
    <n v="0.44000000000000006"/>
    <n v="0.33562099283327723"/>
    <x v="1"/>
    <n v="3.9999999999999996"/>
    <x v="0"/>
    <n v="0.46"/>
    <n v="69168.36"/>
    <n v="0.82499999999999996"/>
    <n v="45634.3"/>
    <s v="CRITFC"/>
    <n v="44961.057577466076"/>
    <n v="3141339170.8224001"/>
    <n v="80636.679350890234"/>
    <n v="44961.057577466076"/>
    <n v="37468.067999999992"/>
    <n v="0.36300000000000004"/>
    <n v="5.2480642883538089E-6"/>
    <s v="Fryer thesis: freshwater aged, marine ages based on length"/>
  </r>
  <r>
    <s v="Okanagan Sockeye"/>
    <s v="1980s"/>
    <x v="7"/>
    <n v="1982"/>
    <x v="7"/>
    <n v="145546"/>
    <n v="150366"/>
    <n v="121813"/>
    <n v="45415.839999999997"/>
    <n v="0.6500234728344878"/>
    <n v="99205"/>
    <n v="97741.429516230593"/>
    <n v="45415.839999999997"/>
    <n v="6828998197.4399996"/>
    <n v="3.6577417767314418E-4"/>
    <n v="0.6500234728344878"/>
    <n v="0.58252145252856702"/>
    <n v="0.44000000000000006"/>
    <n v="0.33562099283327723"/>
    <x v="2"/>
    <n v="5"/>
    <x v="0"/>
    <n v="2.8000000000000001E-2"/>
    <n v="4210.2480000000005"/>
    <n v="8.3000000000000004E-2"/>
    <n v="2777.7400000000002"/>
    <s v="CRITFC"/>
    <n v="2736.7600264544567"/>
    <n v="191211949.52831998"/>
    <n v="8112.5386498471398"/>
    <n v="2736.7600264544567"/>
    <n v="3769.5147200000001"/>
    <n v="3.6520000000000004E-2"/>
    <n v="8.6740733562488473E-6"/>
    <s v="Fryer thesis: freshwater aged, marine ages based on length"/>
  </r>
  <r>
    <s v="Okanagan Sockeye"/>
    <s v="1980s"/>
    <x v="7"/>
    <n v="1983"/>
    <x v="9"/>
    <n v="145546"/>
    <n v="150366"/>
    <n v="121813"/>
    <n v="45415.839999999997"/>
    <n v="0.6500234728344878"/>
    <n v="99205"/>
    <n v="97741.429516230593"/>
    <n v="45415.839999999997"/>
    <n v="6828998197.4399996"/>
    <n v="3.6577417767314418E-4"/>
    <n v="0.6500234728344878"/>
    <n v="0.58252145252856702"/>
    <n v="0.44000000000000006"/>
    <n v="0.33562099283327723"/>
    <x v="3"/>
    <n v="4.0000000000000009"/>
    <x v="1"/>
    <n v="0.01"/>
    <n v="1503.66"/>
    <n v="2.3E-2"/>
    <n v="992.05000000000007"/>
    <s v="CRITFC"/>
    <n v="977.41429516230596"/>
    <n v="68289981.974399999"/>
    <n v="2248.0528788733036"/>
    <n v="977.41429516230596"/>
    <n v="1044.56432"/>
    <n v="1.0120000000000001E-2"/>
    <n v="6.730244869185853E-6"/>
    <s v="Fryer thesis: freshwater aged, marine ages based on length"/>
  </r>
  <r>
    <s v="Okanagan Sockeye"/>
    <s v="1980s"/>
    <x v="7"/>
    <n v="1982"/>
    <x v="8"/>
    <n v="145546"/>
    <n v="150366"/>
    <n v="121813"/>
    <n v="45415.839999999997"/>
    <n v="0.6500234728344878"/>
    <n v="99205"/>
    <n v="97741.429516230593"/>
    <n v="45415.839999999997"/>
    <n v="6828998197.4399996"/>
    <n v="3.6577417767314418E-4"/>
    <n v="0.6500234728344878"/>
    <n v="0.58252145252856702"/>
    <n v="0.44000000000000006"/>
    <n v="0.33562099283327723"/>
    <x v="4"/>
    <n v="5.0000000000000018"/>
    <x v="1"/>
    <n v="0.01"/>
    <n v="1503.66"/>
    <n v="1.6E-2"/>
    <n v="992.05000000000007"/>
    <s v="CRITFC"/>
    <n v="977.41429516230596"/>
    <n v="68289981.974399999"/>
    <n v="1563.8628722596895"/>
    <n v="977.41429516230596"/>
    <n v="726.65343999999993"/>
    <n v="7.0400000000000011E-3"/>
    <n v="4.6819094742162461E-6"/>
    <s v="Fryer thesis: freshwater aged, marine ages based on length"/>
  </r>
  <r>
    <s v="Okanagan Sockeye"/>
    <s v="1980s"/>
    <x v="8"/>
    <n v="1985"/>
    <x v="10"/>
    <n v="99780"/>
    <n v="100543"/>
    <n v="82911"/>
    <n v="38463.095999999998"/>
    <n v="0.78213587652764505"/>
    <n v="78388"/>
    <n v="78638.287433719015"/>
    <n v="38463.095999999998"/>
    <n v="3867195061.1279998"/>
    <n v="4.4756969654774573E-4"/>
    <n v="0.78213587652764505"/>
    <n v="0.69249582195410264"/>
    <n v="0.69"/>
    <n v="0.24521474834461049"/>
    <x v="0"/>
    <n v="3.0000000000000009"/>
    <x v="0"/>
    <n v="2E-3"/>
    <n v="201.08600000000001"/>
    <n v="2.1052631578947368E-3"/>
    <n v="156.77600000000001"/>
    <s v="CRITFC"/>
    <n v="157.27657486743803"/>
    <n v="7734390.1222559996"/>
    <n v="165.5542893341453"/>
    <n v="157.27657486743803"/>
    <n v="80.974938947368415"/>
    <n v="1.4526315789473684E-3"/>
    <n v="7.2239319442794042E-6"/>
    <s v="Fryer pers. data; Schwartzberg and Fryer 1989"/>
  </r>
  <r>
    <s v="Okanagan Sockeye"/>
    <s v="1980s"/>
    <x v="8"/>
    <n v="1984"/>
    <x v="9"/>
    <n v="99780"/>
    <n v="100543"/>
    <n v="82911"/>
    <n v="38463.095999999998"/>
    <n v="0.78213587652764505"/>
    <n v="78388"/>
    <n v="78638.287433719015"/>
    <n v="38463.095999999998"/>
    <n v="3867195061.1279998"/>
    <n v="4.4756969654774573E-4"/>
    <n v="0.78213587652764505"/>
    <n v="0.69249582195410264"/>
    <n v="0.69"/>
    <n v="0.24521474834461049"/>
    <x v="1"/>
    <n v="3.9999999999999996"/>
    <x v="0"/>
    <n v="0.96899999999999997"/>
    <n v="97426.167000000001"/>
    <n v="0.96210526315789469"/>
    <n v="75957.971999999994"/>
    <s v="CRITFC"/>
    <n v="76200.500523273717"/>
    <n v="3747312014.2330317"/>
    <n v="75658.310225704394"/>
    <n v="76200.500523273717"/>
    <n v="37005.547098947362"/>
    <n v="0.66385263157894725"/>
    <n v="6.8139048473388805E-6"/>
    <s v="Fryer pers. data; Schwartzberg and Fryer 1991"/>
  </r>
  <r>
    <s v="Okanagan Sockeye"/>
    <s v="1980s"/>
    <x v="8"/>
    <n v="1983"/>
    <x v="8"/>
    <n v="99780"/>
    <n v="100543"/>
    <n v="82911"/>
    <n v="38463.095999999998"/>
    <n v="0.78213587652764505"/>
    <n v="78388"/>
    <n v="78638.287433719015"/>
    <n v="38463.095999999998"/>
    <n v="3867195061.1279998"/>
    <n v="4.4756969654774573E-4"/>
    <n v="0.78213587652764505"/>
    <n v="0.69249582195410264"/>
    <n v="0.69"/>
    <n v="0.24521474834461049"/>
    <x v="2"/>
    <n v="5"/>
    <x v="0"/>
    <n v="1.2999999999999999E-2"/>
    <n v="1307.059"/>
    <n v="1.6842105263157894E-2"/>
    <n v="1019.044"/>
    <s v="CRITFC"/>
    <n v="1022.2977366383471"/>
    <n v="50273535.794663996"/>
    <n v="1324.4343146731624"/>
    <n v="1022.2977366383471"/>
    <n v="647.79951157894732"/>
    <n v="1.1621052631578947E-2"/>
    <n v="8.8909931621900374E-6"/>
    <s v="Fryer pers. data; Schwartzberg and Fryer 1993"/>
  </r>
  <r>
    <s v="Okanagan Sockeye"/>
    <s v="1980s"/>
    <x v="8"/>
    <n v="1984"/>
    <x v="10"/>
    <n v="99780"/>
    <n v="100543"/>
    <n v="82911"/>
    <n v="38463.095999999998"/>
    <n v="0.78213587652764505"/>
    <n v="78388"/>
    <n v="78638.287433719015"/>
    <n v="38463.095999999998"/>
    <n v="3867195061.1279998"/>
    <n v="4.4756969654774573E-4"/>
    <n v="0.78213587652764505"/>
    <n v="0.69249582195410264"/>
    <n v="0.69"/>
    <n v="0.24521474834461049"/>
    <x v="3"/>
    <n v="4.0000000000000009"/>
    <x v="1"/>
    <n v="0.01"/>
    <n v="1005.4300000000001"/>
    <n v="1.2631578947368421E-2"/>
    <n v="783.88"/>
    <s v="CRITFC"/>
    <n v="786.38287433719017"/>
    <n v="38671950.611280002"/>
    <n v="993.32573600487171"/>
    <n v="786.38287433719017"/>
    <n v="485.84963368421046"/>
    <n v="8.7157894736842097E-3"/>
    <n v="8.6687183331352847E-6"/>
    <s v="Fryer pers. data; Schwartzberg and Fryer 1990"/>
  </r>
  <r>
    <s v="Okanagan Sockeye"/>
    <s v="1980s"/>
    <x v="8"/>
    <n v="1983"/>
    <x v="9"/>
    <n v="99780"/>
    <n v="100543"/>
    <n v="82911"/>
    <n v="38463.095999999998"/>
    <n v="0.78213587652764505"/>
    <n v="78388"/>
    <n v="78638.287433719015"/>
    <n v="38463.095999999998"/>
    <n v="3867195061.1279998"/>
    <n v="4.4756969654774573E-4"/>
    <n v="0.78213587652764505"/>
    <n v="0.69249582195410264"/>
    <n v="0.69"/>
    <n v="0.24521474834461049"/>
    <x v="4"/>
    <n v="5.0000000000000018"/>
    <x v="1"/>
    <n v="6.0000000000000001E-3"/>
    <n v="603.25800000000004"/>
    <n v="6.3157894736842104E-3"/>
    <n v="470.32800000000003"/>
    <s v="CRITFC"/>
    <n v="471.82972460231412"/>
    <n v="23203170.366767999"/>
    <n v="496.66286800243586"/>
    <n v="471.82972460231412"/>
    <n v="242.92481684210523"/>
    <n v="4.3578947368421049E-3"/>
    <n v="7.2239319442794042E-6"/>
    <s v="Fryer pers. data; Schwartzberg and Fryer 1992"/>
  </r>
  <r>
    <s v="Okanagan Sockeye"/>
    <s v="1980s"/>
    <x v="9"/>
    <n v="1986"/>
    <x v="11"/>
    <n v="47478"/>
    <n v="43470"/>
    <n v="43434"/>
    <n v="18084.831999999999"/>
    <n v="0.48406937901498925"/>
    <n v="18256"/>
    <n v="21042.495905781583"/>
    <n v="18084.831999999999"/>
    <n v="786147647.03999996"/>
    <n v="9.2017483321831149E-5"/>
    <n v="0.48406937901498925"/>
    <n v="0.42991308091816688"/>
    <n v="0.41499999999999992"/>
    <n v="9.0528157664502465E-2"/>
    <x v="0"/>
    <n v="3.0000000000000009"/>
    <x v="0"/>
    <n v="0.03"/>
    <n v="1304.0999999999999"/>
    <n v="3.325942350332594E-2"/>
    <n v="547.67999999999995"/>
    <s v="CRITFC"/>
    <n v="631.27487717344752"/>
    <n v="23584429.411199998"/>
    <n v="699.86128289739179"/>
    <n v="631.27487717344752"/>
    <n v="601.491086474501"/>
    <n v="1.3802660753880262E-2"/>
    <n v="1.0584050880975586E-5"/>
    <s v="Fryer pers. data: Fryer and Schwartzberg 1990"/>
  </r>
  <r>
    <s v="Okanagan Sockeye"/>
    <s v="1980s"/>
    <x v="9"/>
    <n v="1985"/>
    <x v="10"/>
    <n v="47478"/>
    <n v="43470"/>
    <n v="43434"/>
    <n v="18084.831999999999"/>
    <n v="0.48406937901498925"/>
    <n v="18256"/>
    <n v="21042.495905781583"/>
    <n v="18084.831999999999"/>
    <n v="786147647.03999996"/>
    <n v="9.2017483321831149E-5"/>
    <n v="0.48406937901498925"/>
    <n v="0.42991308091816688"/>
    <n v="0.41499999999999992"/>
    <n v="9.0528157664502465E-2"/>
    <x v="1"/>
    <n v="3.9999999999999996"/>
    <x v="0"/>
    <n v="0.93100000000000005"/>
    <n v="40470.57"/>
    <n v="0.92904656319290468"/>
    <n v="16996.335999999999"/>
    <s v="CRITFC"/>
    <n v="19590.563688282655"/>
    <n v="731903459.39424002"/>
    <n v="19549.458502267149"/>
    <n v="19590.563688282655"/>
    <n v="16801.651015521064"/>
    <n v="0.38555432372505538"/>
    <n v="9.5267826404484884E-6"/>
    <s v="Fryer pers. data: Fryer and Schwartzberg 1990"/>
  </r>
  <r>
    <s v="Okanagan Sockeye"/>
    <s v="1980s"/>
    <x v="9"/>
    <n v="1984"/>
    <x v="9"/>
    <n v="47478"/>
    <n v="43470"/>
    <n v="43434"/>
    <n v="18084.831999999999"/>
    <n v="0.48406937901498925"/>
    <n v="18256"/>
    <n v="21042.495905781583"/>
    <n v="18084.831999999999"/>
    <n v="786147647.03999996"/>
    <n v="9.2017483321831149E-5"/>
    <n v="0.48406937901498925"/>
    <n v="0.42991308091816688"/>
    <n v="0.41499999999999992"/>
    <n v="9.0528157664502465E-2"/>
    <x v="2"/>
    <n v="5"/>
    <x v="0"/>
    <n v="2.7E-2"/>
    <n v="1173.69"/>
    <n v="2.6607538802660754E-2"/>
    <n v="492.91199999999998"/>
    <s v="CRITFC"/>
    <n v="568.1473894561027"/>
    <n v="21225986.470079999"/>
    <n v="559.88902631791348"/>
    <n v="568.1473894561027"/>
    <n v="481.19286917960085"/>
    <n v="1.1042128603104211E-2"/>
    <n v="9.4080452275338546E-6"/>
    <s v="Fryer pers. data: Fryer and Schwartzberg 1990"/>
  </r>
  <r>
    <s v="Okanagan Sockeye"/>
    <s v="1980s"/>
    <x v="9"/>
    <n v="1985"/>
    <x v="11"/>
    <n v="47478"/>
    <n v="43470"/>
    <n v="43434"/>
    <n v="18084.831999999999"/>
    <n v="0.48406937901498925"/>
    <n v="18256"/>
    <n v="21042.495905781583"/>
    <n v="18084.831999999999"/>
    <n v="786147647.03999996"/>
    <n v="9.2017483321831149E-5"/>
    <n v="0.48406937901498925"/>
    <n v="0.42991308091816688"/>
    <n v="0.41499999999999992"/>
    <n v="9.0528157664502465E-2"/>
    <x v="3"/>
    <n v="4.0000000000000009"/>
    <x v="1"/>
    <n v="6.0000000000000001E-3"/>
    <n v="260.82"/>
    <n v="6.6518847006651885E-3"/>
    <n v="109.536"/>
    <s v="CRITFC"/>
    <n v="126.2549754346895"/>
    <n v="4716885.8822400002"/>
    <n v="139.97225657947837"/>
    <n v="126.2549754346895"/>
    <n v="120.29821729490021"/>
    <n v="2.7605321507760527E-3"/>
    <n v="1.0584050880975588E-5"/>
    <s v="Fryer pers. data: Fryer and Schwartzberg 1990"/>
  </r>
  <r>
    <s v="Okanagan Sockeye"/>
    <s v="1980s"/>
    <x v="9"/>
    <n v="1984"/>
    <x v="10"/>
    <n v="47478"/>
    <n v="43470"/>
    <n v="43434"/>
    <n v="18084.831999999999"/>
    <n v="0.48406937901498925"/>
    <n v="18256"/>
    <n v="21042.495905781583"/>
    <n v="18084.831999999999"/>
    <n v="786147647.03999996"/>
    <n v="9.2017483321831149E-5"/>
    <n v="0.48406937901498925"/>
    <n v="0.42991308091816688"/>
    <n v="0.41499999999999992"/>
    <n v="9.0528157664502465E-2"/>
    <x v="4"/>
    <n v="5.0000000000000018"/>
    <x v="1"/>
    <n v="5.0000000000000001E-3"/>
    <n v="217.35"/>
    <n v="4.434589800443459E-3"/>
    <n v="91.28"/>
    <s v="CRITFC"/>
    <n v="105.21247952890792"/>
    <n v="3930738.2352"/>
    <n v="93.31483771965226"/>
    <n v="105.21247952890792"/>
    <n v="80.198811529933479"/>
    <n v="1.840354767184035E-3"/>
    <n v="8.4672407047804691E-6"/>
    <s v="Fryer pers. data: Fryer and Schwartzberg 1990"/>
  </r>
  <r>
    <s v="Okanagan Sockeye"/>
    <s v="1980s"/>
    <x v="10"/>
    <n v="1987"/>
    <x v="12"/>
    <n v="49754"/>
    <n v="51639"/>
    <n v="51466"/>
    <n v="8613.387999999999"/>
    <n v="0.19512466302698048"/>
    <n v="12393"/>
    <n v="10076.042474050244"/>
    <n v="8613.387999999999"/>
    <n v="444786742.93199992"/>
    <n v="1.9365208466469142E-5"/>
    <n v="0.19512466302698048"/>
    <n v="0.18606498026300422"/>
    <n v="0.25"/>
    <n v="8.9495977927175216E-2"/>
    <x v="0"/>
    <n v="3.0000000000000009"/>
    <x v="0"/>
    <n v="0.45200000000000001"/>
    <n v="23340.828000000001"/>
    <n v="0.58128078817733986"/>
    <n v="5601.6360000000004"/>
    <s v="CRITFC"/>
    <n v="4554.37119827071"/>
    <n v="201043607.80526397"/>
    <n v="5857.0099110242791"/>
    <n v="4554.37119827071"/>
    <n v="5006.7969655172401"/>
    <n v="0.14532019704433496"/>
    <n v="6.2260086507785825E-6"/>
    <s v="Fryer pers. data: Fryer and Schwartzberg 1991"/>
  </r>
  <r>
    <s v="Okanagan Sockeye"/>
    <s v="1980s"/>
    <x v="10"/>
    <n v="1986"/>
    <x v="11"/>
    <n v="49754"/>
    <n v="51639"/>
    <n v="51466"/>
    <n v="8613.387999999999"/>
    <n v="0.19512466302698048"/>
    <n v="12393"/>
    <n v="10076.042474050244"/>
    <n v="8613.387999999999"/>
    <n v="444786742.93199992"/>
    <n v="1.9365208466469142E-5"/>
    <n v="0.19512466302698048"/>
    <n v="0.18606498026300422"/>
    <n v="0.25"/>
    <n v="8.9495977927175216E-2"/>
    <x v="1"/>
    <n v="3.9999999999999996"/>
    <x v="0"/>
    <n v="0.26200000000000001"/>
    <n v="13529.418"/>
    <n v="0.25123152709359609"/>
    <n v="3246.9660000000003"/>
    <s v="CRITFC"/>
    <n v="2639.9231282011642"/>
    <n v="116534126.64818399"/>
    <n v="2531.4195378155787"/>
    <n v="2639.9231282011642"/>
    <n v="2163.9546206896553"/>
    <n v="6.2807881773399021E-2"/>
    <n v="4.6423195567909143E-6"/>
    <s v="Fryer pers. data: Fryer and Schwartzberg 1991"/>
  </r>
  <r>
    <s v="Okanagan Sockeye"/>
    <s v="1980s"/>
    <x v="10"/>
    <n v="1985"/>
    <x v="10"/>
    <n v="49754"/>
    <n v="51639"/>
    <n v="51466"/>
    <n v="8613.387999999999"/>
    <n v="0.19512466302698048"/>
    <n v="12393"/>
    <n v="10076.042474050244"/>
    <n v="8613.387999999999"/>
    <n v="444786742.93199992"/>
    <n v="1.9365208466469142E-5"/>
    <n v="0.19512466302698048"/>
    <n v="0.18606498026300422"/>
    <n v="0.25"/>
    <n v="8.9495977927175216E-2"/>
    <x v="2"/>
    <n v="5"/>
    <x v="0"/>
    <n v="0.22600000000000001"/>
    <n v="11670.414000000001"/>
    <n v="0.10591133004926108"/>
    <n v="2800.8180000000002"/>
    <s v="CRITFC"/>
    <n v="2277.185599135355"/>
    <n v="100521803.90263198"/>
    <n v="1067.1670600595085"/>
    <n v="2277.185599135355"/>
    <n v="912.25537931034467"/>
    <n v="2.647783251231527E-2"/>
    <n v="2.2687997625718565E-6"/>
    <s v="Fryer pers. data: Fryer and Schwartzberg 1991"/>
  </r>
  <r>
    <s v="Okanagan Sockeye"/>
    <s v="1980s"/>
    <x v="10"/>
    <n v="1986"/>
    <x v="12"/>
    <n v="49754"/>
    <n v="51639"/>
    <n v="51466"/>
    <n v="8613.387999999999"/>
    <n v="0.19512466302698048"/>
    <n v="12393"/>
    <n v="10076.042474050244"/>
    <n v="8613.387999999999"/>
    <n v="444786742.93199992"/>
    <n v="1.9365208466469142E-5"/>
    <n v="0.19512466302698048"/>
    <n v="0.18606498026300422"/>
    <n v="0.25"/>
    <n v="8.9495977927175216E-2"/>
    <x v="3"/>
    <n v="4.0000000000000009"/>
    <x v="1"/>
    <n v="1.9E-2"/>
    <n v="981.14099999999996"/>
    <n v="2.4630541871921183E-2"/>
    <n v="235.46699999999998"/>
    <s v="CRITFC"/>
    <n v="191.44480700695462"/>
    <n v="8450948.1157079991"/>
    <n v="248.17838606035085"/>
    <n v="191.44480700695462"/>
    <n v="212.15241379310342"/>
    <n v="6.1576354679802959E-3"/>
    <n v="6.2759944472611949E-6"/>
    <s v="Fryer pers. data: Fryer and Schwartzberg 1991"/>
  </r>
  <r>
    <s v="Okanagan Sockeye"/>
    <s v="1980s"/>
    <x v="10"/>
    <n v="1985"/>
    <x v="11"/>
    <n v="49754"/>
    <n v="51639"/>
    <n v="51466"/>
    <n v="8613.387999999999"/>
    <n v="0.19512466302698048"/>
    <n v="12393"/>
    <n v="10076.042474050244"/>
    <n v="8613.387999999999"/>
    <n v="444786742.93199992"/>
    <n v="1.9365208466469142E-5"/>
    <n v="0.19512466302698048"/>
    <n v="0.18606498026300422"/>
    <n v="0.25"/>
    <n v="8.9495977927175216E-2"/>
    <x v="4"/>
    <n v="5.0000000000000018"/>
    <x v="1"/>
    <n v="3.5000000000000003E-2"/>
    <n v="1807.3650000000002"/>
    <n v="2.9556650246305417E-2"/>
    <n v="433.75500000000005"/>
    <s v="CRITFC"/>
    <n v="352.66148659175855"/>
    <n v="15567536.002619999"/>
    <n v="297.81406327242098"/>
    <n v="352.66148659175855"/>
    <n v="254.5828965517241"/>
    <n v="7.3891625615763543E-3"/>
    <n v="4.0883620970730063E-6"/>
    <s v="Fryer pers. data: Fryer and Schwartzberg 1991"/>
  </r>
  <r>
    <s v="Okanagan Sockeye"/>
    <s v="1980s"/>
    <x v="10"/>
    <n v="1984"/>
    <x v="10"/>
    <n v="49754"/>
    <n v="51639"/>
    <n v="51466"/>
    <n v="8613.387999999999"/>
    <n v="0.19512466302698048"/>
    <n v="12393"/>
    <n v="10076.042474050244"/>
    <n v="8613.387999999999"/>
    <n v="444786742.93199992"/>
    <n v="1.9365208466469142E-5"/>
    <n v="0.19512466302698048"/>
    <n v="0.18606498026300422"/>
    <n v="0.25"/>
    <n v="8.9495977927175216E-2"/>
    <x v="5"/>
    <n v="5.9999999999999982"/>
    <x v="1"/>
    <n v="6.0000000000000001E-3"/>
    <n v="309.834"/>
    <n v="5.6650246305418716E-3"/>
    <n v="74.358000000000004"/>
    <s v="CRITFC"/>
    <n v="60.456254844301462"/>
    <n v="2668720.4575919998"/>
    <n v="57.081028793880691"/>
    <n v="60.456254844301462"/>
    <n v="48.795055172413782"/>
    <n v="1.4162561576354679E-3"/>
    <n v="4.5710159557552361E-6"/>
    <s v="Fryer pers. data: Fryer and Schwartzberg 1991"/>
  </r>
  <r>
    <s v="Okanagan Sockeye"/>
    <s v="1990s"/>
    <x v="11"/>
    <n v="1988"/>
    <x v="13"/>
    <n v="76484"/>
    <n v="79540"/>
    <n v="79537"/>
    <n v="31118.679999999997"/>
    <n v="0.50095268758350897"/>
    <n v="39765"/>
    <n v="39845.776770392302"/>
    <n v="31118.679999999997"/>
    <n v="2475179807.1999998"/>
    <n v="1.2572290671360322E-4"/>
    <n v="0.50095268758350897"/>
    <n v="0.44221024692351002"/>
    <n v="0.53000000000000014"/>
    <n v="0.17774117706224776"/>
    <x v="0"/>
    <n v="3.0000000000000009"/>
    <x v="0"/>
    <n v="0.154"/>
    <n v="12249.16"/>
    <n v="0.14497041420118342"/>
    <n v="6123.8099999999995"/>
    <s v="CRITFC"/>
    <n v="6136.2496226404146"/>
    <n v="381177690.30879998"/>
    <n v="5776.4587625716649"/>
    <n v="6136.2496226404146"/>
    <n v="4511.287928994082"/>
    <n v="7.683431952662724E-2"/>
    <n v="6.2726194715904801E-6"/>
    <s v="Fryer pers data; Fryer et al 1992"/>
  </r>
  <r>
    <s v="Okanagan Sockeye"/>
    <s v="1980s"/>
    <x v="11"/>
    <n v="1987"/>
    <x v="12"/>
    <n v="76484"/>
    <n v="79540"/>
    <n v="79537"/>
    <n v="31118.679999999997"/>
    <n v="0.50095268758350897"/>
    <n v="39765"/>
    <n v="39845.776770392302"/>
    <n v="31118.679999999997"/>
    <n v="2475179807.1999998"/>
    <n v="1.2572290671360322E-4"/>
    <n v="0.50095268758350897"/>
    <n v="0.44221024692351002"/>
    <n v="0.53000000000000014"/>
    <n v="0.17774117706224776"/>
    <x v="1"/>
    <n v="3.9999999999999996"/>
    <x v="0"/>
    <n v="0.76"/>
    <n v="60450.400000000001"/>
    <n v="0.78402366863905326"/>
    <n v="30221.4"/>
    <s v="CRITFC"/>
    <n v="30282.79034549815"/>
    <n v="1881136653.4719999"/>
    <n v="31240.03208329574"/>
    <n v="30282.79034549815"/>
    <n v="24397.781656804731"/>
    <n v="0.41553254437869835"/>
    <n v="6.873942014919642E-6"/>
    <s v="Fryer pers data; Fryer et al 1992"/>
  </r>
  <r>
    <s v="Okanagan Sockeye"/>
    <s v="1980s"/>
    <x v="11"/>
    <n v="1986"/>
    <x v="11"/>
    <n v="76484"/>
    <n v="79540"/>
    <n v="79537"/>
    <n v="31118.679999999997"/>
    <n v="0.50095268758350897"/>
    <n v="39765"/>
    <n v="39845.776770392302"/>
    <n v="31118.679999999997"/>
    <n v="2475179807.1999998"/>
    <n v="1.2572290671360322E-4"/>
    <n v="0.50095268758350897"/>
    <n v="0.44221024692351002"/>
    <n v="0.53000000000000014"/>
    <n v="0.17774117706224776"/>
    <x v="2"/>
    <n v="5"/>
    <x v="0"/>
    <n v="1.4999999999999999E-2"/>
    <n v="1193.0999999999999"/>
    <n v="1.7751479289940829E-2"/>
    <n v="596.47500000000002"/>
    <s v="CRITFC"/>
    <n v="597.68665155588451"/>
    <n v="37127697.107999995"/>
    <n v="707.32148113122435"/>
    <n v="597.68665155588451"/>
    <n v="552.40260355029579"/>
    <n v="9.4082840236686411E-3"/>
    <n v="7.8855787642851748E-6"/>
    <s v="Fryer pers data; Fryer et al 1992"/>
  </r>
  <r>
    <s v="Okanagan Sockeye"/>
    <s v="1990s"/>
    <x v="11"/>
    <n v="1987"/>
    <x v="13"/>
    <n v="76484"/>
    <n v="79540"/>
    <n v="79537"/>
    <n v="31118.679999999997"/>
    <n v="0.50095268758350897"/>
    <n v="39765"/>
    <n v="39845.776770392302"/>
    <n v="31118.679999999997"/>
    <n v="2475179807.1999998"/>
    <n v="1.2572290671360322E-4"/>
    <n v="0.50095268758350897"/>
    <n v="0.44221024692351002"/>
    <n v="0.53000000000000014"/>
    <n v="0.17774117706224776"/>
    <x v="3"/>
    <n v="4.0000000000000009"/>
    <x v="1"/>
    <n v="6.7000000000000004E-2"/>
    <n v="5329.18"/>
    <n v="5.0295857988165681E-2"/>
    <n v="2664.2550000000001"/>
    <s v="CRITFC"/>
    <n v="2669.6670436162844"/>
    <n v="165837047.08239999"/>
    <n v="2004.0775298718022"/>
    <n v="2669.6670436162844"/>
    <n v="1565.1407100591714"/>
    <n v="2.6656804733727817E-2"/>
    <n v="5.0020462310764162E-6"/>
    <s v="Fryer pers data; Fryer et al 1992"/>
  </r>
  <r>
    <s v="Okanagan Sockeye"/>
    <s v="1980s"/>
    <x v="11"/>
    <n v="1986"/>
    <x v="12"/>
    <n v="76484"/>
    <n v="79540"/>
    <n v="79537"/>
    <n v="31118.679999999997"/>
    <n v="0.50095268758350897"/>
    <n v="39765"/>
    <n v="39845.776770392302"/>
    <n v="31118.679999999997"/>
    <n v="2475179807.1999998"/>
    <n v="1.2572290671360322E-4"/>
    <n v="0.50095268758350897"/>
    <n v="0.44221024692351002"/>
    <n v="0.53000000000000014"/>
    <n v="0.17774117706224776"/>
    <x v="4"/>
    <n v="5.0000000000000018"/>
    <x v="1"/>
    <n v="1E-3"/>
    <n v="79.540000000000006"/>
    <n v="2.9585798816568047E-3"/>
    <n v="39.765000000000001"/>
    <s v="CRITFC"/>
    <n v="39.845776770392305"/>
    <n v="2475179.8071999997"/>
    <n v="117.88691352187071"/>
    <n v="39.845776770392305"/>
    <n v="92.06710059171597"/>
    <n v="1.5680473372781068E-3"/>
    <n v="1.9713946910712932E-5"/>
    <s v="Fryer pers data; Fryer et al 1992"/>
  </r>
  <r>
    <s v="Okanagan Sockeye"/>
    <s v="1980s"/>
    <x v="11"/>
    <n v="1986"/>
    <x v="12"/>
    <n v="76484"/>
    <n v="79540"/>
    <n v="79537"/>
    <n v="31118.679999999997"/>
    <n v="0.50095268758350897"/>
    <n v="39765"/>
    <n v="39845.776770392302"/>
    <n v="31118.679999999997"/>
    <n v="2475179807.1999998"/>
    <n v="1.2572290671360322E-4"/>
    <n v="0.50095268758350897"/>
    <n v="0.44221024692351002"/>
    <n v="0.53000000000000014"/>
    <n v="0.17774117706224776"/>
    <x v="5"/>
    <n v="5.9999999999999982"/>
    <x v="1"/>
    <n v="3.0000000000000001E-3"/>
    <n v="238.62"/>
    <n v="1.7751479289940801E-2"/>
    <n v="119.295"/>
    <s v="CRITFC"/>
    <n v="119.5373303111769"/>
    <n v="7425539.4216"/>
    <n v="707.32148113122321"/>
    <n v="119.5373303111769"/>
    <n v="552.402603550295"/>
    <n v="9.4082840236686272E-3"/>
    <n v="3.942789382142581E-5"/>
    <s v="Fryer pers data; Fryer et al 1992"/>
  </r>
  <r>
    <s v="Okanagan Sockeye"/>
    <s v="1990s"/>
    <x v="12"/>
    <n v="1989"/>
    <x v="14"/>
    <n v="85000"/>
    <n v="88427"/>
    <n v="88419"/>
    <n v="47488.531999999992"/>
    <n v="0.69469319328837453"/>
    <n v="60990"/>
    <n v="61429.635002911098"/>
    <n v="47488.531999999992"/>
    <n v="4199268419.1639991"/>
    <n v="3.958067106200595E-4"/>
    <n v="0.69469319328837453"/>
    <n v="0.58903167877886586"/>
    <n v="0.63"/>
    <n v="0.20176658862914079"/>
    <x v="0"/>
    <n v="3.0000000000000009"/>
    <x v="0"/>
    <n v="0.16900000000000001"/>
    <n v="14944.163"/>
    <n v="0.182"/>
    <n v="10307.310000000001"/>
    <s v="CRITFC"/>
    <n v="10381.608315491976"/>
    <n v="709676362.83871591"/>
    <n v="11180.19357052982"/>
    <n v="10381.608315491976"/>
    <n v="8642.9128239999991"/>
    <n v="0.11466"/>
    <n v="7.6725608520196138E-6"/>
    <s v="Fryer personal data; Fryer and Schwartzberg 1993"/>
  </r>
  <r>
    <s v="Okanagan Sockeye"/>
    <s v="1990s"/>
    <x v="12"/>
    <n v="1988"/>
    <x v="13"/>
    <n v="85000"/>
    <n v="88427"/>
    <n v="88419"/>
    <n v="47488.531999999992"/>
    <n v="0.69469319328837453"/>
    <n v="60990"/>
    <n v="61429.635002911098"/>
    <n v="47488.531999999992"/>
    <n v="4199268419.1639991"/>
    <n v="3.958067106200595E-4"/>
    <n v="0.69469319328837453"/>
    <n v="0.58903167877886586"/>
    <n v="0.63"/>
    <n v="0.20176658862914079"/>
    <x v="1"/>
    <n v="3.9999999999999996"/>
    <x v="0"/>
    <n v="0.73299999999999998"/>
    <n v="64816.991000000002"/>
    <n v="0.72199999999999998"/>
    <n v="44705.67"/>
    <s v="CRITFC"/>
    <n v="45027.922457133835"/>
    <n v="3078063751.2472115"/>
    <n v="44352.196472101808"/>
    <n v="45027.922457133835"/>
    <n v="34286.720103999993"/>
    <n v="0.45485999999999999"/>
    <n v="7.0176043809253654E-6"/>
    <s v="Fryer personal data; Fryer and Schwartzberg 1993"/>
  </r>
  <r>
    <s v="Okanagan Sockeye"/>
    <s v="1980s"/>
    <x v="12"/>
    <n v="1987"/>
    <x v="12"/>
    <n v="85000"/>
    <n v="88427"/>
    <n v="88419"/>
    <n v="47488.531999999992"/>
    <n v="0.69469319328837453"/>
    <n v="60990"/>
    <n v="61429.635002911098"/>
    <n v="47488.531999999992"/>
    <n v="4199268419.1639991"/>
    <n v="3.958067106200595E-4"/>
    <n v="0.69469319328837453"/>
    <n v="0.58903167877886586"/>
    <n v="0.63"/>
    <n v="0.20176658862914079"/>
    <x v="2"/>
    <n v="5"/>
    <x v="0"/>
    <n v="1.4E-2"/>
    <n v="1237.9780000000001"/>
    <n v="1.6E-2"/>
    <n v="853.86"/>
    <s v="CRITFC"/>
    <n v="860.0148900407554"/>
    <n v="58789757.86829599"/>
    <n v="982.87416004657757"/>
    <n v="860.0148900407554"/>
    <n v="759.81651199999988"/>
    <n v="1.008E-2"/>
    <n v="8.1423094756126519E-6"/>
    <s v="Fryer personal data; Fryer and Schwartzberg 1993"/>
  </r>
  <r>
    <s v="Okanagan Sockeye"/>
    <s v="1990s"/>
    <x v="12"/>
    <n v="1988"/>
    <x v="14"/>
    <n v="85000"/>
    <n v="88427"/>
    <n v="88419"/>
    <n v="47488.531999999992"/>
    <n v="0.69469319328837453"/>
    <n v="60990"/>
    <n v="61429.635002911098"/>
    <n v="47488.531999999992"/>
    <n v="4199268419.1639991"/>
    <n v="3.958067106200595E-4"/>
    <n v="0.69469319328837453"/>
    <n v="0.58903167877886586"/>
    <n v="0.63"/>
    <n v="0.20176658862914079"/>
    <x v="3"/>
    <n v="4.0000000000000009"/>
    <x v="1"/>
    <n v="7.0000000000000007E-2"/>
    <n v="6189.89"/>
    <n v="6.9000000000000006E-2"/>
    <n v="4269.3"/>
    <s v="CRITFC"/>
    <n v="4300.0744502037769"/>
    <n v="293948789.34147996"/>
    <n v="4238.6448152008661"/>
    <n v="4300.0744502037769"/>
    <n v="3276.7087079999997"/>
    <n v="4.3470000000000002E-2"/>
    <n v="7.0227419227159122E-6"/>
    <s v="Fryer personal data; Fryer and Schwartzberg 1993"/>
  </r>
  <r>
    <s v="Okanagan Sockeye"/>
    <s v="1990s"/>
    <x v="12"/>
    <n v="1987"/>
    <x v="13"/>
    <n v="85000"/>
    <n v="88427"/>
    <n v="88419"/>
    <n v="47488.531999999992"/>
    <n v="0.69469319328837453"/>
    <n v="60990"/>
    <n v="61429.635002911098"/>
    <n v="47488.531999999992"/>
    <n v="4199268419.1639991"/>
    <n v="3.958067106200595E-4"/>
    <n v="0.69469319328837453"/>
    <n v="0.58903167877886586"/>
    <n v="0.63"/>
    <n v="0.20176658862914079"/>
    <x v="4"/>
    <n v="5.0000000000000018"/>
    <x v="1"/>
    <n v="1.4E-2"/>
    <n v="1237.9780000000001"/>
    <n v="1.0999999999999999E-2"/>
    <n v="853.86"/>
    <s v="CRITFC"/>
    <n v="860.0148900407554"/>
    <n v="58789757.86829599"/>
    <n v="675.72598503202209"/>
    <n v="860.0148900407554"/>
    <n v="522.37385199999983"/>
    <n v="6.9299999999999995E-3"/>
    <n v="5.5978377644836975E-6"/>
    <s v="Fryer personal data; Fryer and Schwartzberg 1993"/>
  </r>
  <r>
    <s v="Okanagan Sockeye"/>
    <s v="1990s"/>
    <x v="13"/>
    <n v="1990"/>
    <x v="15"/>
    <n v="88025"/>
    <n v="83459"/>
    <n v="83395"/>
    <n v="31525.067999999996"/>
    <n v="0.48034539082736549"/>
    <n v="40052"/>
    <n v="40089.145973061095"/>
    <n v="31525.067999999996"/>
    <n v="2631050650.2119994"/>
    <n v="2.15674762458213E-4"/>
    <n v="0.48034539082736549"/>
    <n v="0.42734137581729442"/>
    <n v="0.57999999999999996"/>
    <n v="0.15261106780982073"/>
    <x v="0"/>
    <n v="3.0000000000000009"/>
    <x v="0"/>
    <n v="0"/>
    <n v="0"/>
    <n v="0"/>
    <n v="0"/>
    <s v="CRITFC"/>
    <n v="0"/>
    <n v="0"/>
    <n v="0"/>
    <n v="0"/>
    <n v="0"/>
    <n v="0"/>
    <n v="0"/>
    <s v="Jeff Fryer, pers.data &amp; Fryer &amp; Schwartzberg 1994"/>
  </r>
  <r>
    <s v="Okanagan Sockeye"/>
    <s v="1990s"/>
    <x v="13"/>
    <n v="1989"/>
    <x v="14"/>
    <n v="88025"/>
    <n v="83459"/>
    <n v="83395"/>
    <n v="31525.067999999996"/>
    <n v="0.48034539082736549"/>
    <n v="40052"/>
    <n v="40089.145973061095"/>
    <n v="31525.067999999996"/>
    <n v="2631050650.2119994"/>
    <n v="2.15674762458213E-4"/>
    <n v="0.48034539082736549"/>
    <n v="0.42734137581729442"/>
    <n v="0.57999999999999996"/>
    <n v="0.15261106780982073"/>
    <x v="1"/>
    <n v="3.9999999999999996"/>
    <x v="0"/>
    <n v="0.88700000000000001"/>
    <n v="74028.133000000002"/>
    <n v="0.89700000000000002"/>
    <n v="35526.124000000003"/>
    <s v="CRITFC"/>
    <n v="35559.07247810519"/>
    <n v="2333741926.7380433"/>
    <n v="35959.963937835804"/>
    <n v="35559.07247810519"/>
    <n v="28277.985995999996"/>
    <n v="0.52025999999999994"/>
    <n v="7.0278687158029493E-6"/>
    <s v="Jeff Fryer, pers.data &amp; Fryer &amp; Schwartzberg 1994"/>
  </r>
  <r>
    <s v="Okanagan Sockeye"/>
    <s v="1990s"/>
    <x v="13"/>
    <n v="1988"/>
    <x v="13"/>
    <n v="88025"/>
    <n v="83459"/>
    <n v="83395"/>
    <n v="31525.067999999996"/>
    <n v="0.48034539082736549"/>
    <n v="40052"/>
    <n v="40089.145973061095"/>
    <n v="31525.067999999996"/>
    <n v="2631050650.2119994"/>
    <n v="2.15674762458213E-4"/>
    <n v="0.48034539082736549"/>
    <n v="0.42734137581729442"/>
    <n v="0.57999999999999996"/>
    <n v="0.15261106780982073"/>
    <x v="2"/>
    <n v="5"/>
    <x v="0"/>
    <n v="5.2999999999999999E-2"/>
    <n v="4423.3270000000002"/>
    <n v="4.8000000000000001E-2"/>
    <n v="2122.7559999999999"/>
    <s v="CRITFC"/>
    <n v="2124.7247365722378"/>
    <n v="139445684.46123597"/>
    <n v="1924.2790067069327"/>
    <n v="2124.7247365722378"/>
    <n v="1513.2032639999998"/>
    <n v="2.784E-2"/>
    <n v="6.2939050176484798E-6"/>
    <s v="Jeff Fryer, pers.data &amp; Fryer &amp; Schwartzberg 1994"/>
  </r>
  <r>
    <s v="Okanagan Sockeye"/>
    <s v="1990s"/>
    <x v="13"/>
    <n v="1989"/>
    <x v="15"/>
    <n v="88025"/>
    <n v="83459"/>
    <n v="83395"/>
    <n v="31525.067999999996"/>
    <n v="0.48034539082736549"/>
    <n v="40052"/>
    <n v="40089.145973061095"/>
    <n v="31525.067999999996"/>
    <n v="2631050650.2119994"/>
    <n v="2.15674762458213E-4"/>
    <n v="0.48034539082736549"/>
    <n v="0.42734137581729442"/>
    <n v="0.57999999999999996"/>
    <n v="0.15261106780982073"/>
    <x v="3"/>
    <n v="4.0000000000000009"/>
    <x v="1"/>
    <n v="2E-3"/>
    <n v="166.91800000000001"/>
    <n v="4.0000000000000001E-3"/>
    <n v="80.103999999999999"/>
    <s v="CRITFC"/>
    <n v="80.178291946122187"/>
    <n v="5262101.3004239993"/>
    <n v="160.35658389224437"/>
    <n v="80.178291946122187"/>
    <n v="126.10027199999999"/>
    <n v="2.32E-3"/>
    <n v="1.3899040247307061E-5"/>
    <s v="Jeff Fryer, pers.data &amp; Fryer &amp; Schwartzberg 1994"/>
  </r>
  <r>
    <s v="Okanagan Sockeye"/>
    <s v="1990s"/>
    <x v="13"/>
    <n v="1988"/>
    <x v="14"/>
    <n v="88025"/>
    <n v="83459"/>
    <n v="83395"/>
    <n v="31525.067999999996"/>
    <n v="0.48034539082736549"/>
    <n v="40052"/>
    <n v="40089.145973061095"/>
    <n v="31525.067999999996"/>
    <n v="2631050650.2119994"/>
    <n v="2.15674762458213E-4"/>
    <n v="0.48034539082736549"/>
    <n v="0.42734137581729442"/>
    <n v="0.57999999999999996"/>
    <n v="0.15261106780982073"/>
    <x v="4"/>
    <n v="5.0000000000000018"/>
    <x v="1"/>
    <n v="5.7000000000000002E-2"/>
    <n v="4757.1630000000005"/>
    <n v="0.05"/>
    <n v="2282.9639999999999"/>
    <s v="CRITFC"/>
    <n v="2285.0813204644824"/>
    <n v="149969887.06208396"/>
    <n v="2004.4572986530547"/>
    <n v="2285.0813204644824"/>
    <n v="1576.2533999999998"/>
    <n v="2.8999999999999998E-2"/>
    <n v="6.0960702839066046E-6"/>
    <s v="Jeff Fryer, pers.data &amp; Fryer &amp; Schwartzberg 1994"/>
  </r>
  <r>
    <s v="Okanagan Sockeye"/>
    <s v="1990s"/>
    <x v="13"/>
    <n v="1987"/>
    <x v="13"/>
    <n v="88025"/>
    <n v="83459"/>
    <n v="83395"/>
    <n v="31525.067999999996"/>
    <n v="0.48034539082736549"/>
    <n v="40052"/>
    <n v="40089.145973061095"/>
    <n v="31525.067999999996"/>
    <n v="2631050650.2119994"/>
    <n v="2.15674762458213E-4"/>
    <n v="0.48034539082736549"/>
    <n v="0.42734137581729442"/>
    <n v="0.57999999999999996"/>
    <n v="0.15261106780982073"/>
    <x v="5"/>
    <n v="5.9999999999999982"/>
    <x v="1"/>
    <n v="2E-3"/>
    <n v="166.91800000000001"/>
    <n v="2E-3"/>
    <n v="80.103999999999999"/>
    <s v="CRITFC"/>
    <n v="80.178291946122187"/>
    <n v="5262101.3004239993"/>
    <n v="80.178291946122187"/>
    <n v="80.178291946122187"/>
    <n v="63.050135999999995"/>
    <n v="1.16E-3"/>
    <n v="6.9495201236535303E-6"/>
    <s v="Jeff Fryer, pers.data &amp; Fryer &amp; Schwartzberg 1994"/>
  </r>
  <r>
    <s v="Okanagan Sockeye"/>
    <s v="1990s"/>
    <x v="14"/>
    <n v="1991"/>
    <x v="16"/>
    <n v="12873"/>
    <n v="12957"/>
    <n v="12956"/>
    <n v="1885.9119999999998"/>
    <n v="0.16591114630069498"/>
    <n v="2202"/>
    <n v="2149.7107226181047"/>
    <m/>
    <m/>
    <n v="3.8589179594041831E-4"/>
    <n v="0.16591114630069498"/>
    <n v="0.1516531560251389"/>
    <n v="0"/>
    <n v="8.5828959555418333E-2"/>
    <x v="0"/>
    <n v="3.0000000000000009"/>
    <x v="0"/>
    <n v="0.14299999999999999"/>
    <n v="1852.8509999999999"/>
    <n v="5.1999999999999998E-2"/>
    <n v="314.88599999999997"/>
    <s v="CRITFC"/>
    <n v="307.40863333438892"/>
    <s v=""/>
    <n v="111.78495757614144"/>
    <n v="307.40863333438892"/>
    <n v="98.067423999999988"/>
    <n v="0"/>
    <n v="0"/>
    <m/>
  </r>
  <r>
    <s v="Okanagan Sockeye"/>
    <s v="1990s"/>
    <x v="14"/>
    <n v="1990"/>
    <x v="15"/>
    <n v="12873"/>
    <n v="12957"/>
    <n v="12956"/>
    <n v="1885.9119999999998"/>
    <n v="0.16591114630069498"/>
    <n v="2202"/>
    <n v="2149.7107226181047"/>
    <m/>
    <m/>
    <n v="3.8589179594041831E-4"/>
    <n v="0.16591114630069498"/>
    <n v="0.1516531560251389"/>
    <n v="0"/>
    <n v="8.5828959555418333E-2"/>
    <x v="1"/>
    <n v="3.9999999999999996"/>
    <x v="0"/>
    <n v="0.126"/>
    <n v="1632.5820000000001"/>
    <n v="0.82499999999999996"/>
    <n v="277.452"/>
    <s v="CRITFC"/>
    <n v="270.86355104988121"/>
    <s v=""/>
    <n v="1773.5113461599362"/>
    <n v="270.86355104988121"/>
    <n v="1555.8773999999999"/>
    <n v="0"/>
    <n v="0"/>
    <m/>
  </r>
  <r>
    <s v="Okanagan Sockeye"/>
    <s v="1990s"/>
    <x v="14"/>
    <n v="1989"/>
    <x v="14"/>
    <n v="12873"/>
    <n v="12957"/>
    <n v="12956"/>
    <n v="1885.9119999999998"/>
    <n v="0.16591114630069498"/>
    <n v="2202"/>
    <n v="2149.7107226181047"/>
    <m/>
    <m/>
    <n v="3.8589179594041831E-4"/>
    <n v="0.16591114630069498"/>
    <n v="0.1516531560251389"/>
    <n v="0"/>
    <n v="8.5828959555418333E-2"/>
    <x v="2"/>
    <n v="5"/>
    <x v="0"/>
    <n v="0.69799999999999995"/>
    <n v="9043.985999999999"/>
    <n v="8.3000000000000004E-2"/>
    <n v="1536.9959999999999"/>
    <s v="CRITFC"/>
    <n v="1500.4980843874371"/>
    <s v=""/>
    <n v="178.42598997730269"/>
    <n v="1500.4980843874371"/>
    <n v="156.53069600000001"/>
    <n v="0"/>
    <n v="0"/>
    <m/>
  </r>
  <r>
    <s v="Okanagan Sockeye"/>
    <s v="1990s"/>
    <x v="14"/>
    <n v="1990"/>
    <x v="16"/>
    <n v="12873"/>
    <n v="12957"/>
    <n v="12956"/>
    <n v="1885.9119999999998"/>
    <n v="0.16591114630069498"/>
    <n v="2202"/>
    <n v="2149.7107226181047"/>
    <m/>
    <m/>
    <n v="3.8589179594041831E-4"/>
    <n v="0.16591114630069498"/>
    <n v="0.1516531560251389"/>
    <n v="0"/>
    <n v="8.5828959555418333E-2"/>
    <x v="3"/>
    <n v="4.0000000000000009"/>
    <x v="1"/>
    <n v="1.6E-2"/>
    <n v="207.31200000000001"/>
    <n v="2.3E-2"/>
    <n v="35.231999999999999"/>
    <s v="CRITFC"/>
    <n v="34.395371561889675"/>
    <s v=""/>
    <n v="49.44334662021641"/>
    <n v="34.395371561889675"/>
    <n v="43.375975999999994"/>
    <n v="0"/>
    <n v="0"/>
    <m/>
  </r>
  <r>
    <s v="Okanagan Sockeye"/>
    <s v="1990s"/>
    <x v="14"/>
    <n v="1989"/>
    <x v="15"/>
    <n v="12873"/>
    <n v="12957"/>
    <n v="12956"/>
    <n v="1885.9119999999998"/>
    <n v="0.16591114630069498"/>
    <n v="2202"/>
    <n v="2149.7107226181047"/>
    <m/>
    <m/>
    <n v="3.8589179594041831E-4"/>
    <n v="0.16591114630069498"/>
    <n v="0.1516531560251389"/>
    <n v="0"/>
    <n v="8.5828959555418333E-2"/>
    <x v="4"/>
    <n v="5.0000000000000018"/>
    <x v="1"/>
    <n v="1.7000000000000001E-2"/>
    <n v="220.26900000000001"/>
    <n v="1.6E-2"/>
    <n v="37.434000000000005"/>
    <s v="CRITFC"/>
    <n v="36.545082284507785"/>
    <s v=""/>
    <n v="34.395371561889675"/>
    <n v="36.545082284507785"/>
    <n v="30.174591999999997"/>
    <n v="0"/>
    <n v="0"/>
    <m/>
  </r>
  <r>
    <s v="Okanagan Sockeye"/>
    <s v="1990s"/>
    <x v="15"/>
    <n v="1992"/>
    <x v="17"/>
    <n v="9913"/>
    <n v="8883"/>
    <n v="8882"/>
    <n v="5537.7439999999997"/>
    <n v="0.69019852813291505"/>
    <n v="5238"/>
    <n v="6131.033525404684"/>
    <m/>
    <m/>
    <n v="5.6287290329843525E-4"/>
    <n v="0.69019852813291505"/>
    <n v="0.56055918414117112"/>
    <n v="0"/>
    <n v="4.6002315723551138E-2"/>
    <x v="0"/>
    <n v="3.0000000000000009"/>
    <x v="0"/>
    <n v="0.41299999999999998"/>
    <n v="3668.6789999999996"/>
    <n v="5.1999999999999998E-2"/>
    <n v="2163.2939999999999"/>
    <s v="CRITFC"/>
    <n v="2532.1168459921346"/>
    <s v=""/>
    <n v="318.81374332104355"/>
    <n v="2532.1168459921346"/>
    <n v="287.96268799999996"/>
    <n v="0"/>
    <n v="0"/>
    <m/>
  </r>
  <r>
    <s v="Okanagan Sockeye"/>
    <s v="1990s"/>
    <x v="15"/>
    <n v="1991"/>
    <x v="16"/>
    <n v="9913"/>
    <n v="8883"/>
    <n v="8882"/>
    <n v="5537.7439999999997"/>
    <n v="0.69019852813291505"/>
    <n v="5238"/>
    <n v="6131.033525404684"/>
    <m/>
    <m/>
    <n v="5.6287290329843525E-4"/>
    <n v="0.69019852813291505"/>
    <n v="0.56055918414117112"/>
    <n v="0"/>
    <n v="4.6002315723551138E-2"/>
    <x v="1"/>
    <n v="3.9999999999999996"/>
    <x v="0"/>
    <n v="0.51400000000000001"/>
    <n v="4565.8620000000001"/>
    <n v="0.82499999999999996"/>
    <n v="2692.3319999999999"/>
    <s v="CRITFC"/>
    <n v="3151.3512320580076"/>
    <s v=""/>
    <n v="5058.1026584588644"/>
    <n v="3151.3512320580076"/>
    <n v="4568.6387999999997"/>
    <n v="0"/>
    <n v="0"/>
    <m/>
  </r>
  <r>
    <s v="Okanagan Sockeye"/>
    <s v="1990s"/>
    <x v="15"/>
    <n v="1990"/>
    <x v="15"/>
    <n v="9913"/>
    <n v="8883"/>
    <n v="8882"/>
    <n v="5537.7439999999997"/>
    <n v="0.69019852813291505"/>
    <n v="5238"/>
    <n v="6131.033525404684"/>
    <m/>
    <m/>
    <n v="5.6287290329843525E-4"/>
    <n v="0.69019852813291505"/>
    <n v="0.56055918414117112"/>
    <n v="0"/>
    <n v="4.6002315723551138E-2"/>
    <x v="2"/>
    <n v="5"/>
    <x v="0"/>
    <n v="1.2999999999999999E-2"/>
    <n v="115.479"/>
    <n v="8.3000000000000004E-2"/>
    <n v="68.093999999999994"/>
    <s v="CRITFC"/>
    <n v="79.703435830260887"/>
    <s v=""/>
    <n v="508.87578260858879"/>
    <n v="79.703435830260887"/>
    <n v="459.63275199999998"/>
    <n v="0"/>
    <n v="0"/>
    <m/>
  </r>
  <r>
    <s v="Okanagan Sockeye"/>
    <s v="1990s"/>
    <x v="15"/>
    <n v="1991"/>
    <x v="17"/>
    <n v="9913"/>
    <n v="8883"/>
    <n v="8882"/>
    <n v="5537.7439999999997"/>
    <n v="0.69019852813291505"/>
    <n v="5238"/>
    <n v="6131.033525404684"/>
    <m/>
    <m/>
    <n v="5.6287290329843525E-4"/>
    <n v="0.69019852813291505"/>
    <n v="0.56055918414117112"/>
    <n v="0"/>
    <n v="4.6002315723551138E-2"/>
    <x v="3"/>
    <n v="4.0000000000000009"/>
    <x v="1"/>
    <n v="5.8000000000000003E-2"/>
    <n v="515.21400000000006"/>
    <n v="2.3E-2"/>
    <n v="303.80400000000003"/>
    <s v="CRITFC"/>
    <n v="355.59994447347168"/>
    <s v=""/>
    <n v="141.01377108430773"/>
    <n v="355.59994447347168"/>
    <n v="127.368112"/>
    <n v="0"/>
    <n v="0"/>
    <m/>
  </r>
  <r>
    <s v="Okanagan Sockeye"/>
    <s v="1990s"/>
    <x v="15"/>
    <n v="1990"/>
    <x v="16"/>
    <n v="9913"/>
    <n v="8883"/>
    <n v="8882"/>
    <n v="5537.7439999999997"/>
    <n v="0.69019852813291505"/>
    <n v="5238"/>
    <n v="6131.033525404684"/>
    <m/>
    <m/>
    <n v="5.6287290329843525E-4"/>
    <n v="0.69019852813291505"/>
    <n v="0.56055918414117112"/>
    <n v="0"/>
    <n v="4.6002315723551138E-2"/>
    <x v="4"/>
    <n v="5.0000000000000018"/>
    <x v="1"/>
    <n v="0"/>
    <n v="0"/>
    <n v="1.6E-2"/>
    <n v="0"/>
    <s v="CRITFC"/>
    <n v="0"/>
    <s v=""/>
    <n v="98.096536406474954"/>
    <n v="0"/>
    <n v="88.603904"/>
    <n v="0"/>
    <n v="0"/>
    <m/>
  </r>
  <r>
    <s v="Okanagan Sockeye"/>
    <s v="1990s"/>
    <x v="16"/>
    <n v="1993"/>
    <x v="18"/>
    <n v="30942"/>
    <n v="31300"/>
    <n v="31275"/>
    <n v="20037.531999999999"/>
    <n v="0.67923837288135591"/>
    <n v="23160"/>
    <n v="21260.161071186441"/>
    <m/>
    <m/>
    <n v="9.5846645367412143E-5"/>
    <n v="0.67923837288135591"/>
    <n v="0.66364468864468862"/>
    <n v="0"/>
    <n v="1.1446842525979217E-2"/>
    <x v="0"/>
    <n v="3.0000000000000009"/>
    <x v="0"/>
    <n v="7.5999999999999998E-2"/>
    <n v="2378.7999999999997"/>
    <n v="5.1999999999999998E-2"/>
    <n v="1760.1599999999999"/>
    <s v="CRITFC"/>
    <n v="1615.7722414101695"/>
    <s v=""/>
    <n v="1105.5283757016948"/>
    <n v="1615.7722414101695"/>
    <n v="1041.9516639999999"/>
    <n v="0"/>
    <n v="0"/>
    <s v="Fryer: pers data (Wells Dam)) used for SIRE age comps"/>
  </r>
  <r>
    <s v="Okanagan Sockeye"/>
    <s v="1990s"/>
    <x v="16"/>
    <n v="1992"/>
    <x v="17"/>
    <n v="30942"/>
    <n v="31300"/>
    <n v="31275"/>
    <n v="20037.531999999999"/>
    <n v="0.67923837288135591"/>
    <n v="23160"/>
    <n v="21260.161071186441"/>
    <m/>
    <m/>
    <n v="9.5846645367412143E-5"/>
    <n v="0.67923837288135591"/>
    <n v="0.66364468864468862"/>
    <n v="0"/>
    <n v="1.1446842525979217E-2"/>
    <x v="1"/>
    <n v="3.9999999999999996"/>
    <x v="0"/>
    <n v="0.85899999999999999"/>
    <n v="26886.7"/>
    <n v="0.82499999999999996"/>
    <n v="19894.439999999999"/>
    <s v="CRITFC"/>
    <n v="18262.478360149154"/>
    <s v=""/>
    <n v="17539.632883728813"/>
    <n v="18262.478360149154"/>
    <n v="16530.963899999999"/>
    <n v="0"/>
    <n v="0"/>
    <s v="Fryer: pers data (Wells Dam)) used for SIRE age comps"/>
  </r>
  <r>
    <s v="Okanagan Sockeye"/>
    <s v="1990s"/>
    <x v="16"/>
    <n v="1991"/>
    <x v="16"/>
    <n v="30942"/>
    <n v="31300"/>
    <n v="31275"/>
    <n v="20037.531999999999"/>
    <n v="0.67923837288135591"/>
    <n v="23160"/>
    <n v="21260.161071186441"/>
    <m/>
    <m/>
    <n v="9.5846645367412143E-5"/>
    <n v="0.67923837288135591"/>
    <n v="0.66364468864468862"/>
    <n v="0"/>
    <n v="1.1446842525979217E-2"/>
    <x v="2"/>
    <n v="5"/>
    <x v="0"/>
    <n v="3.7999999999999999E-2"/>
    <n v="1189.3999999999999"/>
    <n v="8.3000000000000004E-2"/>
    <n v="880.07999999999993"/>
    <s v="CRITFC"/>
    <n v="807.88612070508475"/>
    <s v=""/>
    <n v="1764.5933689084748"/>
    <n v="807.88612070508475"/>
    <n v="1663.1151560000001"/>
    <n v="0"/>
    <n v="0"/>
    <s v="Fryer: pers data (Wells Dam)) used for SIRE age comps"/>
  </r>
  <r>
    <s v="Okanagan Sockeye"/>
    <s v="1990s"/>
    <x v="16"/>
    <n v="1992"/>
    <x v="18"/>
    <n v="30942"/>
    <n v="31300"/>
    <n v="31275"/>
    <n v="20037.531999999999"/>
    <n v="0.67923837288135591"/>
    <n v="23160"/>
    <n v="21260.161071186441"/>
    <m/>
    <m/>
    <n v="9.5846645367412143E-5"/>
    <n v="0.67923837288135591"/>
    <n v="0.66364468864468862"/>
    <n v="0"/>
    <n v="1.1446842525979217E-2"/>
    <x v="3"/>
    <n v="4.0000000000000009"/>
    <x v="1"/>
    <n v="0"/>
    <n v="0"/>
    <n v="2.3E-2"/>
    <n v="0"/>
    <s v="CRITFC"/>
    <n v="0"/>
    <s v=""/>
    <n v="488.98370463728816"/>
    <n v="0"/>
    <n v="460.86323599999997"/>
    <n v="0"/>
    <n v="0"/>
    <s v="Fryer: pers data (Wells Dam)) used for SIRE age comps"/>
  </r>
  <r>
    <s v="Okanagan Sockeye"/>
    <s v="1990s"/>
    <x v="16"/>
    <n v="1991"/>
    <x v="17"/>
    <n v="30942"/>
    <n v="31300"/>
    <n v="31275"/>
    <n v="20037.531999999999"/>
    <n v="0.67923837288135591"/>
    <n v="23160"/>
    <n v="21260.161071186441"/>
    <m/>
    <m/>
    <n v="9.5846645367412143E-5"/>
    <n v="0.67923837288135591"/>
    <n v="0.66364468864468862"/>
    <n v="0"/>
    <n v="1.1446842525979217E-2"/>
    <x v="4"/>
    <n v="5.0000000000000018"/>
    <x v="1"/>
    <n v="2.7E-2"/>
    <n v="845.1"/>
    <n v="1.6E-2"/>
    <n v="625.31999999999994"/>
    <s v="CRITFC"/>
    <n v="574.02434892203394"/>
    <s v=""/>
    <n v="340.16257713898307"/>
    <n v="574.02434892203394"/>
    <n v="320.60051199999998"/>
    <n v="0"/>
    <n v="0"/>
    <s v="Fryer: pers data (Wells Dam)) used for SIRE age comps"/>
  </r>
  <r>
    <s v="Okanagan Sockeye"/>
    <s v="1990s"/>
    <x v="17"/>
    <n v="1994"/>
    <x v="19"/>
    <n v="49979"/>
    <n v="48793"/>
    <n v="48781"/>
    <n v="27870.971999999998"/>
    <n v="0.6715249614494988"/>
    <n v="36095"/>
    <n v="32765.717444005397"/>
    <m/>
    <m/>
    <n v="3.2791588957432416E-4"/>
    <n v="0.6715249614494988"/>
    <n v="0.79711850224871872"/>
    <n v="0"/>
    <n v="0.10690637748303643"/>
    <x v="0"/>
    <n v="3.0000000000000009"/>
    <x v="0"/>
    <n v="0"/>
    <n v="0"/>
    <n v="5.1999999999999998E-2"/>
    <n v="0"/>
    <s v="CRITFC"/>
    <n v="0"/>
    <s v=""/>
    <n v="1703.8173070882806"/>
    <n v="0"/>
    <n v="1449.2905439999997"/>
    <n v="0"/>
    <n v="0"/>
    <m/>
  </r>
  <r>
    <s v="Okanagan Sockeye"/>
    <s v="1990s"/>
    <x v="17"/>
    <n v="1993"/>
    <x v="18"/>
    <n v="49979"/>
    <n v="48793"/>
    <n v="48781"/>
    <n v="27870.971999999998"/>
    <n v="0.6715249614494988"/>
    <n v="36095"/>
    <n v="32765.717444005397"/>
    <m/>
    <m/>
    <n v="3.2791588957432416E-4"/>
    <n v="0.6715249614494988"/>
    <n v="0.79711850224871872"/>
    <n v="0"/>
    <n v="0.10690637748303643"/>
    <x v="1"/>
    <n v="3.9999999999999996"/>
    <x v="0"/>
    <n v="0.95699999999999996"/>
    <n v="46694.900999999998"/>
    <n v="0.82499999999999996"/>
    <n v="34542.915000000001"/>
    <s v="CRITFC"/>
    <n v="31356.791593913164"/>
    <s v=""/>
    <n v="27031.716891304452"/>
    <n v="31356.791593913164"/>
    <n v="22993.551899999999"/>
    <n v="0"/>
    <n v="0"/>
    <m/>
  </r>
  <r>
    <s v="Okanagan Sockeye"/>
    <s v="1990s"/>
    <x v="17"/>
    <n v="1992"/>
    <x v="17"/>
    <n v="49979"/>
    <n v="48793"/>
    <n v="48781"/>
    <n v="27870.971999999998"/>
    <n v="0.6715249614494988"/>
    <n v="36095"/>
    <n v="32765.717444005397"/>
    <m/>
    <m/>
    <n v="3.2791588957432416E-4"/>
    <n v="0.6715249614494988"/>
    <n v="0.79711850224871872"/>
    <n v="0"/>
    <n v="0.10690637748303643"/>
    <x v="2"/>
    <n v="5"/>
    <x v="0"/>
    <n v="3.4000000000000002E-2"/>
    <n v="1658.9620000000002"/>
    <n v="8.3000000000000004E-2"/>
    <n v="1227.23"/>
    <s v="CRITFC"/>
    <n v="1114.0343930961835"/>
    <s v=""/>
    <n v="2719.5545478524482"/>
    <n v="1114.0343930961835"/>
    <n v="2313.2906760000001"/>
    <n v="0"/>
    <n v="0"/>
    <m/>
  </r>
  <r>
    <s v="Okanagan Sockeye"/>
    <s v="1990s"/>
    <x v="17"/>
    <n v="1993"/>
    <x v="19"/>
    <n v="49979"/>
    <n v="48793"/>
    <n v="48781"/>
    <n v="27870.971999999998"/>
    <n v="0.6715249614494988"/>
    <n v="36095"/>
    <n v="32765.717444005397"/>
    <m/>
    <m/>
    <n v="3.2791588957432416E-4"/>
    <n v="0.6715249614494988"/>
    <n v="0.79711850224871872"/>
    <n v="0"/>
    <n v="0.10690637748303643"/>
    <x v="3"/>
    <n v="4.0000000000000009"/>
    <x v="1"/>
    <n v="8.9999999999999993E-3"/>
    <n v="439.13699999999994"/>
    <n v="2.3E-2"/>
    <n v="324.85499999999996"/>
    <s v="CRITFC"/>
    <n v="294.89145699604853"/>
    <s v=""/>
    <n v="753.61150121212415"/>
    <n v="294.89145699604853"/>
    <n v="641.03235599999994"/>
    <n v="0"/>
    <n v="0"/>
    <m/>
  </r>
  <r>
    <s v="Okanagan Sockeye"/>
    <s v="1990s"/>
    <x v="17"/>
    <n v="1992"/>
    <x v="18"/>
    <n v="49979"/>
    <n v="48793"/>
    <n v="48781"/>
    <n v="27870.971999999998"/>
    <n v="0.6715249614494988"/>
    <n v="36095"/>
    <n v="32765.717444005397"/>
    <m/>
    <m/>
    <n v="3.2791588957432416E-4"/>
    <n v="0.6715249614494988"/>
    <n v="0.79711850224871872"/>
    <n v="0"/>
    <n v="0.10690637748303643"/>
    <x v="4"/>
    <n v="5.0000000000000018"/>
    <x v="1"/>
    <n v="0"/>
    <n v="0"/>
    <n v="1.6E-2"/>
    <n v="0"/>
    <s v="CRITFC"/>
    <n v="0"/>
    <s v=""/>
    <n v="524.25147910408634"/>
    <n v="0"/>
    <n v="445.93555199999997"/>
    <n v="0"/>
    <n v="0"/>
    <m/>
  </r>
  <r>
    <s v="Okanagan Sockeye"/>
    <s v="1990s"/>
    <x v="18"/>
    <n v="1995"/>
    <x v="20"/>
    <n v="13220"/>
    <n v="13522"/>
    <n v="13520"/>
    <n v="4666"/>
    <n v="0.49989286479537176"/>
    <n v="7705"/>
    <n v="6759.5513177630173"/>
    <m/>
    <m/>
    <n v="2.9581422866439876E-4"/>
    <n v="0.49989286479537176"/>
    <n v="0.5312979227659278"/>
    <n v="0"/>
    <n v="0.2778846153846154"/>
    <x v="0"/>
    <n v="3.0000000000000009"/>
    <x v="0"/>
    <n v="5.2999999999999999E-2"/>
    <n v="716.66599999999994"/>
    <n v="5.1999999999999998E-2"/>
    <n v="408.36500000000001"/>
    <s v="CRITFC"/>
    <n v="358.25621984143993"/>
    <s v=""/>
    <n v="351.49666852367687"/>
    <n v="358.25621984143993"/>
    <n v="242.63199999999998"/>
    <n v="0"/>
    <n v="0"/>
    <m/>
  </r>
  <r>
    <s v="Okanagan Sockeye"/>
    <s v="1990s"/>
    <x v="18"/>
    <n v="1994"/>
    <x v="19"/>
    <n v="13220"/>
    <n v="13522"/>
    <n v="13520"/>
    <n v="4666"/>
    <n v="0.49989286479537176"/>
    <n v="7705"/>
    <n v="6759.5513177630173"/>
    <m/>
    <m/>
    <n v="2.9581422866439876E-4"/>
    <n v="0.49989286479537176"/>
    <n v="0.5312979227659278"/>
    <n v="0"/>
    <n v="0.2778846153846154"/>
    <x v="1"/>
    <n v="3.9999999999999996"/>
    <x v="0"/>
    <n v="0.78900000000000003"/>
    <n v="10668.858"/>
    <n v="0.82499999999999996"/>
    <n v="6079.2449999999999"/>
    <s v="CRITFC"/>
    <n v="5333.2859897150211"/>
    <s v=""/>
    <n v="5576.629837154489"/>
    <n v="5333.2859897150211"/>
    <n v="3849.45"/>
    <n v="0"/>
    <n v="0"/>
    <m/>
  </r>
  <r>
    <s v="Okanagan Sockeye"/>
    <s v="1990s"/>
    <x v="18"/>
    <n v="1993"/>
    <x v="18"/>
    <n v="13220"/>
    <n v="13522"/>
    <n v="13520"/>
    <n v="4666"/>
    <n v="0.49989286479537176"/>
    <n v="7705"/>
    <n v="6759.5513177630173"/>
    <m/>
    <m/>
    <n v="2.9581422866439876E-4"/>
    <n v="0.49989286479537176"/>
    <n v="0.5312979227659278"/>
    <n v="0"/>
    <n v="0.2778846153846154"/>
    <x v="2"/>
    <n v="5"/>
    <x v="0"/>
    <n v="0.158"/>
    <n v="2136.4760000000001"/>
    <n v="8.3000000000000004E-2"/>
    <n v="1217.3900000000001"/>
    <s v="CRITFC"/>
    <n v="1068.0091082065567"/>
    <s v=""/>
    <n v="561.04275937433044"/>
    <n v="1068.0091082065567"/>
    <n v="387.27800000000002"/>
    <n v="0"/>
    <n v="0"/>
    <m/>
  </r>
  <r>
    <s v="Okanagan Sockeye"/>
    <s v="1990s"/>
    <x v="18"/>
    <n v="1994"/>
    <x v="20"/>
    <n v="13220"/>
    <n v="13522"/>
    <n v="13520"/>
    <n v="4666"/>
    <n v="0.49989286479537176"/>
    <n v="7705"/>
    <n v="6759.5513177630173"/>
    <m/>
    <m/>
    <n v="2.9581422866439876E-4"/>
    <n v="0.49989286479537176"/>
    <n v="0.5312979227659278"/>
    <n v="0"/>
    <n v="0.2778846153846154"/>
    <x v="3"/>
    <n v="4.0000000000000009"/>
    <x v="1"/>
    <n v="0"/>
    <n v="0"/>
    <n v="2.3E-2"/>
    <n v="0"/>
    <s v="CRITFC"/>
    <n v="0"/>
    <s v=""/>
    <n v="155.46968030854939"/>
    <n v="0"/>
    <n v="107.318"/>
    <n v="0"/>
    <n v="0"/>
    <m/>
  </r>
  <r>
    <s v="Okanagan Sockeye"/>
    <s v="1990s"/>
    <x v="18"/>
    <n v="1993"/>
    <x v="19"/>
    <n v="13220"/>
    <n v="13522"/>
    <n v="13520"/>
    <n v="4666"/>
    <n v="0.49989286479537176"/>
    <n v="7705"/>
    <n v="6759.5513177630173"/>
    <m/>
    <m/>
    <n v="2.9581422866439876E-4"/>
    <n v="0.49989286479537176"/>
    <n v="0.5312979227659278"/>
    <n v="0"/>
    <n v="0.2778846153846154"/>
    <x v="4"/>
    <n v="5.0000000000000018"/>
    <x v="1"/>
    <n v="0"/>
    <n v="0"/>
    <n v="1.6E-2"/>
    <n v="0"/>
    <s v="CRITFC"/>
    <n v="0"/>
    <s v=""/>
    <n v="108.15282108420828"/>
    <n v="0"/>
    <n v="74.656000000000006"/>
    <n v="0"/>
    <n v="0"/>
    <m/>
  </r>
  <r>
    <s v="Okanagan Sockeye"/>
    <s v="1990s"/>
    <x v="19"/>
    <n v="1996"/>
    <x v="21"/>
    <n v="19094"/>
    <n v="18383"/>
    <n v="18382"/>
    <n v="12388"/>
    <n v="0.7952295264703797"/>
    <n v="16715"/>
    <n v="14618.704385104989"/>
    <m/>
    <m/>
    <n v="8.1597127781102101E-4"/>
    <n v="0.7952295264703797"/>
    <n v="0.74158529929043604"/>
    <n v="0"/>
    <n v="0.11343203110641405"/>
    <x v="0"/>
    <n v="3.0000000000000009"/>
    <x v="0"/>
    <n v="0.114"/>
    <n v="2095.6620000000003"/>
    <n v="5.1999999999999998E-2"/>
    <n v="1905.51"/>
    <s v="CRITFC"/>
    <n v="1666.5322999019688"/>
    <s v=""/>
    <n v="760.1726280254594"/>
    <n v="1666.5322999019688"/>
    <n v="644.17599999999993"/>
    <n v="0"/>
    <n v="0"/>
    <m/>
  </r>
  <r>
    <s v="Okanagan Sockeye"/>
    <s v="1990s"/>
    <x v="19"/>
    <n v="1995"/>
    <x v="20"/>
    <n v="19094"/>
    <n v="18383"/>
    <n v="18382"/>
    <n v="12388"/>
    <n v="0.7952295264703797"/>
    <n v="16715"/>
    <n v="14618.704385104989"/>
    <m/>
    <m/>
    <n v="8.1597127781102101E-4"/>
    <n v="0.7952295264703797"/>
    <n v="0.74158529929043604"/>
    <n v="0"/>
    <n v="0.11343203110641405"/>
    <x v="1"/>
    <n v="3.9999999999999996"/>
    <x v="0"/>
    <n v="0.84899999999999998"/>
    <n v="15607.166999999999"/>
    <n v="0.82499999999999996"/>
    <n v="14191.035"/>
    <s v="CRITFC"/>
    <n v="12411.280022954135"/>
    <s v=""/>
    <n v="12060.431117711616"/>
    <n v="12411.280022954135"/>
    <n v="10220.099999999999"/>
    <n v="0"/>
    <n v="0"/>
    <m/>
  </r>
  <r>
    <s v="Okanagan Sockeye"/>
    <s v="1990s"/>
    <x v="19"/>
    <n v="1994"/>
    <x v="19"/>
    <n v="19094"/>
    <n v="18383"/>
    <n v="18382"/>
    <n v="12388"/>
    <n v="0.7952295264703797"/>
    <n v="16715"/>
    <n v="14618.704385104989"/>
    <m/>
    <m/>
    <n v="8.1597127781102101E-4"/>
    <n v="0.7952295264703797"/>
    <n v="0.74158529929043604"/>
    <n v="0"/>
    <n v="0.11343203110641405"/>
    <x v="2"/>
    <n v="5"/>
    <x v="0"/>
    <n v="0"/>
    <n v="0"/>
    <n v="8.3000000000000004E-2"/>
    <n v="0"/>
    <s v="CRITFC"/>
    <n v="0"/>
    <s v=""/>
    <n v="1213.3524639637142"/>
    <n v="0"/>
    <n v="1028.204"/>
    <n v="0"/>
    <n v="0"/>
    <m/>
  </r>
  <r>
    <s v="Okanagan Sockeye"/>
    <s v="1990s"/>
    <x v="19"/>
    <n v="1995"/>
    <x v="21"/>
    <n v="19094"/>
    <n v="18383"/>
    <n v="18382"/>
    <n v="12388"/>
    <n v="0.7952295264703797"/>
    <n v="16715"/>
    <n v="14618.704385104989"/>
    <m/>
    <m/>
    <n v="8.1597127781102101E-4"/>
    <n v="0.7952295264703797"/>
    <n v="0.74158529929043604"/>
    <n v="0"/>
    <n v="0.11343203110641405"/>
    <x v="3"/>
    <n v="4.0000000000000009"/>
    <x v="1"/>
    <n v="3.7999999999999999E-2"/>
    <n v="698.55399999999997"/>
    <n v="2.3E-2"/>
    <n v="635.16999999999996"/>
    <s v="CRITFC"/>
    <n v="555.51076663398953"/>
    <s v=""/>
    <n v="336.23020085741473"/>
    <n v="555.51076663398953"/>
    <n v="284.92399999999998"/>
    <n v="0"/>
    <n v="0"/>
    <m/>
  </r>
  <r>
    <s v="Okanagan Sockeye"/>
    <s v="1990s"/>
    <x v="19"/>
    <n v="1994"/>
    <x v="20"/>
    <n v="19094"/>
    <n v="18383"/>
    <n v="18382"/>
    <n v="12388"/>
    <n v="0.7952295264703797"/>
    <n v="16715"/>
    <n v="14618.704385104989"/>
    <m/>
    <m/>
    <n v="8.1597127781102101E-4"/>
    <n v="0.7952295264703797"/>
    <n v="0.74158529929043604"/>
    <n v="0"/>
    <n v="0.11343203110641405"/>
    <x v="4"/>
    <n v="5.0000000000000018"/>
    <x v="1"/>
    <n v="0"/>
    <n v="0"/>
    <n v="1.6E-2"/>
    <n v="0"/>
    <s v="CRITFC"/>
    <n v="0"/>
    <s v=""/>
    <n v="233.89927016167982"/>
    <n v="0"/>
    <n v="198.208"/>
    <n v="0"/>
    <n v="0"/>
    <m/>
  </r>
  <r>
    <s v="Okanagan Sockeye"/>
    <s v="1990s"/>
    <x v="20"/>
    <n v="1997"/>
    <x v="22"/>
    <n v="93764"/>
    <n v="97557"/>
    <n v="97191"/>
    <n v="59944"/>
    <n v="0.78345880384776245"/>
    <n v="73866"/>
    <n v="76431.89052697616"/>
    <n v="59944"/>
    <n v="5847956808"/>
    <n v="3.7414024621503328E-3"/>
    <n v="0.78345880384776245"/>
    <n v="0.75851596902363716"/>
    <n v="0.55000000000000004"/>
    <n v="0.17907007850521139"/>
    <x v="0"/>
    <n v="3.0000000000000009"/>
    <x v="0"/>
    <n v="0.13"/>
    <n v="12682.41"/>
    <n v="7.1999999999999995E-2"/>
    <n v="9602.58"/>
    <s v="CRITFC"/>
    <n v="9936.1457685069017"/>
    <n v="760234385.04000008"/>
    <n v="5503.0961179422829"/>
    <n v="9936.1457685069017"/>
    <n v="4315.9679999999998"/>
    <n v="3.9600000000000003E-2"/>
    <n v="3.1224349315311525E-6"/>
    <s v="SIRE = Fryer &amp; Kelsey 2001 (CRITFC 01-2), but FRYER may be Sp/Grd? [hs 10/21/2020]"/>
  </r>
  <r>
    <s v="Okanagan Sockeye"/>
    <s v="1990s"/>
    <x v="20"/>
    <n v="1996"/>
    <x v="21"/>
    <n v="93764"/>
    <n v="97557"/>
    <n v="97191"/>
    <n v="59944"/>
    <n v="0.78345880384776245"/>
    <n v="73866"/>
    <n v="76431.89052697616"/>
    <n v="59944"/>
    <n v="5847956808"/>
    <n v="3.7414024621503328E-3"/>
    <n v="0.78345880384776245"/>
    <n v="0.75851596902363716"/>
    <n v="0.55000000000000004"/>
    <n v="0.17907007850521139"/>
    <x v="1"/>
    <n v="3.9999999999999996"/>
    <x v="0"/>
    <n v="0.84"/>
    <n v="81947.87999999999"/>
    <n v="0.874"/>
    <n v="62047.439999999995"/>
    <s v="CRITFC"/>
    <n v="64202.788042659973"/>
    <n v="4912283718.7200003"/>
    <n v="66801.472320577159"/>
    <n v="64202.788042659973"/>
    <n v="52391.055999999997"/>
    <n v="0.48070000000000002"/>
    <n v="5.8659235601946024E-6"/>
    <s v="SIRE = Fryer &amp; Kelsey 2001 (CRITFC 01-2) (Wells Dam, Table 3)"/>
  </r>
  <r>
    <s v="Okanagan Sockeye"/>
    <s v="1990s"/>
    <x v="20"/>
    <n v="1995"/>
    <x v="20"/>
    <n v="93764"/>
    <n v="97557"/>
    <n v="97191"/>
    <n v="59944"/>
    <n v="0.78345880384776245"/>
    <n v="73866"/>
    <n v="76431.89052697616"/>
    <n v="59944"/>
    <n v="5847956808"/>
    <n v="3.7414024621503328E-3"/>
    <n v="0.78345880384776245"/>
    <n v="0.75851596902363716"/>
    <n v="0.55000000000000004"/>
    <n v="0.17907007850521139"/>
    <x v="2"/>
    <n v="5"/>
    <x v="0"/>
    <n v="0.01"/>
    <n v="975.57"/>
    <n v="3.5999999999999997E-2"/>
    <n v="738.66"/>
    <s v="CRITFC"/>
    <n v="764.31890526976167"/>
    <n v="58479568.079999998"/>
    <n v="2751.5480589711415"/>
    <n v="764.31890526976167"/>
    <n v="2157.9839999999999"/>
    <n v="1.9800000000000002E-2"/>
    <n v="2.0295827054952489E-5"/>
    <s v="SIRE = Fryer &amp; Kelsey 2001 (CRITFC 01-2) (Wells Dam, Table 3)"/>
  </r>
  <r>
    <s v="Okanagan Sockeye"/>
    <s v="1990s"/>
    <x v="20"/>
    <n v="1996"/>
    <x v="22"/>
    <n v="93764"/>
    <n v="97557"/>
    <n v="97191"/>
    <n v="59944"/>
    <n v="0.78345880384776245"/>
    <n v="73866"/>
    <n v="76431.89052697616"/>
    <n v="59944"/>
    <n v="5847956808"/>
    <n v="3.7414024621503328E-3"/>
    <n v="0.78345880384776245"/>
    <n v="0.75851596902363716"/>
    <n v="0.55000000000000004"/>
    <n v="0.17907007850521139"/>
    <x v="3"/>
    <n v="4.0000000000000009"/>
    <x v="1"/>
    <n v="0.01"/>
    <n v="975.57"/>
    <n v="1E-3"/>
    <n v="738.66"/>
    <s v="CRITFC"/>
    <n v="764.31890526976167"/>
    <n v="58479568.079999998"/>
    <n v="76.431890526976161"/>
    <n v="764.31890526976167"/>
    <n v="59.944000000000003"/>
    <n v="5.5000000000000003E-4"/>
    <n v="5.6377297374868026E-7"/>
    <s v="SIRE = Fryer &amp; Kelsey 2001 (CRITFC 01-2) (Wells Dam, Table 3)"/>
  </r>
  <r>
    <s v="Okanagan Sockeye"/>
    <s v="1990s"/>
    <x v="20"/>
    <n v="1995"/>
    <x v="21"/>
    <n v="93764"/>
    <n v="97557"/>
    <n v="97191"/>
    <n v="59944"/>
    <n v="0.78345880384776245"/>
    <n v="73866"/>
    <n v="76431.89052697616"/>
    <n v="59944"/>
    <n v="5847956808"/>
    <n v="3.7414024621503328E-3"/>
    <n v="0.78345880384776245"/>
    <n v="0.75851596902363716"/>
    <n v="0.55000000000000004"/>
    <n v="0.17907007850521139"/>
    <x v="4"/>
    <n v="5.0000000000000018"/>
    <x v="1"/>
    <n v="0.01"/>
    <n v="975.57"/>
    <n v="1.7000000000000001E-2"/>
    <n v="738.66"/>
    <s v="CRITFC"/>
    <n v="764.31890526976167"/>
    <n v="58479568.079999998"/>
    <n v="1299.3421389585949"/>
    <n v="764.31890526976167"/>
    <n v="1019.0480000000001"/>
    <n v="9.3500000000000007E-3"/>
    <n v="9.5841405537275652E-6"/>
    <s v="SIRE = Fryer &amp; Kelsey 2001 (CRITFC 01-2) (Wells Dam, Table 3)"/>
  </r>
  <r>
    <s v="Okanagan Sockeye"/>
    <s v="2000s"/>
    <x v="21"/>
    <n v="1998"/>
    <x v="23"/>
    <n v="117879"/>
    <n v="121355"/>
    <n v="119664"/>
    <n v="74486"/>
    <n v="0.7104731018695154"/>
    <n v="83707"/>
    <n v="86219.463277375035"/>
    <n v="74486"/>
    <n v="9039248530"/>
    <n v="3.3785175724115201E-4"/>
    <n v="0.7104731018695154"/>
    <n v="0.63162914917970236"/>
    <n v="0.56000000000000005"/>
    <n v="6.2533426928733787E-2"/>
    <x v="0"/>
    <n v="3.0000000000000009"/>
    <x v="0"/>
    <n v="2.5999999999999999E-2"/>
    <n v="3155.23"/>
    <n v="3.3000000000000002E-2"/>
    <n v="2762.3310000000001"/>
    <s v="SiRE"/>
    <n v="2241.7060452117507"/>
    <n v="235020461.78"/>
    <n v="2845.2422881533762"/>
    <n v="2845.2422881533762"/>
    <n v="2458.038"/>
    <n v="1.8480000000000003E-2"/>
    <n v="5.8569422831299153E-6"/>
    <s v="SIRE = spawning grounds; Wells = 0.031 CRITFC 02_02 Table 3"/>
  </r>
  <r>
    <s v="Okanagan Sockeye"/>
    <s v="1990s"/>
    <x v="21"/>
    <n v="1997"/>
    <x v="22"/>
    <n v="117879"/>
    <n v="121355"/>
    <n v="119664"/>
    <n v="74486"/>
    <n v="0.7104731018695154"/>
    <n v="83707"/>
    <n v="86219.463277375035"/>
    <n v="74486"/>
    <n v="9039248530"/>
    <n v="3.3785175724115201E-4"/>
    <n v="0.7104731018695154"/>
    <n v="0.63162914917970236"/>
    <n v="0.56000000000000005"/>
    <n v="6.2533426928733787E-2"/>
    <x v="1"/>
    <n v="3.9999999999999996"/>
    <x v="0"/>
    <n v="0.94599999999999995"/>
    <n v="114801.82999999999"/>
    <n v="0.94399999999999995"/>
    <n v="79019.407999999996"/>
    <s v="SiRE"/>
    <n v="81563.612260396781"/>
    <n v="8551129109.3799992"/>
    <n v="81391.173333842031"/>
    <n v="81391.173333842031"/>
    <n v="70314.784"/>
    <n v="0.52864"/>
    <n v="4.604804644664637E-6"/>
    <s v="spawning grounds; Wells = 0.940"/>
  </r>
  <r>
    <s v="Okanagan Sockeye"/>
    <s v="1990s"/>
    <x v="21"/>
    <n v="1996"/>
    <x v="21"/>
    <n v="117879"/>
    <n v="121355"/>
    <n v="119664"/>
    <n v="74486"/>
    <n v="0.7104731018695154"/>
    <n v="83707"/>
    <n v="86219.463277375035"/>
    <n v="74486"/>
    <n v="9039248530"/>
    <n v="3.3785175724115201E-4"/>
    <n v="0.7104731018695154"/>
    <n v="0.63162914917970236"/>
    <n v="0.56000000000000005"/>
    <n v="6.2533426928733787E-2"/>
    <x v="2"/>
    <n v="5"/>
    <x v="0"/>
    <n v="0.02"/>
    <n v="2427.1"/>
    <n v="2.1999999999999999E-2"/>
    <n v="1841.5539999999999"/>
    <s v="SiRE"/>
    <n v="1724.3892655475008"/>
    <n v="180784970.59999999"/>
    <n v="1896.8281921022506"/>
    <n v="1896.8281921022506"/>
    <n v="1638.692"/>
    <n v="1.2320000000000001E-2"/>
    <n v="5.0760166453792602E-6"/>
    <s v="spawning grounds; Wells = 0.020"/>
  </r>
  <r>
    <s v="Okanagan Sockeye"/>
    <s v="2000s"/>
    <x v="21"/>
    <n v="1997"/>
    <x v="23"/>
    <n v="117879"/>
    <n v="121355"/>
    <n v="119664"/>
    <n v="74486"/>
    <n v="0.7104731018695154"/>
    <n v="83707"/>
    <n v="86219.463277375035"/>
    <n v="74486"/>
    <n v="9039248530"/>
    <n v="3.3785175724115201E-4"/>
    <n v="0.7104731018695154"/>
    <n v="0.63162914917970236"/>
    <n v="0.56000000000000005"/>
    <n v="6.2533426928733787E-2"/>
    <x v="3"/>
    <n v="4.0000000000000009"/>
    <x v="1"/>
    <n v="3.0000000000000001E-3"/>
    <n v="364.065"/>
    <n v="4.8999999999999998E-4"/>
    <n v="41.01643"/>
    <s v="SiRE"/>
    <n v="258.65838983212512"/>
    <n v="27117745.59"/>
    <n v="42.247537005913763"/>
    <n v="42.247537005913763"/>
    <n v="36.498139999999999"/>
    <n v="2.744E-4"/>
    <n v="7.5371156249570824E-7"/>
    <s v="spawning grounds; Wells = 0.006"/>
  </r>
  <r>
    <s v="Okanagan Sockeye"/>
    <s v="1990s"/>
    <x v="21"/>
    <n v="1996"/>
    <x v="22"/>
    <n v="117879"/>
    <n v="121355"/>
    <n v="119664"/>
    <n v="74486"/>
    <n v="0.7104731018695154"/>
    <n v="83707"/>
    <n v="86219.463277375035"/>
    <n v="74486"/>
    <n v="9039248530"/>
    <n v="3.3785175724115201E-4"/>
    <n v="0.7104731018695154"/>
    <n v="0.63162914917970236"/>
    <n v="0.56000000000000005"/>
    <n v="6.2533426928733787E-2"/>
    <x v="4"/>
    <n v="5.0000000000000018"/>
    <x v="1"/>
    <n v="3.0000000000000001E-3"/>
    <n v="364.065"/>
    <n v="4.8999999999999998E-4"/>
    <n v="41.01643"/>
    <s v="SiRE"/>
    <n v="258.65838983212512"/>
    <n v="27117745.59"/>
    <n v="42.247537005913763"/>
    <n v="42.247537005913763"/>
    <n v="36.498139999999999"/>
    <n v="2.744E-4"/>
    <n v="7.5371156249570824E-7"/>
    <s v="spawning grounds; Wells = 0.003"/>
  </r>
  <r>
    <s v="Okanagan Sockeye"/>
    <s v="2000s"/>
    <x v="22"/>
    <n v="1999"/>
    <x v="24"/>
    <n v="50557"/>
    <n v="51515"/>
    <n v="51496"/>
    <n v="10659"/>
    <n v="0.24050090252707582"/>
    <n v="14406"/>
    <n v="12389.40399368231"/>
    <n v="10659"/>
    <n v="549098385"/>
    <n v="1.2423565951664563E-3"/>
    <n v="0.24050090252707582"/>
    <n v="0.25014670328380628"/>
    <n v="0.27"/>
    <n v="8.8317539226347677E-2"/>
    <x v="0"/>
    <n v="3.0000000000000009"/>
    <x v="0"/>
    <n v="0.02"/>
    <n v="1030.3"/>
    <n v="9.0999999999999998E-2"/>
    <n v="288.12"/>
    <s v="CRITFC"/>
    <n v="247.78807987364621"/>
    <n v="10981967.700000001"/>
    <n v="1127.4357634250903"/>
    <n v="247.78807987364621"/>
    <n v="969.96899999999994"/>
    <n v="2.4570000000000002E-2"/>
    <n v="2.3847423080656121E-5"/>
    <s v="Use Fryer; SIRE = spawning grounds no 53s; Wells = 0.015"/>
  </r>
  <r>
    <s v="Okanagan Sockeye"/>
    <s v="2000s"/>
    <x v="22"/>
    <n v="1998"/>
    <x v="23"/>
    <n v="50557"/>
    <n v="51515"/>
    <n v="51496"/>
    <n v="10659"/>
    <n v="0.24050090252707582"/>
    <n v="14406"/>
    <n v="12389.40399368231"/>
    <n v="10659"/>
    <n v="549098385"/>
    <n v="1.2423565951664563E-3"/>
    <n v="0.24050090252707582"/>
    <n v="0.25014670328380628"/>
    <n v="0.27"/>
    <n v="8.8317539226347677E-2"/>
    <x v="1"/>
    <n v="3.9999999999999996"/>
    <x v="0"/>
    <n v="0.497"/>
    <n v="25602.954999999998"/>
    <n v="0.55400000000000005"/>
    <n v="7159.7820000000002"/>
    <s v="CRITFC"/>
    <n v="6157.5337848601084"/>
    <n v="272901897.34499997"/>
    <n v="6863.7298125000007"/>
    <n v="6157.5337848601084"/>
    <n v="5905.0860000000002"/>
    <n v="0.14958000000000002"/>
    <n v="5.8422943757859208E-6"/>
    <s v="Use Fryer; SIRE = spawning grounds no 53s; Wells = 0.441"/>
  </r>
  <r>
    <s v="Okanagan Sockeye"/>
    <s v="1990s"/>
    <x v="22"/>
    <n v="1997"/>
    <x v="22"/>
    <n v="50557"/>
    <n v="51515"/>
    <n v="51496"/>
    <n v="10659"/>
    <n v="0.24050090252707582"/>
    <n v="14406"/>
    <n v="12389.40399368231"/>
    <n v="10659"/>
    <n v="549098385"/>
    <n v="1.2423565951664563E-3"/>
    <n v="0.24050090252707582"/>
    <n v="0.25014670328380628"/>
    <n v="0.27"/>
    <n v="8.8317539226347677E-2"/>
    <x v="2"/>
    <n v="5"/>
    <x v="0"/>
    <n v="0.14799999999999999"/>
    <n v="7624.2199999999993"/>
    <n v="0.35399999999999998"/>
    <n v="2132.0879999999997"/>
    <s v="CRITFC"/>
    <n v="1833.6317910649818"/>
    <n v="81266560.979999989"/>
    <n v="4385.8490137635372"/>
    <n v="1833.6317910649818"/>
    <n v="3773.2859999999996"/>
    <n v="9.5579999999999998E-2"/>
    <n v="1.2536364375634491E-5"/>
    <s v="Use Fryer; SIRE = spawning grounds no 53s; Wells = 0.160"/>
  </r>
  <r>
    <s v="Okanagan Sockeye"/>
    <s v="2000s"/>
    <x v="22"/>
    <n v="1998"/>
    <x v="24"/>
    <n v="50557"/>
    <n v="51515"/>
    <n v="51496"/>
    <n v="10659"/>
    <n v="0.24050090252707582"/>
    <n v="14406"/>
    <n v="12389.40399368231"/>
    <n v="10659"/>
    <n v="549098385"/>
    <n v="1.2423565951664563E-3"/>
    <n v="0.24050090252707582"/>
    <n v="0.25014670328380628"/>
    <n v="0.27"/>
    <n v="8.8317539226347677E-2"/>
    <x v="3"/>
    <n v="4.0000000000000009"/>
    <x v="1"/>
    <n v="1.2999999999999999E-2"/>
    <n v="669.69499999999994"/>
    <n v="0"/>
    <n v="187.27799999999999"/>
    <s v="CRITFC"/>
    <n v="161.06225191787001"/>
    <n v="7138279.0049999999"/>
    <n v="0"/>
    <n v="161.06225191787001"/>
    <n v="0"/>
    <n v="0"/>
    <n v="0"/>
    <s v="Use Fryer; SIRE = spawning grounds no 53s; Wells = 0.015"/>
  </r>
  <r>
    <s v="Okanagan Sockeye"/>
    <s v="2000s"/>
    <x v="22"/>
    <n v="1997"/>
    <x v="23"/>
    <n v="50557"/>
    <n v="51515"/>
    <n v="51496"/>
    <n v="10659"/>
    <n v="0.24050090252707582"/>
    <n v="14406"/>
    <n v="12389.40399368231"/>
    <n v="10659"/>
    <n v="549098385"/>
    <n v="1.2423565951664563E-3"/>
    <n v="0.24050090252707582"/>
    <n v="0.25014670328380628"/>
    <n v="0.27"/>
    <n v="8.8317539226347677E-2"/>
    <x v="4"/>
    <n v="5.0000000000000018"/>
    <x v="1"/>
    <n v="0.221"/>
    <n v="11384.815000000001"/>
    <n v="0"/>
    <n v="3183.7260000000001"/>
    <s v="CRITFC"/>
    <n v="2738.0582826037908"/>
    <n v="121350743.08500001"/>
    <n v="0"/>
    <n v="2738.0582826037908"/>
    <n v="0"/>
    <n v="0"/>
    <n v="0"/>
    <s v="Use Fryer; SIRE = spawning grounds no 53s; Wells = 0.236"/>
  </r>
  <r>
    <s v="Okanagan Sockeye"/>
    <s v="1990s"/>
    <x v="22"/>
    <n v="1996"/>
    <x v="22"/>
    <n v="50557"/>
    <n v="51515"/>
    <n v="51496"/>
    <n v="10659"/>
    <n v="0.24050090252707582"/>
    <n v="14406"/>
    <n v="12389.40399368231"/>
    <n v="10659"/>
    <n v="549098385"/>
    <n v="1.2423565951664563E-3"/>
    <n v="0.24050090252707582"/>
    <n v="0.25014670328380628"/>
    <n v="0.27"/>
    <n v="8.8317539226347677E-2"/>
    <x v="5"/>
    <n v="5.9999999999999982"/>
    <x v="1"/>
    <n v="0.10100000000000001"/>
    <n v="5203.0150000000003"/>
    <m/>
    <n v="1455.0060000000001"/>
    <s v="CRITFC"/>
    <n v="1251.3298033619135"/>
    <n v="55458936.885000005"/>
    <n v="0"/>
    <n v="1251.3298033619135"/>
    <m/>
    <m/>
    <m/>
    <m/>
  </r>
  <r>
    <s v="Okanagan Sockeye"/>
    <s v="2000s"/>
    <x v="23"/>
    <n v="2000"/>
    <x v="25"/>
    <n v="39291"/>
    <n v="40728"/>
    <n v="40728"/>
    <n v="29374"/>
    <n v="0.84459012622559593"/>
    <n v="34992"/>
    <n v="34398.46666091607"/>
    <n v="29374"/>
    <n v="1196344272"/>
    <n v="9.8212531919072868E-4"/>
    <n v="0.84459012622559593"/>
    <n v="0.87278693528693529"/>
    <n v="0.84000000000000008"/>
    <n v="0.11832154782950305"/>
    <x v="0"/>
    <n v="3.0000000000000009"/>
    <x v="0"/>
    <n v="0.27400000000000002"/>
    <n v="11159.472000000002"/>
    <n v="0.27"/>
    <n v="9587.8080000000009"/>
    <s v="CRITFC"/>
    <n v="9425.1798650910041"/>
    <n v="327798330.528"/>
    <n v="9287.5859984473391"/>
    <n v="9425.1798650910041"/>
    <n v="7930.9800000000005"/>
    <n v="0.22680000000000003"/>
    <n v="2.0323542189092819E-5"/>
    <s v="SIRE = Broodstock (hatchery highgrading?), use Fryer"/>
  </r>
  <r>
    <s v="Okanagan Sockeye"/>
    <s v="2000s"/>
    <x v="23"/>
    <n v="1999"/>
    <x v="24"/>
    <n v="39291"/>
    <n v="40728"/>
    <n v="40728"/>
    <n v="29374"/>
    <n v="0.84459012622559593"/>
    <n v="34992"/>
    <n v="34398.46666091607"/>
    <n v="29374"/>
    <n v="1196344272"/>
    <n v="9.8212531919072868E-4"/>
    <n v="0.84459012622559593"/>
    <n v="0.87278693528693529"/>
    <n v="0.84000000000000008"/>
    <n v="0.11832154782950305"/>
    <x v="1"/>
    <n v="3.9999999999999996"/>
    <x v="0"/>
    <n v="0.49"/>
    <n v="19956.72"/>
    <n v="0.51700000000000002"/>
    <n v="17146.079999999998"/>
    <s v="CRITFC"/>
    <n v="16855.248663848874"/>
    <n v="586208693.27999997"/>
    <n v="17784.007263693609"/>
    <n v="16855.248663848874"/>
    <n v="15186.358"/>
    <n v="0.43428000000000005"/>
    <n v="2.1761091000926006E-5"/>
    <m/>
  </r>
  <r>
    <s v="Okanagan Sockeye"/>
    <s v="2000s"/>
    <x v="23"/>
    <n v="1998"/>
    <x v="23"/>
    <n v="39291"/>
    <n v="40728"/>
    <n v="40728"/>
    <n v="29374"/>
    <n v="0.84459012622559593"/>
    <n v="34992"/>
    <n v="34398.46666091607"/>
    <n v="29374"/>
    <n v="1196344272"/>
    <n v="9.8212531919072868E-4"/>
    <n v="0.84459012622559593"/>
    <n v="0.87278693528693529"/>
    <n v="0.84000000000000008"/>
    <n v="0.11832154782950305"/>
    <x v="2"/>
    <n v="5"/>
    <x v="0"/>
    <n v="1.9E-2"/>
    <n v="773.83199999999999"/>
    <n v="0.125"/>
    <n v="664.84799999999996"/>
    <s v="CRITFC"/>
    <n v="653.57086655740534"/>
    <n v="22730541.167999998"/>
    <n v="4299.8083326145088"/>
    <n v="653.57086655740534"/>
    <n v="3671.75"/>
    <n v="0.10500000000000001"/>
    <n v="1.3568836646714018E-4"/>
    <s v="Fryer age 1.3 comp (0.4%) is quite low relative to spawning ground data; Fryer age comp only adds up to 98.5%, so adding 1.5% to age 1.3 composition [2022-10-30]"/>
  </r>
  <r>
    <s v="Okanagan Sockeye"/>
    <s v="2000s"/>
    <x v="23"/>
    <n v="1999"/>
    <x v="25"/>
    <n v="39291"/>
    <n v="40728"/>
    <n v="40728"/>
    <n v="29374"/>
    <n v="0.84459012622559593"/>
    <n v="34992"/>
    <n v="34398.46666091607"/>
    <n v="29374"/>
    <n v="1196344272"/>
    <n v="9.8212531919072868E-4"/>
    <n v="0.84459012622559593"/>
    <n v="0.87278693528693529"/>
    <n v="0.84000000000000008"/>
    <n v="0.11832154782950305"/>
    <x v="3"/>
    <n v="4.0000000000000009"/>
    <x v="1"/>
    <n v="5.2999999999999999E-2"/>
    <n v="2158.5839999999998"/>
    <n v="5.0999999999999997E-2"/>
    <n v="1854.576"/>
    <s v="CRITFC"/>
    <n v="1823.1187330285518"/>
    <n v="63406246.416000001"/>
    <n v="1754.3217997067195"/>
    <n v="1823.1187330285518"/>
    <n v="1498.0739999999998"/>
    <n v="4.2840000000000003E-2"/>
    <n v="1.9846343714212653E-5"/>
    <m/>
  </r>
  <r>
    <s v="Okanagan Sockeye"/>
    <s v="2000s"/>
    <x v="23"/>
    <n v="1998"/>
    <x v="24"/>
    <n v="39291"/>
    <n v="40728"/>
    <n v="40728"/>
    <n v="29374"/>
    <n v="0.84459012622559593"/>
    <n v="34992"/>
    <n v="34398.46666091607"/>
    <n v="29374"/>
    <n v="1196344272"/>
    <n v="9.8212531919072868E-4"/>
    <n v="0.84459012622559593"/>
    <n v="0.87278693528693529"/>
    <n v="0.84000000000000008"/>
    <n v="0.11832154782950305"/>
    <x v="4"/>
    <n v="5.0000000000000018"/>
    <x v="1"/>
    <n v="8.0000000000000002E-3"/>
    <n v="325.82400000000001"/>
    <n v="0"/>
    <n v="279.93599999999998"/>
    <s v="CRITFC"/>
    <n v="275.18773328732857"/>
    <n v="9570754.1760000009"/>
    <n v="0"/>
    <n v="275.18773328732857"/>
    <n v="0"/>
    <n v="0"/>
    <n v="0"/>
    <m/>
  </r>
  <r>
    <s v="Okanagan Sockeye"/>
    <s v="2000s"/>
    <x v="23"/>
    <n v="1997"/>
    <x v="23"/>
    <n v="39291"/>
    <n v="40728"/>
    <n v="40728"/>
    <n v="29374"/>
    <n v="0.84459012622559593"/>
    <n v="34992"/>
    <n v="34398.46666091607"/>
    <n v="29374"/>
    <n v="1196344272"/>
    <n v="9.8212531919072868E-4"/>
    <n v="0.84459012622559593"/>
    <n v="0.87278693528693529"/>
    <n v="0.84000000000000008"/>
    <n v="0.11832154782950305"/>
    <x v="5"/>
    <n v="5.9999999999999982"/>
    <x v="1"/>
    <n v="8.9999999999999993E-3"/>
    <n v="366.55199999999996"/>
    <m/>
    <n v="314.928"/>
    <s v="CRITFC"/>
    <n v="309.5861999482446"/>
    <n v="10767098.447999999"/>
    <n v="0"/>
    <n v="309.5861999482446"/>
    <n v="0"/>
    <n v="0"/>
    <n v="0"/>
    <s v="check age comp for 2003 with Jeff? DONE [10/21/2020]"/>
  </r>
  <r>
    <s v="Okanagan Sockeye"/>
    <s v="2000s"/>
    <x v="23"/>
    <n v="1998"/>
    <x v="25"/>
    <n v="39291"/>
    <n v="40728"/>
    <n v="40728"/>
    <n v="29374"/>
    <n v="0.84459012622559593"/>
    <n v="34992"/>
    <n v="34398.46666091607"/>
    <n v="29374"/>
    <n v="1196344272"/>
    <n v="9.8212531919072868E-4"/>
    <n v="0.84459012622559593"/>
    <n v="0.87278693528693529"/>
    <n v="0.84000000000000008"/>
    <n v="0.11832154782950305"/>
    <x v="6"/>
    <n v="5.0000000000000009"/>
    <x v="2"/>
    <n v="6.9999999999999993E-2"/>
    <n v="2850.9599999999996"/>
    <m/>
    <n v="2449.4399999999996"/>
    <s v="CRITFC"/>
    <n v="2407.8926662641247"/>
    <n v="83744099.039999992"/>
    <n v="0"/>
    <n v="2407.8926662641247"/>
    <n v="0"/>
    <n v="0"/>
    <n v="0"/>
    <m/>
  </r>
  <r>
    <s v="Okanagan Sockeye"/>
    <s v="2000s"/>
    <x v="23"/>
    <n v="1997"/>
    <x v="24"/>
    <n v="39291"/>
    <n v="40728"/>
    <n v="40728"/>
    <n v="29374"/>
    <n v="0.84459012622559593"/>
    <n v="34992"/>
    <n v="34398.46666091607"/>
    <n v="29374"/>
    <n v="1196344272"/>
    <n v="9.8212531919072868E-4"/>
    <n v="0.84459012622559593"/>
    <n v="0.87278693528693529"/>
    <n v="0.84000000000000008"/>
    <n v="0.11832154782950305"/>
    <x v="7"/>
    <n v="6.0000000000000018"/>
    <x v="2"/>
    <n v="2.8000000000000001E-2"/>
    <n v="1140.384"/>
    <m/>
    <n v="979.77600000000007"/>
    <s v="CRITFC"/>
    <n v="963.15706650564994"/>
    <n v="33497639.616"/>
    <n v="0"/>
    <n v="963.15706650564994"/>
    <m/>
    <n v="0"/>
    <m/>
    <s v="a lot of older fish"/>
  </r>
  <r>
    <s v="Okanagan Sockeye"/>
    <s v="2000s"/>
    <x v="23"/>
    <n v="1996"/>
    <x v="23"/>
    <n v="39291"/>
    <n v="40728"/>
    <n v="40728"/>
    <n v="29374"/>
    <n v="0.84459012622559593"/>
    <n v="34992"/>
    <n v="34398.46666091607"/>
    <n v="29374"/>
    <n v="1196344272"/>
    <n v="9.8212531919072868E-4"/>
    <n v="0.84459012622559593"/>
    <n v="0.87278693528693529"/>
    <n v="0.84000000000000008"/>
    <n v="0.11832154782950305"/>
    <x v="8"/>
    <n v="6.9999999999999982"/>
    <x v="2"/>
    <n v="1E-3"/>
    <n v="40.728000000000002"/>
    <m/>
    <n v="34.991999999999997"/>
    <s v="CRITFC"/>
    <n v="34.398466660916071"/>
    <n v="1196344.2720000001"/>
    <n v="0"/>
    <n v="34.398466660916071"/>
    <m/>
    <n v="0"/>
    <m/>
    <m/>
  </r>
  <r>
    <s v="Okanagan Sockeye"/>
    <s v="2000s"/>
    <x v="23"/>
    <n v="1997"/>
    <x v="25"/>
    <n v="39291"/>
    <n v="40728"/>
    <n v="40728"/>
    <n v="29374"/>
    <n v="0.84459012622559593"/>
    <n v="34992"/>
    <n v="34398.46666091607"/>
    <n v="29374"/>
    <n v="1196344272"/>
    <n v="9.8212531919072868E-4"/>
    <n v="0.84459012622559593"/>
    <n v="0.87278693528693529"/>
    <n v="0.84000000000000008"/>
    <n v="0.11832154782950305"/>
    <x v="9"/>
    <n v="5.9999999999999964"/>
    <x v="3"/>
    <n v="4.8000000000000001E-2"/>
    <n v="1954.944"/>
    <m/>
    <n v="1679.616"/>
    <s v="CRITFC"/>
    <n v="1651.1263997239714"/>
    <n v="57424525.056000002"/>
    <n v="0"/>
    <n v="1651.1263997239714"/>
    <m/>
    <n v="0"/>
    <m/>
    <m/>
  </r>
  <r>
    <s v="Okanagan Sockeye"/>
    <s v="2000s"/>
    <x v="24"/>
    <n v="2001"/>
    <x v="26"/>
    <n v="130231"/>
    <n v="129057"/>
    <n v="128385"/>
    <n v="78053"/>
    <n v="0.73175144844655282"/>
    <n v="91547"/>
    <n v="94437.646682166771"/>
    <n v="78053"/>
    <n v="10073286021"/>
    <n v="9.1432467824294694E-4"/>
    <n v="0.73175144844655282"/>
    <n v="0.75366728328952071"/>
    <n v="0.77000000000000013"/>
    <n v="0.13462631927405849"/>
    <x v="0"/>
    <n v="3.0000000000000009"/>
    <x v="0"/>
    <n v="3.1E-2"/>
    <n v="4000.7669999999998"/>
    <n v="2.6365348399246705E-2"/>
    <n v="2837.9569999999999"/>
    <s v="CRITFC"/>
    <n v="2927.5670471471699"/>
    <n v="312271866.65100002"/>
    <n v="2489.8814567802915"/>
    <n v="2927.5670471471699"/>
    <n v="2057.8945386064029"/>
    <n v="2.0301318267419967E-2"/>
    <n v="5.0743565589848065E-6"/>
    <s v="SIRE = broodstock?  Wells = 0.016, Use Fryer"/>
  </r>
  <r>
    <s v="Okanagan Sockeye"/>
    <s v="2000s"/>
    <x v="24"/>
    <n v="2000"/>
    <x v="25"/>
    <n v="130231"/>
    <n v="129057"/>
    <n v="128385"/>
    <n v="78053"/>
    <n v="0.73175144844655282"/>
    <n v="91547"/>
    <n v="94437.646682166771"/>
    <n v="78053"/>
    <n v="10073286021"/>
    <n v="9.1432467824294694E-4"/>
    <n v="0.73175144844655282"/>
    <n v="0.75366728328952071"/>
    <n v="0.77000000000000013"/>
    <n v="0.13462631927405849"/>
    <x v="1"/>
    <n v="3.9999999999999996"/>
    <x v="0"/>
    <n v="0.93400000000000005"/>
    <n v="120539.23800000001"/>
    <n v="0.95291902071563084"/>
    <n v="85504.898000000001"/>
    <s v="CRITFC"/>
    <n v="88204.762001143768"/>
    <n v="9408449143.6140003"/>
    <n v="89991.429795059099"/>
    <n v="88204.762001143768"/>
    <n v="74378.188323917129"/>
    <n v="0.73374764595103592"/>
    <n v="6.0872099253774593E-6"/>
    <s v="broodstock; Wells = 0.951"/>
  </r>
  <r>
    <s v="Okanagan Sockeye"/>
    <s v="2000s"/>
    <x v="24"/>
    <n v="1999"/>
    <x v="24"/>
    <n v="130231"/>
    <n v="129057"/>
    <n v="128385"/>
    <n v="78053"/>
    <n v="0.73175144844655282"/>
    <n v="91547"/>
    <n v="94437.646682166771"/>
    <n v="78053"/>
    <n v="10073286021"/>
    <n v="9.1432467824294694E-4"/>
    <n v="0.73175144844655282"/>
    <n v="0.75366728328952071"/>
    <n v="0.77000000000000013"/>
    <n v="0.13462631927405849"/>
    <x v="2"/>
    <n v="5"/>
    <x v="0"/>
    <n v="0"/>
    <n v="0"/>
    <n v="1.8832391713747645E-2"/>
    <n v="0"/>
    <s v="CRITFC"/>
    <n v="0"/>
    <n v="0"/>
    <n v="1778.4867548430652"/>
    <n v="0"/>
    <n v="1469.9246704331449"/>
    <n v="1.4500941619585688E-2"/>
    <n v="0"/>
    <s v="broodstock; Wells = na"/>
  </r>
  <r>
    <s v="Okanagan Sockeye"/>
    <s v="2000s"/>
    <x v="24"/>
    <n v="2000"/>
    <x v="26"/>
    <n v="130231"/>
    <n v="129057"/>
    <n v="128385"/>
    <n v="78053"/>
    <n v="0.73175144844655282"/>
    <n v="91547"/>
    <n v="94437.646682166771"/>
    <n v="78053"/>
    <n v="10073286021"/>
    <n v="9.1432467824294694E-4"/>
    <n v="0.73175144844655282"/>
    <n v="0.75366728328952071"/>
    <n v="0.77000000000000013"/>
    <n v="0.13462631927405849"/>
    <x v="3"/>
    <n v="4.0000000000000009"/>
    <x v="1"/>
    <n v="3.0000000000000001E-3"/>
    <n v="387.17099999999999"/>
    <n v="0"/>
    <n v="274.64100000000002"/>
    <s v="CRITFC"/>
    <n v="283.31294004650033"/>
    <n v="30219858.063000001"/>
    <n v="0"/>
    <n v="283.31294004650033"/>
    <n v="0"/>
    <n v="0"/>
    <n v="0"/>
    <s v="broodstock; Wells = 0.001"/>
  </r>
  <r>
    <s v="Okanagan Sockeye"/>
    <s v="2000s"/>
    <x v="24"/>
    <n v="1999"/>
    <x v="25"/>
    <n v="130231"/>
    <n v="129057"/>
    <n v="128385"/>
    <n v="78053"/>
    <n v="0.73175144844655282"/>
    <n v="91547"/>
    <n v="94437.646682166771"/>
    <n v="78053"/>
    <n v="10073286021"/>
    <n v="9.1432467824294694E-4"/>
    <n v="0.73175144844655282"/>
    <n v="0.75366728328952071"/>
    <n v="0.77000000000000013"/>
    <n v="0.13462631927405849"/>
    <x v="4"/>
    <n v="5.0000000000000018"/>
    <x v="1"/>
    <n v="1.4999999999999999E-2"/>
    <n v="1935.855"/>
    <n v="1.8832391713747645E-3"/>
    <n v="1373.2049999999999"/>
    <s v="CRITFC"/>
    <n v="1416.5647002325015"/>
    <n v="151099290.315"/>
    <n v="177.84867548430654"/>
    <n v="1416.5647002325015"/>
    <n v="146.99246704331449"/>
    <n v="1.4500941619585688E-3"/>
    <n v="7.4907168251680459E-7"/>
    <s v="broodstock; Wells = 0.017"/>
  </r>
  <r>
    <s v="Okanagan Sockeye"/>
    <s v="2000s"/>
    <x v="24"/>
    <n v="1998"/>
    <x v="24"/>
    <n v="130231"/>
    <n v="129057"/>
    <n v="128385"/>
    <n v="78053"/>
    <n v="0.73175144844655282"/>
    <n v="91547"/>
    <n v="94437.646682166771"/>
    <n v="78053"/>
    <n v="10073286021"/>
    <n v="9.1432467824294694E-4"/>
    <n v="0.73175144844655282"/>
    <n v="0.75366728328952071"/>
    <n v="0.77000000000000013"/>
    <n v="0.13462631927405849"/>
    <x v="5"/>
    <n v="5.9999999999999982"/>
    <x v="1"/>
    <n v="0"/>
    <n v="0"/>
    <m/>
    <n v="0"/>
    <s v="CRITFC"/>
    <n v="0"/>
    <n v="0"/>
    <n v="0"/>
    <n v="0"/>
    <m/>
    <m/>
    <m/>
    <m/>
  </r>
  <r>
    <s v="Okanagan Sockeye"/>
    <s v="2000s"/>
    <x v="24"/>
    <n v="1999"/>
    <x v="26"/>
    <n v="130231"/>
    <n v="129057"/>
    <n v="128385"/>
    <n v="78053"/>
    <n v="0.73175144844655282"/>
    <n v="91547"/>
    <n v="94437.646682166771"/>
    <n v="78053"/>
    <n v="10073286021"/>
    <n v="9.1432467824294694E-4"/>
    <n v="0.73175144844655282"/>
    <n v="0.75366728328952071"/>
    <n v="0.77000000000000013"/>
    <n v="0.13462631927405849"/>
    <x v="6"/>
    <n v="5.0000000000000009"/>
    <x v="2"/>
    <n v="1.7999999999999999E-2"/>
    <n v="2323.0259999999998"/>
    <m/>
    <n v="1647.8459999999998"/>
    <s v="CRITFC"/>
    <n v="1699.8776402790018"/>
    <n v="181319148.37799999"/>
    <n v="0"/>
    <n v="1699.8776402790018"/>
    <m/>
    <m/>
    <m/>
    <m/>
  </r>
  <r>
    <s v="Okanagan Sockeye"/>
    <s v="2000s"/>
    <x v="25"/>
    <n v="2002"/>
    <x v="27"/>
    <n v="77399"/>
    <n v="75878"/>
    <n v="75874"/>
    <n v="55559"/>
    <n v="0.78003818830202454"/>
    <n v="59170"/>
    <n v="59187.73765198102"/>
    <n v="55559"/>
    <n v="4215705802"/>
    <n v="2.504019610427265E-4"/>
    <n v="0.78003818830202454"/>
    <n v="0.78290130693413229"/>
    <n v="0.78000000000000014"/>
    <n v="2.4553865619316235E-2"/>
    <x v="0"/>
    <n v="3.0000000000000009"/>
    <x v="0"/>
    <n v="1.4999999999999999E-2"/>
    <n v="1138.1699999999998"/>
    <n v="1.4999999999999999E-2"/>
    <n v="887.55"/>
    <s v="CRITFC"/>
    <n v="887.81606477971525"/>
    <n v="63235587.030000001"/>
    <n v="887.81606477971525"/>
    <n v="887.81606477971525"/>
    <n v="833.38499999999999"/>
    <n v="1.1700000000000002E-2"/>
    <n v="1.0279659453332986E-5"/>
    <s v="broodstock: Wells = 0.015"/>
  </r>
  <r>
    <s v="Okanagan Sockeye"/>
    <s v="2000s"/>
    <x v="25"/>
    <n v="2001"/>
    <x v="26"/>
    <n v="77399"/>
    <n v="75878"/>
    <n v="75874"/>
    <n v="55559"/>
    <n v="0.78003818830202454"/>
    <n v="59170"/>
    <n v="59187.73765198102"/>
    <n v="55559"/>
    <n v="4215705802"/>
    <n v="2.504019610427265E-4"/>
    <n v="0.78003818830202454"/>
    <n v="0.78290130693413229"/>
    <n v="0.78000000000000014"/>
    <n v="2.4553865619316235E-2"/>
    <x v="1"/>
    <n v="3.9999999999999996"/>
    <x v="0"/>
    <n v="0.89100000000000001"/>
    <n v="67607.297999999995"/>
    <n v="0.88700000000000001"/>
    <n v="52720.47"/>
    <s v="CRITFC"/>
    <n v="52736.274247915091"/>
    <n v="3756193869.5820003"/>
    <n v="52499.523297307169"/>
    <n v="52736.274247915091"/>
    <n v="49280.832999999999"/>
    <n v="0.69186000000000014"/>
    <n v="1.0233510589344957E-5"/>
    <s v="broodstock; Wells = 0.887"/>
  </r>
  <r>
    <s v="Okanagan Sockeye"/>
    <s v="2000s"/>
    <x v="25"/>
    <n v="2000"/>
    <x v="25"/>
    <n v="77399"/>
    <n v="75878"/>
    <n v="75874"/>
    <n v="55559"/>
    <n v="0.78003818830202454"/>
    <n v="59170"/>
    <n v="59187.73765198102"/>
    <n v="55559"/>
    <n v="4215705802"/>
    <n v="2.504019610427265E-4"/>
    <n v="0.78003818830202454"/>
    <n v="0.78290130693413229"/>
    <n v="0.78000000000000014"/>
    <n v="2.4553865619316235E-2"/>
    <x v="2"/>
    <n v="5"/>
    <x v="0"/>
    <n v="3.9E-2"/>
    <n v="2959.2420000000002"/>
    <n v="3.9E-2"/>
    <n v="2307.63"/>
    <s v="CRITFC"/>
    <n v="2308.3217684272599"/>
    <n v="164412526.278"/>
    <n v="2308.3217684272599"/>
    <n v="2308.3217684272599"/>
    <n v="2166.8009999999999"/>
    <n v="3.0420000000000006E-2"/>
    <n v="1.0279659453332984E-5"/>
    <s v="broodstock; Wells = 0.039"/>
  </r>
  <r>
    <s v="Okanagan Sockeye"/>
    <s v="2000s"/>
    <x v="25"/>
    <n v="2001"/>
    <x v="27"/>
    <n v="77399"/>
    <n v="75878"/>
    <n v="75874"/>
    <n v="55559"/>
    <n v="0.78003818830202454"/>
    <n v="59170"/>
    <n v="59187.73765198102"/>
    <n v="55559"/>
    <n v="4215705802"/>
    <n v="2.504019610427265E-4"/>
    <n v="0.78003818830202454"/>
    <n v="0.78290130693413229"/>
    <n v="0.78000000000000014"/>
    <n v="2.4553865619316235E-2"/>
    <x v="3"/>
    <n v="4.0000000000000009"/>
    <x v="1"/>
    <n v="2.3E-2"/>
    <n v="1745.194"/>
    <n v="2.3E-2"/>
    <n v="1360.91"/>
    <s v="CRITFC"/>
    <n v="1361.3179659955636"/>
    <n v="96961233.445999995"/>
    <n v="1361.3179659955636"/>
    <n v="1361.3179659955636"/>
    <n v="1277.857"/>
    <n v="1.7940000000000005E-2"/>
    <n v="1.0279659453332984E-5"/>
    <s v="broodstock; Wells = 0.023"/>
  </r>
  <r>
    <s v="Okanagan Sockeye"/>
    <s v="2000s"/>
    <x v="25"/>
    <n v="2000"/>
    <x v="26"/>
    <n v="77399"/>
    <n v="75878"/>
    <n v="75874"/>
    <n v="55559"/>
    <n v="0.78003818830202454"/>
    <n v="59170"/>
    <n v="59187.73765198102"/>
    <n v="55559"/>
    <n v="4215705802"/>
    <n v="2.504019610427265E-4"/>
    <n v="0.78003818830202454"/>
    <n v="0.78290130693413229"/>
    <n v="0.78000000000000014"/>
    <n v="2.4553865619316235E-2"/>
    <x v="4"/>
    <n v="5.0000000000000018"/>
    <x v="1"/>
    <n v="1.9E-2"/>
    <n v="1441.682"/>
    <n v="2.3E-2"/>
    <n v="1124.23"/>
    <s v="CRITFC"/>
    <n v="1124.5670153876395"/>
    <n v="80098410.237999991"/>
    <n v="1361.3179659955636"/>
    <n v="1124.5670153876395"/>
    <n v="1277.857"/>
    <n v="1.7940000000000005E-2"/>
    <n v="1.2443798285613613E-5"/>
    <s v="broodstock; Wells = 0.023"/>
  </r>
  <r>
    <s v="Okanagan Sockeye"/>
    <s v="2000s"/>
    <x v="25"/>
    <n v="1999"/>
    <x v="25"/>
    <n v="77399"/>
    <n v="75878"/>
    <n v="75874"/>
    <n v="55559"/>
    <n v="0.78003818830202454"/>
    <n v="59170"/>
    <n v="59187.73765198102"/>
    <n v="55559"/>
    <n v="4215705802"/>
    <n v="2.504019610427265E-4"/>
    <n v="0.78003818830202454"/>
    <n v="0.78290130693413229"/>
    <n v="0.78000000000000014"/>
    <n v="2.4553865619316235E-2"/>
    <x v="5"/>
    <n v="5.9999999999999982"/>
    <x v="1"/>
    <n v="1.4E-2"/>
    <n v="1062.2919999999999"/>
    <m/>
    <n v="828.38"/>
    <s v="CRITFC"/>
    <n v="828.62832712773434"/>
    <n v="59019881.228"/>
    <n v="0"/>
    <n v="828.62832712773434"/>
    <n v="0"/>
    <n v="0"/>
    <n v="0"/>
    <m/>
  </r>
  <r>
    <s v="Okanagan Sockeye"/>
    <s v="2000s"/>
    <x v="26"/>
    <n v="2003"/>
    <x v="28"/>
    <n v="37067"/>
    <n v="38407"/>
    <n v="38406"/>
    <n v="22075"/>
    <n v="0.62834452920414441"/>
    <n v="27616"/>
    <n v="24132.828333143574"/>
    <n v="22075"/>
    <n v="847834525"/>
    <n v="1.3278829380060926E-3"/>
    <n v="0.62834452920414441"/>
    <n v="0.72233291586018444"/>
    <n v="0.72799999999999987"/>
    <n v="4.2363172420975891E-2"/>
    <x v="0"/>
    <n v="3.0000000000000009"/>
    <x v="0"/>
    <n v="8.0000000000000002E-3"/>
    <n v="307.25600000000003"/>
    <n v="2.3809523809523812E-3"/>
    <n v="65.75238095238096"/>
    <s v="SiRE"/>
    <n v="193.0626266651486"/>
    <n v="6782676.2000000002"/>
    <n v="57.459115078913278"/>
    <n v="57.459115078913278"/>
    <n v="52.559523809523817"/>
    <n v="1.7333333333333333E-3"/>
    <n v="5.6413327431631381E-6"/>
    <s v="CNAT - deadpitch ages &lt;-- use"/>
  </r>
  <r>
    <s v="Okanagan Sockeye"/>
    <s v="2000s"/>
    <x v="26"/>
    <n v="2002"/>
    <x v="27"/>
    <n v="37067"/>
    <n v="38407"/>
    <n v="38406"/>
    <n v="22075"/>
    <n v="0.62834452920414441"/>
    <n v="27616"/>
    <n v="24132.828333143574"/>
    <n v="22075"/>
    <n v="847834525"/>
    <n v="1.3278829380060926E-3"/>
    <n v="0.62834452920414441"/>
    <n v="0.72233291586018444"/>
    <n v="0.72799999999999987"/>
    <n v="4.2363172420975891E-2"/>
    <x v="1"/>
    <n v="3.9999999999999996"/>
    <x v="0"/>
    <n v="0.72399999999999998"/>
    <n v="27806.667999999998"/>
    <n v="0.8833333333333333"/>
    <n v="24394.133333333331"/>
    <s v="SiRE"/>
    <n v="17472.167713195948"/>
    <n v="613832196.10000002"/>
    <n v="21317.331694276822"/>
    <n v="21317.331694276822"/>
    <n v="19499.583333333332"/>
    <n v="0.64306666666666656"/>
    <n v="2.3126347488547229E-5"/>
    <s v="CNAT - deadpitch ages"/>
  </r>
  <r>
    <s v="Okanagan Sockeye"/>
    <s v="2000s"/>
    <x v="26"/>
    <n v="2001"/>
    <x v="26"/>
    <n v="37067"/>
    <n v="38407"/>
    <n v="38406"/>
    <n v="22075"/>
    <n v="0.62834452920414441"/>
    <n v="27616"/>
    <n v="24132.828333143574"/>
    <n v="22075"/>
    <n v="847834525"/>
    <n v="1.3278829380060926E-3"/>
    <n v="0.62834452920414441"/>
    <n v="0.72233291586018444"/>
    <n v="0.72799999999999987"/>
    <n v="4.2363172420975891E-2"/>
    <x v="2"/>
    <n v="5"/>
    <x v="0"/>
    <n v="8.4000000000000005E-2"/>
    <n v="3226.1880000000001"/>
    <n v="0.10952380952380952"/>
    <n v="3024.6095238095236"/>
    <s v="SiRE"/>
    <n v="2027.1575799840602"/>
    <n v="71218100.100000009"/>
    <n v="2643.1192936300104"/>
    <n v="2643.1192936300104"/>
    <n v="2417.7380952380954"/>
    <n v="7.9733333333333323E-2"/>
    <n v="2.4714410112905174E-5"/>
    <s v="CNAT - deadpitch ages"/>
  </r>
  <r>
    <s v="Okanagan Sockeye"/>
    <s v="2000s"/>
    <x v="26"/>
    <n v="2002"/>
    <x v="28"/>
    <n v="37067"/>
    <n v="38407"/>
    <n v="38406"/>
    <n v="22075"/>
    <n v="0.62834452920414441"/>
    <n v="27616"/>
    <n v="24132.828333143574"/>
    <n v="22075"/>
    <n v="847834525"/>
    <n v="1.3278829380060926E-3"/>
    <n v="0.62834452920414441"/>
    <n v="0.72233291586018444"/>
    <n v="0.72799999999999987"/>
    <n v="4.2363172420975891E-2"/>
    <x v="3"/>
    <n v="4.0000000000000009"/>
    <x v="1"/>
    <n v="1.7000000000000001E-2"/>
    <n v="652.9190000000001"/>
    <n v="0"/>
    <n v="0"/>
    <s v="SiRE"/>
    <n v="410.25808166344081"/>
    <n v="14413186.925000001"/>
    <n v="0"/>
    <n v="0"/>
    <n v="0"/>
    <n v="0"/>
    <n v="0"/>
    <s v="CNAT - deadpitch ages"/>
  </r>
  <r>
    <s v="Okanagan Sockeye"/>
    <s v="2000s"/>
    <x v="26"/>
    <n v="2001"/>
    <x v="27"/>
    <n v="37067"/>
    <n v="38407"/>
    <n v="38406"/>
    <n v="22075"/>
    <n v="0.62834452920414441"/>
    <n v="27616"/>
    <n v="24132.828333143574"/>
    <n v="22075"/>
    <n v="847834525"/>
    <n v="1.3278829380060926E-3"/>
    <n v="0.62834452920414441"/>
    <n v="0.72233291586018444"/>
    <n v="0.72799999999999987"/>
    <n v="4.2363172420975891E-2"/>
    <x v="4"/>
    <n v="5.0000000000000018"/>
    <x v="1"/>
    <n v="0.14799999999999999"/>
    <n v="5684.2359999999999"/>
    <n v="4.7619047619047623E-3"/>
    <n v="131.50476190476192"/>
    <s v="SiRE"/>
    <n v="3571.6585933052488"/>
    <n v="125479509.69999999"/>
    <n v="114.91823015782656"/>
    <n v="114.91823015782656"/>
    <n v="105.11904761904763"/>
    <n v="3.4666666666666665E-3"/>
    <n v="6.098738100716907E-7"/>
    <s v="CNAT - deadpitch ages"/>
  </r>
  <r>
    <s v="Okanagan Sockeye"/>
    <s v="2000s"/>
    <x v="26"/>
    <n v="2000"/>
    <x v="26"/>
    <n v="37067"/>
    <n v="38407"/>
    <n v="38406"/>
    <n v="22075"/>
    <n v="0.62834452920414441"/>
    <n v="27616"/>
    <n v="24132.828333143574"/>
    <n v="22075"/>
    <n v="847834525"/>
    <n v="1.3278829380060926E-3"/>
    <n v="0.62834452920414441"/>
    <n v="0.72233291586018444"/>
    <n v="0.72799999999999987"/>
    <n v="4.2363172420975891E-2"/>
    <x v="5"/>
    <n v="5.9999999999999982"/>
    <x v="1"/>
    <n v="2E-3"/>
    <n v="76.814000000000007"/>
    <m/>
    <n v="0"/>
    <s v="SiRE"/>
    <n v="48.26565666628715"/>
    <n v="1695669.05"/>
    <n v="0"/>
    <n v="0"/>
    <m/>
    <m/>
    <m/>
    <m/>
  </r>
  <r>
    <s v="Okanagan Sockeye"/>
    <s v="2000s"/>
    <x v="27"/>
    <n v="2004"/>
    <x v="29"/>
    <n v="26604"/>
    <n v="25164"/>
    <n v="25164"/>
    <n v="22273"/>
    <n v="0.95953691802619823"/>
    <n v="22344"/>
    <n v="24145.787005211252"/>
    <n v="22273"/>
    <n v="560477772"/>
    <n v="2.3048799872834209E-3"/>
    <n v="0.95953691802619823"/>
    <n v="0.82300000000000006"/>
    <n v="0.85299999999999987"/>
    <n v="1.9065382369907159E-2"/>
    <x v="0"/>
    <n v="3.0000000000000009"/>
    <x v="0"/>
    <n v="0.42399999999999999"/>
    <n v="10669.536"/>
    <n v="0.2831168831168831"/>
    <n v="6325.9636363636364"/>
    <s v="SiRE"/>
    <n v="10237.81369020957"/>
    <n v="237642575.32799998"/>
    <n v="6836.0799573195491"/>
    <n v="6836.0799573195491"/>
    <n v="6305.8623376623373"/>
    <n v="0.24149870129870124"/>
    <n v="2.2634414589228739E-5"/>
    <s v="CNAT - deadpitch ages &lt;-- use"/>
  </r>
  <r>
    <s v="Okanagan Sockeye"/>
    <s v="2000s"/>
    <x v="27"/>
    <n v="2003"/>
    <x v="28"/>
    <n v="26604"/>
    <n v="25164"/>
    <n v="25164"/>
    <n v="22273"/>
    <n v="0.95953691802619823"/>
    <n v="22344"/>
    <n v="24145.787005211252"/>
    <n v="22273"/>
    <n v="560477772"/>
    <n v="2.3048799872834209E-3"/>
    <n v="0.95953691802619823"/>
    <n v="0.82300000000000006"/>
    <n v="0.85299999999999987"/>
    <n v="1.9065382369907159E-2"/>
    <x v="1"/>
    <n v="3.9999999999999996"/>
    <x v="0"/>
    <n v="0.38200000000000001"/>
    <n v="9612.648000000001"/>
    <n v="0.51168831168831164"/>
    <n v="11433.163636363635"/>
    <s v="SiRE"/>
    <n v="9223.6906359906989"/>
    <n v="214102508.90400001"/>
    <n v="12355.11698708212"/>
    <n v="12355.11698708212"/>
    <n v="11396.833766233765"/>
    <n v="0.43647012987012979"/>
    <n v="4.5405816365077525E-5"/>
    <s v="CNAT - deadpitch ages"/>
  </r>
  <r>
    <s v="Okanagan Sockeye"/>
    <s v="2000s"/>
    <x v="27"/>
    <n v="2002"/>
    <x v="27"/>
    <n v="26604"/>
    <n v="25164"/>
    <n v="25164"/>
    <n v="22273"/>
    <n v="0.95953691802619823"/>
    <n v="22344"/>
    <n v="24145.787005211252"/>
    <n v="22273"/>
    <n v="560477772"/>
    <n v="2.3048799872834209E-3"/>
    <n v="0.95953691802619823"/>
    <n v="0.82300000000000006"/>
    <n v="0.85299999999999987"/>
    <n v="1.9065382369907159E-2"/>
    <x v="2"/>
    <n v="5"/>
    <x v="0"/>
    <n v="3.2000000000000001E-2"/>
    <n v="805.24800000000005"/>
    <n v="0.12987012987012986"/>
    <n v="2901.8181818181815"/>
    <s v="SiRE"/>
    <n v="772.66518416676013"/>
    <n v="17935288.704"/>
    <n v="3135.8164941832792"/>
    <n v="3135.8164941832792"/>
    <n v="2892.5974025974024"/>
    <n v="0.11077922077922076"/>
    <n v="1.3757155656297283E-4"/>
    <s v="CNAT - deadpitch ages"/>
  </r>
  <r>
    <s v="Okanagan Sockeye"/>
    <s v="2000s"/>
    <x v="27"/>
    <n v="2003"/>
    <x v="29"/>
    <n v="26604"/>
    <n v="25164"/>
    <n v="25164"/>
    <n v="22273"/>
    <n v="0.95953691802619823"/>
    <n v="22344"/>
    <n v="24145.787005211252"/>
    <n v="22273"/>
    <n v="560477772"/>
    <n v="2.3048799872834209E-3"/>
    <n v="0.95953691802619823"/>
    <n v="0.82300000000000006"/>
    <n v="0.85299999999999987"/>
    <n v="1.9065382369907159E-2"/>
    <x v="3"/>
    <n v="4.0000000000000009"/>
    <x v="1"/>
    <n v="5.8000000000000003E-2"/>
    <n v="1459.5120000000002"/>
    <n v="6.4935064935064901E-2"/>
    <n v="1450.9090909090901"/>
    <s v="SiRE"/>
    <n v="1400.4556463022527"/>
    <n v="32507710.776000001"/>
    <n v="1567.9082470916389"/>
    <n v="1567.9082470916389"/>
    <n v="1446.2987012987005"/>
    <n v="5.538961038961035E-2"/>
    <n v="3.7950774224268349E-5"/>
    <s v="CNAT - deadpitch ages"/>
  </r>
  <r>
    <s v="Okanagan Sockeye"/>
    <s v="2000s"/>
    <x v="27"/>
    <n v="2002"/>
    <x v="28"/>
    <n v="26604"/>
    <n v="25164"/>
    <n v="25164"/>
    <n v="22273"/>
    <n v="0.95953691802619823"/>
    <n v="22344"/>
    <n v="24145.787005211252"/>
    <n v="22273"/>
    <n v="560477772"/>
    <n v="2.3048799872834209E-3"/>
    <n v="0.95953691802619823"/>
    <n v="0.82300000000000006"/>
    <n v="0.85299999999999987"/>
    <n v="1.9065382369907159E-2"/>
    <x v="4"/>
    <n v="5.0000000000000018"/>
    <x v="1"/>
    <n v="9.2999999999999999E-2"/>
    <n v="2340.252"/>
    <n v="1.038961038961039E-2"/>
    <n v="232.14545454545456"/>
    <s v="SiRE"/>
    <n v="2245.5581914846466"/>
    <n v="52124432.795999996"/>
    <n v="250.86531953466235"/>
    <n v="250.86531953466235"/>
    <n v="231.4077922077922"/>
    <n v="8.8623376623376618E-3"/>
    <n v="3.7869159656044142E-6"/>
    <s v="CNAT - deadpitch ages"/>
  </r>
  <r>
    <s v="Okanagan Sockeye"/>
    <s v="2000s"/>
    <x v="27"/>
    <n v="2001"/>
    <x v="27"/>
    <n v="26604"/>
    <n v="25164"/>
    <n v="25164"/>
    <n v="22273"/>
    <n v="0.95953691802619823"/>
    <n v="22344"/>
    <n v="24145.787005211252"/>
    <n v="22273"/>
    <n v="560477772"/>
    <n v="2.3048799872834209E-3"/>
    <n v="0.95953691802619823"/>
    <n v="0.82300000000000006"/>
    <n v="0.85299999999999987"/>
    <n v="1.9065382369907159E-2"/>
    <x v="5"/>
    <n v="5.9999999999999982"/>
    <x v="1"/>
    <n v="1.0999999999999999E-2"/>
    <n v="276.80399999999997"/>
    <m/>
    <n v="0"/>
    <s v="SiRE"/>
    <n v="265.60365705732374"/>
    <n v="6165255.4919999996"/>
    <n v="0"/>
    <n v="0"/>
    <m/>
    <m/>
    <m/>
    <m/>
  </r>
  <r>
    <s v="Okanagan Sockeye"/>
    <s v="2000s"/>
    <x v="28"/>
    <n v="2005"/>
    <x v="30"/>
    <n v="214465"/>
    <n v="225383"/>
    <n v="224525"/>
    <n v="165334"/>
    <n v="0.85338522445145271"/>
    <n v="190819"/>
    <n v="192338.52204254176"/>
    <n v="165334"/>
    <n v="37263472922"/>
    <n v="3.9488337629723629E-3"/>
    <n v="0.85338522445145271"/>
    <n v="0.87662988966900701"/>
    <n v="0.83299999999999996"/>
    <n v="9.2991871729206102E-2"/>
    <x v="0"/>
    <n v="3.0000000000000009"/>
    <x v="0"/>
    <n v="7.3999999999999996E-2"/>
    <n v="16678.342000000001"/>
    <n v="4.6382189239332093E-2"/>
    <n v="8850.6029684601108"/>
    <s v="SiRE"/>
    <n v="14233.050631148089"/>
    <n v="2757496996.2279997"/>
    <n v="8921.0817273906196"/>
    <n v="8921.0817273906196"/>
    <n v="7668.5528756957319"/>
    <n v="3.8636363636363628E-2"/>
    <n v="2.3165590222555471E-6"/>
    <s v="CNAT - deadpitch ages"/>
  </r>
  <r>
    <s v="Okanagan Sockeye"/>
    <s v="2000s"/>
    <x v="28"/>
    <n v="2004"/>
    <x v="29"/>
    <n v="214465"/>
    <n v="225383"/>
    <n v="224525"/>
    <n v="165334"/>
    <n v="0.85338522445145271"/>
    <n v="190819"/>
    <n v="192338.52204254176"/>
    <n v="165334"/>
    <n v="37263472922"/>
    <n v="3.9488337629723629E-3"/>
    <n v="0.85338522445145271"/>
    <n v="0.87662988966900701"/>
    <n v="0.83299999999999996"/>
    <n v="9.2991871729206102E-2"/>
    <x v="1"/>
    <n v="3.9999999999999996"/>
    <x v="0"/>
    <n v="0.86399999999999999"/>
    <n v="194730.91200000001"/>
    <n v="0.94063079777365488"/>
    <n v="179490.22820037106"/>
    <s v="SiRE"/>
    <n v="166180.48304475608"/>
    <n v="32195640604.607998"/>
    <n v="180919.53743148176"/>
    <n v="180919.53743148176"/>
    <n v="155518.25231910945"/>
    <n v="0.78354545454545443"/>
    <n v="4.0237343239344266E-6"/>
    <s v="CNAT - deadpitch ages"/>
  </r>
  <r>
    <s v="Okanagan Sockeye"/>
    <s v="2000s"/>
    <x v="28"/>
    <n v="2003"/>
    <x v="28"/>
    <n v="214465"/>
    <n v="225383"/>
    <n v="224525"/>
    <n v="165334"/>
    <n v="0.85338522445145271"/>
    <n v="190819"/>
    <n v="192338.52204254176"/>
    <n v="165334"/>
    <n v="37263472922"/>
    <n v="3.9488337629723629E-3"/>
    <n v="0.85338522445145271"/>
    <n v="0.87662988966900701"/>
    <n v="0.83299999999999996"/>
    <n v="9.2991871729206102E-2"/>
    <x v="2"/>
    <n v="5"/>
    <x v="0"/>
    <n v="7.0000000000000001E-3"/>
    <n v="1577.681"/>
    <n v="9.2764378478664197E-3"/>
    <n v="1770.1205936920223"/>
    <s v="SiRE"/>
    <n v="1346.3696542977923"/>
    <n v="260844310.454"/>
    <n v="1784.2163454781241"/>
    <n v="1784.2163454781241"/>
    <n v="1533.7105751391466"/>
    <n v="7.7272727272727276E-3"/>
    <n v="4.8978676470545864E-6"/>
    <s v="CNAT - deadpitch ages"/>
  </r>
  <r>
    <s v="Okanagan Sockeye"/>
    <s v="2000s"/>
    <x v="28"/>
    <n v="2004"/>
    <x v="30"/>
    <n v="214465"/>
    <n v="225383"/>
    <n v="224525"/>
    <n v="165334"/>
    <n v="0.85338522445145271"/>
    <n v="190819"/>
    <n v="192338.52204254176"/>
    <n v="165334"/>
    <n v="37263472922"/>
    <n v="3.9488337629723629E-3"/>
    <n v="0.85338522445145271"/>
    <n v="0.87662988966900701"/>
    <n v="0.83299999999999996"/>
    <n v="9.2991871729206102E-2"/>
    <x v="3"/>
    <n v="4.0000000000000009"/>
    <x v="1"/>
    <n v="2.3E-2"/>
    <n v="5183.8090000000002"/>
    <n v="0"/>
    <n v="0"/>
    <s v="SiRE"/>
    <n v="4423.7860069784601"/>
    <n v="857059877.20599997"/>
    <n v="0"/>
    <n v="0"/>
    <n v="0"/>
    <n v="0"/>
    <n v="0"/>
    <s v="CNAT - deadpitch ages"/>
  </r>
  <r>
    <s v="Okanagan Sockeye"/>
    <s v="2000s"/>
    <x v="28"/>
    <n v="2003"/>
    <x v="29"/>
    <n v="214465"/>
    <n v="225383"/>
    <n v="224525"/>
    <n v="165334"/>
    <n v="0.85338522445145271"/>
    <n v="190819"/>
    <n v="192338.52204254176"/>
    <n v="165334"/>
    <n v="37263472922"/>
    <n v="3.9488337629723629E-3"/>
    <n v="0.85338522445145271"/>
    <n v="0.87662988966900701"/>
    <n v="0.83299999999999996"/>
    <n v="9.2991871729206102E-2"/>
    <x v="4"/>
    <n v="5.0000000000000018"/>
    <x v="1"/>
    <n v="3.2000000000000001E-2"/>
    <n v="7212.2560000000003"/>
    <n v="3.7105751391465678E-3"/>
    <n v="708.04823747680894"/>
    <s v="SiRE"/>
    <n v="6154.8327053613366"/>
    <n v="1192431133.5039999"/>
    <n v="713.68653819124961"/>
    <n v="713.68653819124961"/>
    <n v="613.4842300556586"/>
    <n v="3.0909090909090908E-3"/>
    <n v="4.285634191172763E-7"/>
    <s v="CNAT - deadpitch ages"/>
  </r>
  <r>
    <s v="Okanagan Sockeye"/>
    <s v="2000s"/>
    <x v="29"/>
    <n v="2006"/>
    <x v="31"/>
    <n v="179732"/>
    <n v="187614"/>
    <n v="186485"/>
    <n v="134937"/>
    <n v="0.82869864275624883"/>
    <n v="154546"/>
    <n v="155475.46716207085"/>
    <n v="134937"/>
    <n v="25316070318"/>
    <n v="7.5367509887321838E-3"/>
    <n v="0.82869864275624883"/>
    <n v="0.84521802685402403"/>
    <n v="0.82599999999999996"/>
    <n v="6.7083143416360569E-2"/>
    <x v="0"/>
    <n v="3.0000000000000009"/>
    <x v="0"/>
    <n v="0.125"/>
    <n v="23451.75"/>
    <n v="3.4979423868312758E-2"/>
    <n v="5405.9300411522636"/>
    <s v="SiRE"/>
    <n v="19434.433395258857"/>
    <n v="3164508789.75"/>
    <n v="5438.4422669860178"/>
    <n v="5438.4422669860178"/>
    <n v="4720.0185185185182"/>
    <n v="2.8893004115226335E-2"/>
    <n v="1.2320191079653473E-6"/>
    <s v="CNAT - deadpitch ages"/>
  </r>
  <r>
    <s v="Okanagan Sockeye"/>
    <s v="2000s"/>
    <x v="29"/>
    <n v="2005"/>
    <x v="30"/>
    <n v="179732"/>
    <n v="187614"/>
    <n v="186485"/>
    <n v="134937"/>
    <n v="0.82869864275624883"/>
    <n v="154546"/>
    <n v="155475.46716207085"/>
    <n v="134937"/>
    <n v="25316070318"/>
    <n v="7.5367509887321838E-3"/>
    <n v="0.82869864275624883"/>
    <n v="0.84521802685402403"/>
    <n v="0.82599999999999996"/>
    <n v="6.7083143416360569E-2"/>
    <x v="1"/>
    <n v="3.9999999999999996"/>
    <x v="0"/>
    <n v="0.79200000000000004"/>
    <n v="148590.288"/>
    <n v="0.87860082304526754"/>
    <n v="135784.24279835392"/>
    <s v="SiRE"/>
    <n v="123136.56999236012"/>
    <n v="20050327691.856003"/>
    <n v="136600.87341194291"/>
    <n v="136600.87341194291"/>
    <n v="118555.75925925927"/>
    <n v="0.72572427983539101"/>
    <n v="4.8840626773358905E-6"/>
    <s v="CNAT - deadpitch ages"/>
  </r>
  <r>
    <s v="Okanagan Sockeye"/>
    <s v="2000s"/>
    <x v="29"/>
    <n v="2004"/>
    <x v="29"/>
    <n v="179732"/>
    <n v="187614"/>
    <n v="186485"/>
    <n v="134937"/>
    <n v="0.82869864275624883"/>
    <n v="154546"/>
    <n v="155475.46716207085"/>
    <n v="134937"/>
    <n v="25316070318"/>
    <n v="7.5367509887321838E-3"/>
    <n v="0.82869864275624883"/>
    <n v="0.84521802685402403"/>
    <n v="0.82599999999999996"/>
    <n v="6.7083143416360569E-2"/>
    <x v="2"/>
    <n v="5"/>
    <x v="0"/>
    <n v="2.5999999999999999E-2"/>
    <n v="4877.9639999999999"/>
    <n v="5.3497942386831275E-2"/>
    <n v="8267.8930041152271"/>
    <s v="SiRE"/>
    <n v="4042.3621462138422"/>
    <n v="658217828.26800001"/>
    <n v="8317.6175848021448"/>
    <n v="8317.6175848021448"/>
    <n v="7218.8518518518522"/>
    <n v="4.4189300411522629E-2"/>
    <n v="9.0589640291569652E-6"/>
    <s v="CNAT - deadpitch ages"/>
  </r>
  <r>
    <s v="Okanagan Sockeye"/>
    <s v="2000s"/>
    <x v="29"/>
    <n v="2005"/>
    <x v="31"/>
    <n v="179732"/>
    <n v="187614"/>
    <n v="186485"/>
    <n v="134937"/>
    <n v="0.82869864275624883"/>
    <n v="154546"/>
    <n v="155475.46716207085"/>
    <n v="134937"/>
    <n v="25316070318"/>
    <n v="7.5367509887321838E-3"/>
    <n v="0.82869864275624883"/>
    <n v="0.84521802685402403"/>
    <n v="0.82599999999999996"/>
    <n v="6.7083143416360569E-2"/>
    <x v="3"/>
    <n v="4.0000000000000009"/>
    <x v="1"/>
    <n v="0.01"/>
    <n v="1876.14"/>
    <n v="0"/>
    <n v="0"/>
    <s v="SiRE"/>
    <n v="1554.7546716207087"/>
    <n v="253160703.18000001"/>
    <n v="0"/>
    <n v="0"/>
    <n v="0"/>
    <n v="0"/>
    <n v="0"/>
    <s v="CNAT - deadpitch ages"/>
  </r>
  <r>
    <s v="Okanagan Sockeye"/>
    <s v="2000s"/>
    <x v="29"/>
    <n v="2004"/>
    <x v="30"/>
    <n v="179732"/>
    <n v="187614"/>
    <n v="186485"/>
    <n v="134937"/>
    <n v="0.82869864275624883"/>
    <n v="154546"/>
    <n v="155475.46716207085"/>
    <n v="134937"/>
    <n v="25316070318"/>
    <n v="7.5367509887321838E-3"/>
    <n v="0.82869864275624883"/>
    <n v="0.84521802685402403"/>
    <n v="0.82599999999999996"/>
    <n v="6.7083143416360569E-2"/>
    <x v="4"/>
    <n v="5.0000000000000018"/>
    <x v="1"/>
    <n v="4.5999999999999999E-2"/>
    <n v="8630.2440000000006"/>
    <n v="3.292181069958848E-2"/>
    <n v="5087.9341563786011"/>
    <s v="SiRE"/>
    <n v="7151.8714894552595"/>
    <n v="1164539234.628"/>
    <n v="5118.5338983397814"/>
    <n v="5118.5338983397814"/>
    <n v="4442.3703703703704"/>
    <n v="2.7193415637860083E-2"/>
    <n v="3.1509440101415536E-6"/>
    <s v="CNAT - deadpitch ages"/>
  </r>
  <r>
    <s v="Okanagan Sockeye"/>
    <s v="2000s"/>
    <x v="29"/>
    <n v="2003"/>
    <x v="29"/>
    <n v="179732"/>
    <n v="187614"/>
    <n v="186485"/>
    <n v="134937"/>
    <n v="0.82869864275624883"/>
    <n v="154546"/>
    <n v="155475.46716207085"/>
    <n v="134937"/>
    <n v="25316070318"/>
    <n v="7.5367509887321838E-3"/>
    <n v="0.82869864275624883"/>
    <n v="0.84521802685402403"/>
    <n v="0.82599999999999996"/>
    <n v="6.7083143416360569E-2"/>
    <x v="5"/>
    <n v="5.9999999999999982"/>
    <x v="1"/>
    <n v="1E-3"/>
    <n v="187.614"/>
    <n v="0"/>
    <n v="0"/>
    <s v="SiRE"/>
    <n v="155.47546716207086"/>
    <n v="25316070.318"/>
    <n v="0"/>
    <n v="0"/>
    <n v="0"/>
    <n v="0"/>
    <n v="0"/>
    <m/>
  </r>
  <r>
    <s v="Okanagan Sockeye"/>
    <s v="2000s"/>
    <x v="30"/>
    <n v="2007"/>
    <x v="32"/>
    <n v="392193"/>
    <n v="409950"/>
    <n v="408346"/>
    <n v="291764"/>
    <n v="0.86241612722059646"/>
    <n v="355037"/>
    <n v="353547.49135408353"/>
    <n v="291764"/>
    <n v="119608651800"/>
    <n v="4.539577997316746E-3"/>
    <n v="0.86241612722059646"/>
    <n v="0.87268949753590441"/>
    <n v="0.81799999999999995"/>
    <n v="0.10297639746685409"/>
    <x v="0"/>
    <n v="3.0000000000000009"/>
    <x v="0"/>
    <n v="1.7999999999999999E-2"/>
    <n v="7379.0999999999995"/>
    <n v="8.8183421516754845E-3"/>
    <n v="3130.8377425044091"/>
    <s v="SiRE"/>
    <n v="6363.8548443735026"/>
    <n v="2152955732.3999996"/>
    <n v="3117.7027456268388"/>
    <n v="3117.7027456268388"/>
    <n v="2572.8747795414461"/>
    <n v="7.2134038800705461E-3"/>
    <n v="9.7754521284039333E-7"/>
    <s v="CNAT - deadpitch ages"/>
  </r>
  <r>
    <s v="Okanagan Sockeye"/>
    <s v="2000s"/>
    <x v="30"/>
    <n v="2006"/>
    <x v="31"/>
    <n v="392193"/>
    <n v="409950"/>
    <n v="408346"/>
    <n v="291764"/>
    <n v="0.86241612722059646"/>
    <n v="355037"/>
    <n v="353547.49135408353"/>
    <n v="291764"/>
    <n v="119608651800"/>
    <n v="4.539577997316746E-3"/>
    <n v="0.86241612722059646"/>
    <n v="0.87268949753590441"/>
    <n v="0.81799999999999995"/>
    <n v="0.10297639746685409"/>
    <x v="1"/>
    <n v="3.9999999999999996"/>
    <x v="0"/>
    <n v="0.95399999999999996"/>
    <n v="391092.3"/>
    <n v="0.89400000000000002"/>
    <n v="317403.07799999998"/>
    <s v="SiRE"/>
    <n v="337284.3067517957"/>
    <n v="114106653817.2"/>
    <n v="316071.45727055066"/>
    <n v="316071.45727055066"/>
    <n v="260837.016"/>
    <n v="0.73129199999999994"/>
    <n v="1.8698706162202631E-6"/>
    <s v="CNAT - deadpitch ages"/>
  </r>
  <r>
    <s v="Okanagan Sockeye"/>
    <s v="2000s"/>
    <x v="30"/>
    <n v="2005"/>
    <x v="30"/>
    <n v="392193"/>
    <n v="409950"/>
    <n v="408346"/>
    <n v="291764"/>
    <n v="0.86241612722059646"/>
    <n v="355037"/>
    <n v="353547.49135408353"/>
    <n v="291764"/>
    <n v="119608651800"/>
    <n v="4.539577997316746E-3"/>
    <n v="0.86241612722059646"/>
    <n v="0.87268949753590441"/>
    <n v="0.81799999999999995"/>
    <n v="0.10297639746685409"/>
    <x v="2"/>
    <n v="5"/>
    <x v="0"/>
    <n v="5.0000000000000001E-3"/>
    <n v="2049.75"/>
    <n v="7.3999999999999996E-2"/>
    <n v="26272.737999999998"/>
    <s v="SiRE"/>
    <n v="1767.7374567704176"/>
    <n v="598043259"/>
    <n v="26162.514360202178"/>
    <n v="26162.514360202178"/>
    <n v="21590.536"/>
    <n v="6.0531999999999996E-2"/>
    <n v="2.95314062690572E-5"/>
    <s v="CNAT - deadpitch ages"/>
  </r>
  <r>
    <s v="Okanagan Sockeye"/>
    <s v="2000s"/>
    <x v="30"/>
    <n v="2006"/>
    <x v="32"/>
    <n v="392193"/>
    <n v="409950"/>
    <n v="408346"/>
    <n v="291764"/>
    <n v="0.86241612722059646"/>
    <n v="355037"/>
    <n v="353547.49135408353"/>
    <n v="291764"/>
    <n v="119608651800"/>
    <n v="4.539577997316746E-3"/>
    <n v="0.86241612722059646"/>
    <n v="0.87268949753590441"/>
    <n v="0.81799999999999995"/>
    <n v="0.10297639746685409"/>
    <x v="3"/>
    <n v="4.0000000000000009"/>
    <x v="1"/>
    <n v="6.0000000000000001E-3"/>
    <n v="2459.7000000000003"/>
    <n v="1.7000000000000001E-2"/>
    <n v="6035.6290000000008"/>
    <s v="SiRE"/>
    <n v="2121.2849481245012"/>
    <n v="717651910.80000007"/>
    <n v="6010.3073530194206"/>
    <n v="6010.3073530194206"/>
    <n v="4959.9880000000003"/>
    <n v="1.3906E-2"/>
    <n v="5.6535349839411304E-6"/>
    <s v="CNAT - deadpitch ages"/>
  </r>
  <r>
    <s v="Okanagan Sockeye"/>
    <s v="2000s"/>
    <x v="30"/>
    <n v="2005"/>
    <x v="31"/>
    <n v="392193"/>
    <n v="409950"/>
    <n v="408346"/>
    <n v="291764"/>
    <n v="0.86241612722059646"/>
    <n v="355037"/>
    <n v="353547.49135408353"/>
    <n v="291764"/>
    <n v="119608651800"/>
    <n v="4.539577997316746E-3"/>
    <n v="0.86241612722059646"/>
    <n v="0.87268949753590441"/>
    <n v="0.81799999999999995"/>
    <n v="0.10297639746685409"/>
    <x v="4"/>
    <n v="5.0000000000000018"/>
    <x v="1"/>
    <n v="1.6E-2"/>
    <n v="6559.2"/>
    <n v="6.0000000000000001E-3"/>
    <n v="2130.2220000000002"/>
    <s v="SiRE"/>
    <n v="5656.7598616653368"/>
    <n v="1913738428.8"/>
    <n v="2121.2849481245012"/>
    <n v="2121.2849481245012"/>
    <n v="1750.5840000000001"/>
    <n v="4.908E-3"/>
    <n v="7.4826198316867915E-7"/>
    <s v="CNAT - deadpitch ages"/>
  </r>
  <r>
    <s v="Okanagan Sockeye"/>
    <s v="2010s"/>
    <x v="31"/>
    <n v="2008"/>
    <x v="33"/>
    <n v="187365"/>
    <n v="196529"/>
    <n v="194960"/>
    <n v="111508"/>
    <n v="0.76317320393399535"/>
    <n v="171572"/>
    <n v="149985.66659594417"/>
    <n v="111508"/>
    <n v="21914555732"/>
    <n v="7.9428481292837198E-3"/>
    <n v="0.76317320393399535"/>
    <n v="0.85363401434282982"/>
    <n v="0.7679999999999999"/>
    <n v="0.17662597455888387"/>
    <x v="0"/>
    <n v="3.0000000000000009"/>
    <x v="0"/>
    <n v="0.26100000000000001"/>
    <n v="51294.069000000003"/>
    <n v="0.182"/>
    <n v="31226.103999999999"/>
    <s v="SiRE"/>
    <n v="39146.258981541432"/>
    <n v="5719699046.052"/>
    <n v="27297.39132046184"/>
    <n v="27297.39132046184"/>
    <n v="20294.455999999998"/>
    <n v="0.13977599999999998"/>
    <n v="2.724993410056823E-6"/>
    <s v="CNAT - deadpitch ages"/>
  </r>
  <r>
    <s v="Okanagan Sockeye"/>
    <s v="2000s"/>
    <x v="31"/>
    <n v="2007"/>
    <x v="32"/>
    <n v="187365"/>
    <n v="196529"/>
    <n v="194960"/>
    <n v="111508"/>
    <n v="0.76317320393399535"/>
    <n v="171572"/>
    <n v="149985.66659594417"/>
    <n v="111508"/>
    <n v="21914555732"/>
    <n v="7.9428481292837198E-3"/>
    <n v="0.76317320393399535"/>
    <n v="0.85363401434282982"/>
    <n v="0.7679999999999999"/>
    <n v="0.17662597455888387"/>
    <x v="1"/>
    <n v="3.9999999999999996"/>
    <x v="0"/>
    <n v="0.59199999999999997"/>
    <n v="116345.16799999999"/>
    <n v="0.66400000000000003"/>
    <n v="113923.808"/>
    <s v="SiRE"/>
    <n v="88791.514624798947"/>
    <n v="12973416993.344"/>
    <n v="99590.482619706934"/>
    <n v="99590.482619706934"/>
    <n v="74041.312000000005"/>
    <n v="0.50995199999999996"/>
    <n v="4.3830956520686786E-6"/>
    <s v="CNAT - deadpitch ages"/>
  </r>
  <r>
    <s v="Okanagan Sockeye"/>
    <s v="2000s"/>
    <x v="31"/>
    <n v="2006"/>
    <x v="31"/>
    <n v="187365"/>
    <n v="196529"/>
    <n v="194960"/>
    <n v="111508"/>
    <n v="0.76317320393399535"/>
    <n v="171572"/>
    <n v="149985.66659594417"/>
    <n v="111508"/>
    <n v="21914555732"/>
    <n v="7.9428481292837198E-3"/>
    <n v="0.76317320393399535"/>
    <n v="0.85363401434282982"/>
    <n v="0.7679999999999999"/>
    <n v="0.17662597455888387"/>
    <x v="2"/>
    <n v="5"/>
    <x v="0"/>
    <n v="7.6999999999999999E-2"/>
    <n v="15132.733"/>
    <n v="7.0999999999999994E-2"/>
    <n v="12181.611999999999"/>
    <s v="SiRE"/>
    <n v="11548.896327887702"/>
    <n v="1687420791.3640001"/>
    <n v="10648.982328312035"/>
    <n v="10648.982328312035"/>
    <n v="7917.0679999999993"/>
    <n v="5.4527999999999986E-2"/>
    <n v="3.6033147482348352E-6"/>
    <s v="CNAT - deadpitch ages"/>
  </r>
  <r>
    <s v="Okanagan Sockeye"/>
    <s v="2010s"/>
    <x v="31"/>
    <n v="2007"/>
    <x v="33"/>
    <n v="187365"/>
    <n v="196529"/>
    <n v="194960"/>
    <n v="111508"/>
    <n v="0.76317320393399535"/>
    <n v="171572"/>
    <n v="149985.66659594417"/>
    <n v="111508"/>
    <n v="21914555732"/>
    <n v="7.9428481292837198E-3"/>
    <n v="0.76317320393399535"/>
    <n v="0.85363401434282982"/>
    <n v="0.7679999999999999"/>
    <n v="0.17662597455888387"/>
    <x v="3"/>
    <n v="4.0000000000000009"/>
    <x v="1"/>
    <n v="3.1E-2"/>
    <n v="6092.3990000000003"/>
    <n v="4.2999999999999997E-2"/>
    <n v="7377.5959999999995"/>
    <s v="SiRE"/>
    <n v="4649.5556644742692"/>
    <n v="679351227.69200003"/>
    <n v="6449.3836636255992"/>
    <n v="6449.3836636255992"/>
    <n v="4794.8440000000001"/>
    <n v="3.3023999999999991E-2"/>
    <n v="5.4205248211747109E-6"/>
    <s v="CNAT - deadpitch ages"/>
  </r>
  <r>
    <s v="Okanagan Sockeye"/>
    <s v="2000s"/>
    <x v="31"/>
    <n v="2006"/>
    <x v="32"/>
    <n v="187365"/>
    <n v="196529"/>
    <n v="194960"/>
    <n v="111508"/>
    <n v="0.76317320393399535"/>
    <n v="171572"/>
    <n v="149985.66659594417"/>
    <n v="111508"/>
    <n v="21914555732"/>
    <n v="7.9428481292837198E-3"/>
    <n v="0.76317320393399535"/>
    <n v="0.85363401434282982"/>
    <n v="0.7679999999999999"/>
    <n v="0.17662597455888387"/>
    <x v="4"/>
    <n v="5.0000000000000018"/>
    <x v="1"/>
    <n v="3.6999999999999998E-2"/>
    <n v="7271.5729999999994"/>
    <n v="0.04"/>
    <n v="6862.88"/>
    <s v="SiRE"/>
    <n v="5549.4696640499342"/>
    <n v="810838562.08399999"/>
    <n v="5999.4266638377667"/>
    <n v="5999.4266638377667"/>
    <n v="4460.32"/>
    <n v="3.0719999999999997E-2"/>
    <n v="4.2246705080180034E-6"/>
    <s v="CNAT - deadpitch ages"/>
  </r>
  <r>
    <s v="Okanagan Sockeye"/>
    <s v="2000s"/>
    <x v="31"/>
    <n v="2005"/>
    <x v="31"/>
    <n v="187365"/>
    <n v="196529"/>
    <n v="194960"/>
    <n v="111508"/>
    <n v="0.76317320393399535"/>
    <n v="171572"/>
    <n v="149985.66659594417"/>
    <n v="111508"/>
    <n v="21914555732"/>
    <n v="7.9428481292837198E-3"/>
    <n v="0.76317320393399535"/>
    <n v="0.85363401434282982"/>
    <n v="0.7679999999999999"/>
    <n v="0.17662597455888387"/>
    <x v="5"/>
    <n v="5.9999999999999982"/>
    <x v="1"/>
    <n v="2E-3"/>
    <n v="393.05799999999999"/>
    <n v="0"/>
    <n v="0"/>
    <s v="SiRE"/>
    <n v="299.97133319188833"/>
    <n v="43829111.464000002"/>
    <n v="0"/>
    <n v="0"/>
    <n v="0"/>
    <n v="0"/>
    <n v="0"/>
    <m/>
  </r>
  <r>
    <s v="Okanagan Sockeye"/>
    <s v="2010s"/>
    <x v="32"/>
    <n v="2009"/>
    <x v="34"/>
    <n v="521159"/>
    <n v="550232"/>
    <n v="545637"/>
    <n v="326107"/>
    <n v="0.79418196873021285"/>
    <n v="461765"/>
    <n v="436984.33301836246"/>
    <n v="326107"/>
    <n v="179434506824"/>
    <n v="9.3051658209627943E-4"/>
    <n v="0.79418196873021285"/>
    <n v="0.88812599785679791"/>
    <n v="0.82400000000000007"/>
    <n v="0.16339251187144566"/>
    <x v="0"/>
    <n v="3.0000000000000009"/>
    <x v="0"/>
    <n v="1.7000000000000001E-2"/>
    <n v="9353.9440000000013"/>
    <n v="3.0000000000000001E-3"/>
    <n v="1385.2950000000001"/>
    <s v="SiRE"/>
    <n v="7428.7336613121624"/>
    <n v="3050386616.0080004"/>
    <n v="1310.9529990550875"/>
    <n v="1310.9529990550875"/>
    <n v="978.32100000000003"/>
    <n v="2.4720000000000002E-3"/>
    <n v="2.6427355134903521E-7"/>
    <s v="CNAT - deadpitch ages"/>
  </r>
  <r>
    <s v="Okanagan Sockeye"/>
    <s v="2010s"/>
    <x v="32"/>
    <n v="2008"/>
    <x v="33"/>
    <n v="521159"/>
    <n v="550232"/>
    <n v="545637"/>
    <n v="326107"/>
    <n v="0.79418196873021285"/>
    <n v="461765"/>
    <n v="436984.33301836246"/>
    <n v="326107"/>
    <n v="179434506824"/>
    <n v="9.3051658209627943E-4"/>
    <n v="0.79418196873021285"/>
    <n v="0.88812599785679791"/>
    <n v="0.82400000000000007"/>
    <n v="0.16339251187144566"/>
    <x v="1"/>
    <n v="3.9999999999999996"/>
    <x v="0"/>
    <n v="0.96"/>
    <n v="528222.71999999997"/>
    <n v="0.97099999999999997"/>
    <n v="448373.815"/>
    <s v="SiRE"/>
    <n v="419504.95969762793"/>
    <n v="172257126551.04001"/>
    <n v="424311.78736082994"/>
    <n v="424311.78736082994"/>
    <n v="316649.897"/>
    <n v="0.80010400000000004"/>
    <n v="1.5147095528189322E-6"/>
    <s v="CNAT - deadpitch ages"/>
  </r>
  <r>
    <s v="Okanagan Sockeye"/>
    <s v="2000s"/>
    <x v="32"/>
    <n v="2007"/>
    <x v="32"/>
    <n v="521159"/>
    <n v="550232"/>
    <n v="545637"/>
    <n v="326107"/>
    <n v="0.79418196873021285"/>
    <n v="461765"/>
    <n v="436984.33301836246"/>
    <n v="326107"/>
    <n v="179434506824"/>
    <n v="9.3051658209627943E-4"/>
    <n v="0.79418196873021285"/>
    <n v="0.88812599785679791"/>
    <n v="0.82400000000000007"/>
    <n v="0.16339251187144566"/>
    <x v="2"/>
    <n v="5"/>
    <x v="0"/>
    <n v="1.7000000000000001E-2"/>
    <n v="9353.9440000000013"/>
    <n v="7.0000000000000001E-3"/>
    <n v="3232.355"/>
    <s v="SiRE"/>
    <n v="7428.7336613121624"/>
    <n v="3050386616.0080004"/>
    <n v="3058.8903311285371"/>
    <n v="3058.8903311285371"/>
    <n v="2282.7490000000003"/>
    <n v="5.7680000000000006E-3"/>
    <n v="6.1663828648108213E-7"/>
    <s v="CNAT - deadpitch ages"/>
  </r>
  <r>
    <s v="Okanagan Sockeye"/>
    <s v="2010s"/>
    <x v="32"/>
    <n v="2008"/>
    <x v="34"/>
    <n v="521159"/>
    <n v="550232"/>
    <n v="545637"/>
    <n v="326107"/>
    <n v="0.79418196873021285"/>
    <n v="461765"/>
    <n v="436984.33301836246"/>
    <n v="326107"/>
    <n v="179434506824"/>
    <n v="9.3051658209627943E-4"/>
    <n v="0.79418196873021285"/>
    <n v="0.88812599785679791"/>
    <n v="0.82400000000000007"/>
    <n v="0.16339251187144566"/>
    <x v="3"/>
    <n v="4.0000000000000009"/>
    <x v="1"/>
    <n v="1E-3"/>
    <n v="550.23199999999997"/>
    <n v="7.0000000000000001E-3"/>
    <n v="3232.355"/>
    <s v="SiRE"/>
    <n v="436.98433301836246"/>
    <n v="179434506.824"/>
    <n v="3058.8903311285371"/>
    <n v="3058.8903311285371"/>
    <n v="2282.7490000000003"/>
    <n v="5.7680000000000006E-3"/>
    <n v="1.0482850870178399E-5"/>
    <s v="CNAT - deadpitch ages"/>
  </r>
  <r>
    <s v="Okanagan Sockeye"/>
    <s v="2010s"/>
    <x v="32"/>
    <n v="2007"/>
    <x v="33"/>
    <n v="521159"/>
    <n v="550232"/>
    <n v="545637"/>
    <n v="326107"/>
    <n v="0.79418196873021285"/>
    <n v="461765"/>
    <n v="436984.33301836246"/>
    <n v="326107"/>
    <n v="179434506824"/>
    <n v="9.3051658209627943E-4"/>
    <n v="0.79418196873021285"/>
    <n v="0.88812599785679791"/>
    <n v="0.82400000000000007"/>
    <n v="0.16339251187144566"/>
    <x v="4"/>
    <n v="5.0000000000000018"/>
    <x v="1"/>
    <n v="6.0000000000000001E-3"/>
    <n v="3301.3920000000003"/>
    <n v="1.2E-2"/>
    <n v="5541.18"/>
    <s v="SiRE"/>
    <n v="2621.905998110175"/>
    <n v="1076607040.944"/>
    <n v="5243.81199622035"/>
    <n v="5243.81199622035"/>
    <n v="3913.2840000000001"/>
    <n v="9.888000000000001E-3"/>
    <n v="2.9951002486223994E-6"/>
    <s v="CNAT - deadpitch ages"/>
  </r>
  <r>
    <s v="Okanagan Sockeye"/>
    <s v="2010s"/>
    <x v="33"/>
    <n v="2010"/>
    <x v="35"/>
    <n v="186191"/>
    <n v="195327"/>
    <n v="194651"/>
    <n v="129993"/>
    <n v="0.81644150509675351"/>
    <n v="159339"/>
    <n v="159473.06986603356"/>
    <n v="129993"/>
    <n v="25391142711"/>
    <n v="5.1759357385307717E-3"/>
    <n v="0.81644150509675351"/>
    <n v="0.83868307496053995"/>
    <n v="0.7"/>
    <n v="0.13549891857735125"/>
    <x v="0"/>
    <n v="3.0000000000000009"/>
    <x v="0"/>
    <n v="0.23499999999999999"/>
    <n v="45901.844999999994"/>
    <n v="0.17100000000000001"/>
    <n v="37444.665000000001"/>
    <s v="CRITFC"/>
    <n v="37476.171418517886"/>
    <n v="5966918537.085"/>
    <n v="27269.89494709174"/>
    <n v="27269.89494709174"/>
    <n v="22228.803"/>
    <n v="0.1197"/>
    <n v="2.607738316401008E-6"/>
    <s v="Using Fryer, since SIRE age comp does not add up to 100%"/>
  </r>
  <r>
    <s v="Okanagan Sockeye"/>
    <s v="2010s"/>
    <x v="33"/>
    <n v="2009"/>
    <x v="34"/>
    <n v="186191"/>
    <n v="195327"/>
    <n v="194651"/>
    <n v="129993"/>
    <n v="0.81644150509675351"/>
    <n v="159339"/>
    <n v="159473.06986603356"/>
    <n v="129993"/>
    <n v="25391142711"/>
    <n v="5.1759357385307717E-3"/>
    <n v="0.81644150509675351"/>
    <n v="0.83868307496053995"/>
    <n v="0.7"/>
    <n v="0.13549891857735125"/>
    <x v="1"/>
    <n v="3.9999999999999996"/>
    <x v="0"/>
    <n v="0.63400000000000001"/>
    <n v="123837.318"/>
    <n v="0.57299999999999995"/>
    <n v="101020.92600000001"/>
    <s v="CRITFC"/>
    <n v="101105.92629506528"/>
    <n v="16097984478.774"/>
    <n v="91378.069033237218"/>
    <n v="91378.069033237218"/>
    <n v="74485.988999999987"/>
    <n v="0.40109999999999996"/>
    <n v="3.2389267345082518E-6"/>
    <s v="Using Fryer, since SIRE age comp does not add up to 100%"/>
  </r>
  <r>
    <s v="Okanagan Sockeye"/>
    <s v="2010s"/>
    <x v="33"/>
    <n v="2008"/>
    <x v="33"/>
    <n v="186191"/>
    <n v="195327"/>
    <n v="194651"/>
    <n v="129993"/>
    <n v="0.81644150509675351"/>
    <n v="159339"/>
    <n v="159473.06986603356"/>
    <n v="129993"/>
    <n v="25391142711"/>
    <n v="5.1759357385307717E-3"/>
    <n v="0.81644150509675351"/>
    <n v="0.83868307496053995"/>
    <n v="0.7"/>
    <n v="0.13549891857735125"/>
    <x v="2"/>
    <n v="5"/>
    <x v="0"/>
    <n v="8.1000000000000003E-2"/>
    <n v="15821.487000000001"/>
    <n v="2.4E-2"/>
    <n v="12906.459000000001"/>
    <s v="CRITFC"/>
    <n v="12917.318659148719"/>
    <n v="2056682559.5910001"/>
    <n v="3827.3536767848054"/>
    <n v="3827.3536767848054"/>
    <n v="3119.8319999999999"/>
    <n v="1.6799999999999999E-2"/>
    <n v="1.0618470943976378E-6"/>
    <s v="Using Fryer, since SIRE age comp does not add up to 100%"/>
  </r>
  <r>
    <s v="Okanagan Sockeye"/>
    <s v="2010s"/>
    <x v="33"/>
    <n v="2009"/>
    <x v="35"/>
    <n v="186191"/>
    <n v="195327"/>
    <n v="194651"/>
    <n v="129993"/>
    <n v="0.81644150509675351"/>
    <n v="159339"/>
    <n v="159473.06986603356"/>
    <n v="129993"/>
    <n v="25391142711"/>
    <n v="5.1759357385307717E-3"/>
    <n v="0.81644150509675351"/>
    <n v="0.83868307496053995"/>
    <n v="0.7"/>
    <n v="0.13549891857735125"/>
    <x v="3"/>
    <n v="4.0000000000000009"/>
    <x v="1"/>
    <n v="0"/>
    <n v="0"/>
    <n v="1.2E-2"/>
    <n v="0"/>
    <s v="CRITFC"/>
    <n v="0"/>
    <n v="0"/>
    <n v="1913.6768383924027"/>
    <n v="1913.6768383924027"/>
    <n v="1559.9159999999999"/>
    <n v="8.3999999999999995E-3"/>
    <n v="0"/>
    <s v="Using Fryer, since SIRE age comp does not add up to 100%"/>
  </r>
  <r>
    <s v="Okanagan Sockeye"/>
    <s v="2010s"/>
    <x v="33"/>
    <n v="2008"/>
    <x v="34"/>
    <n v="186191"/>
    <n v="195327"/>
    <n v="194651"/>
    <n v="129993"/>
    <n v="0.81644150509675351"/>
    <n v="159339"/>
    <n v="159473.06986603356"/>
    <n v="129993"/>
    <n v="25391142711"/>
    <n v="5.1759357385307717E-3"/>
    <n v="0.81644150509675351"/>
    <n v="0.83868307496053995"/>
    <n v="0.7"/>
    <n v="0.13549891857735125"/>
    <x v="4"/>
    <n v="5.0000000000000018"/>
    <x v="1"/>
    <n v="0.05"/>
    <n v="9766.35"/>
    <n v="0.11"/>
    <n v="7966.9500000000007"/>
    <s v="CRITFC"/>
    <n v="7973.6534933016783"/>
    <n v="1269557135.55"/>
    <n v="17542.037685263691"/>
    <n v="17542.037685263691"/>
    <n v="14299.23"/>
    <n v="7.6999999999999999E-2"/>
    <n v="7.8842146759024609E-6"/>
    <s v="Using Fryer, since SIRE age comp does not add up to 100%"/>
  </r>
  <r>
    <s v="Okanagan Sockeye"/>
    <s v="2010s"/>
    <x v="34"/>
    <n v="2011"/>
    <x v="36"/>
    <n v="651146"/>
    <n v="651702"/>
    <n v="650354"/>
    <n v="490804"/>
    <n v="0.84458142108097967"/>
    <n v="538819"/>
    <n v="550415.40128131665"/>
    <n v="490804"/>
    <n v="319857948408"/>
    <n v="3.8714013460139757E-3"/>
    <n v="0.84458142108097967"/>
    <n v="0.84608240013574598"/>
    <n v="0.81100000000000017"/>
    <n v="5.5366769482466473E-2"/>
    <x v="0"/>
    <n v="3.0000000000000009"/>
    <x v="0"/>
    <n v="0.17499999999999999"/>
    <n v="114047.84999999999"/>
    <n v="8.2199999999999995E-2"/>
    <n v="44290.921799999996"/>
    <s v="SiRE"/>
    <n v="96322.695224230411"/>
    <n v="55975140971.399994"/>
    <n v="45244.145985324227"/>
    <n v="45244.145985324227"/>
    <n v="40344.088799999998"/>
    <n v="6.6664200000000007E-2"/>
    <n v="5.8452833613259703E-7"/>
    <s v="CNAT - deadpitch ages"/>
  </r>
  <r>
    <s v="Okanagan Sockeye"/>
    <s v="2010s"/>
    <x v="34"/>
    <n v="2010"/>
    <x v="35"/>
    <n v="651146"/>
    <n v="651702"/>
    <n v="650354"/>
    <n v="490804"/>
    <n v="0.84458142108097967"/>
    <n v="538819"/>
    <n v="550415.40128131665"/>
    <n v="490804"/>
    <n v="319857948408"/>
    <n v="3.8714013460139757E-3"/>
    <n v="0.84458142108097967"/>
    <n v="0.84608240013574598"/>
    <n v="0.81100000000000017"/>
    <n v="5.5366769482466473E-2"/>
    <x v="1"/>
    <n v="3.9999999999999996"/>
    <x v="0"/>
    <n v="0.81899999999999995"/>
    <n v="533743.93799999997"/>
    <n v="0.88400000000000001"/>
    <n v="476315.99599999998"/>
    <s v="SiRE"/>
    <n v="450790.2136493983"/>
    <n v="261963659746.15198"/>
    <n v="486567.2147326839"/>
    <n v="486567.2147326839"/>
    <n v="433870.73599999998"/>
    <n v="0.71692400000000012"/>
    <n v="1.3431983933839078E-6"/>
    <s v="CNAT - deadpitch ages"/>
  </r>
  <r>
    <s v="Okanagan Sockeye"/>
    <s v="2010s"/>
    <x v="34"/>
    <n v="2009"/>
    <x v="34"/>
    <n v="651146"/>
    <n v="651702"/>
    <n v="650354"/>
    <n v="490804"/>
    <n v="0.84458142108097967"/>
    <n v="538819"/>
    <n v="550415.40128131665"/>
    <n v="490804"/>
    <n v="319857948408"/>
    <n v="3.8714013460139757E-3"/>
    <n v="0.84458142108097967"/>
    <n v="0.84608240013574598"/>
    <n v="0.81100000000000017"/>
    <n v="5.5366769482466473E-2"/>
    <x v="2"/>
    <n v="5"/>
    <x v="0"/>
    <n v="1E-3"/>
    <n v="651.702"/>
    <n v="0.03"/>
    <n v="16164.57"/>
    <s v="SiRE"/>
    <n v="550.41540128131669"/>
    <n v="319857948.40799999"/>
    <n v="16512.462038439498"/>
    <n v="16512.462038439498"/>
    <n v="14724.119999999999"/>
    <n v="2.4330000000000004E-2"/>
    <n v="3.7333014169052734E-5"/>
    <s v="CNAT - deadpitch ages"/>
  </r>
  <r>
    <s v="Okanagan Sockeye"/>
    <s v="2010s"/>
    <x v="34"/>
    <n v="2010"/>
    <x v="36"/>
    <n v="651146"/>
    <n v="651702"/>
    <n v="650354"/>
    <n v="490804"/>
    <n v="0.84458142108097967"/>
    <n v="538819"/>
    <n v="550415.40128131665"/>
    <n v="490804"/>
    <n v="319857948408"/>
    <n v="3.8714013460139757E-3"/>
    <n v="0.84458142108097967"/>
    <n v="0.84608240013574598"/>
    <n v="0.81100000000000017"/>
    <n v="5.5366769482466473E-2"/>
    <x v="3"/>
    <n v="4.0000000000000009"/>
    <x v="1"/>
    <n v="1E-3"/>
    <n v="651.702"/>
    <n v="0"/>
    <n v="0"/>
    <s v="SiRE"/>
    <n v="550.41540128131669"/>
    <n v="319857948.40799999"/>
    <n v="0"/>
    <n v="0"/>
    <n v="0"/>
    <n v="0"/>
    <n v="0"/>
    <s v="CNAT - deadpitch ages"/>
  </r>
  <r>
    <s v="Okanagan Sockeye"/>
    <s v="2010s"/>
    <x v="34"/>
    <n v="2009"/>
    <x v="35"/>
    <n v="651146"/>
    <n v="651702"/>
    <n v="650354"/>
    <n v="490804"/>
    <n v="0.84458142108097967"/>
    <n v="538819"/>
    <n v="550415.40128131665"/>
    <n v="490804"/>
    <n v="319857948408"/>
    <n v="3.8714013460139757E-3"/>
    <n v="0.84458142108097967"/>
    <n v="0.84608240013574598"/>
    <n v="0.81100000000000017"/>
    <n v="5.5366769482466473E-2"/>
    <x v="4"/>
    <n v="5.0000000000000018"/>
    <x v="1"/>
    <n v="4.0000000000000001E-3"/>
    <n v="2606.808"/>
    <n v="4.0000000000000001E-3"/>
    <n v="2155.2759999999998"/>
    <s v="SiRE"/>
    <n v="2201.6616051252668"/>
    <n v="1279431793.632"/>
    <n v="2201.6616051252668"/>
    <n v="2201.6616051252668"/>
    <n v="1963.2160000000001"/>
    <n v="3.2440000000000008E-3"/>
    <n v="1.2444338056350911E-6"/>
    <s v="CNAT - deadpitch ages"/>
  </r>
  <r>
    <s v="Okanagan Sockeye"/>
    <s v="2010s"/>
    <x v="35"/>
    <n v="2012"/>
    <x v="37"/>
    <n v="512455"/>
    <n v="542103"/>
    <n v="540357"/>
    <n v="187055"/>
    <n v="0.70672666409750717"/>
    <n v="437687"/>
    <n v="383118.64478725096"/>
    <n v="187055"/>
    <n v="101403076665"/>
    <n v="3.2263241487318832E-3"/>
    <n v="0.70672666409750717"/>
    <n v="0.72614743814231109"/>
    <n v="0.78400000000000003"/>
    <n v="0.45124797124863747"/>
    <x v="0"/>
    <n v="3.0000000000000009"/>
    <x v="0"/>
    <n v="1E-3"/>
    <n v="542.10300000000007"/>
    <n v="2E-3"/>
    <n v="437.68700000000001"/>
    <s v="CRITFC"/>
    <n v="383.11864478725096"/>
    <n v="101403076.66500001"/>
    <n v="766.23728957450192"/>
    <n v="766.23728957450192"/>
    <n v="374.11"/>
    <n v="1.5680000000000002E-3"/>
    <n v="2.8924392596978804E-6"/>
    <s v="NB: 2015 was DEATH year for Columbia sox because of high temps"/>
  </r>
  <r>
    <s v="Okanagan Sockeye"/>
    <s v="2010s"/>
    <x v="35"/>
    <n v="2011"/>
    <x v="36"/>
    <n v="512455"/>
    <n v="542103"/>
    <n v="540357"/>
    <n v="187055"/>
    <n v="0.70672666409750717"/>
    <n v="437687"/>
    <n v="383118.64478725096"/>
    <n v="187055"/>
    <n v="101403076665"/>
    <n v="3.2263241487318832E-3"/>
    <n v="0.70672666409750717"/>
    <n v="0.72614743814231109"/>
    <n v="0.78400000000000003"/>
    <n v="0.45124797124863747"/>
    <x v="1"/>
    <n v="3.9999999999999996"/>
    <x v="0"/>
    <n v="0.97499999999999998"/>
    <n v="528550.42499999993"/>
    <n v="0.94699999999999995"/>
    <n v="426744.82500000001"/>
    <s v="CRITFC"/>
    <n v="373540.67866756965"/>
    <n v="98867999748.375"/>
    <n v="362813.35661352664"/>
    <n v="362813.35661352664"/>
    <n v="177141.08499999999"/>
    <n v="0.742448"/>
    <n v="1.4046871686840476E-6"/>
    <s v="mortalities between BON and Wells unknown"/>
  </r>
  <r>
    <s v="Okanagan Sockeye"/>
    <s v="2010s"/>
    <x v="35"/>
    <n v="2010"/>
    <x v="35"/>
    <n v="512455"/>
    <n v="542103"/>
    <n v="540357"/>
    <n v="187055"/>
    <n v="0.70672666409750717"/>
    <n v="437687"/>
    <n v="383118.64478725096"/>
    <n v="187055"/>
    <n v="101403076665"/>
    <n v="3.2263241487318832E-3"/>
    <n v="0.70672666409750717"/>
    <n v="0.72614743814231109"/>
    <n v="0.78400000000000003"/>
    <n v="0.45124797124863747"/>
    <x v="2"/>
    <n v="5"/>
    <x v="0"/>
    <n v="1E-3"/>
    <n v="542.10300000000007"/>
    <n v="0.03"/>
    <n v="437.68700000000001"/>
    <s v="CRITFC"/>
    <n v="383.11864478725096"/>
    <n v="101403076.66500001"/>
    <n v="11493.559343617528"/>
    <n v="11493.559343617528"/>
    <n v="5611.65"/>
    <n v="2.3519999999999999E-2"/>
    <n v="4.3386588895468198E-5"/>
    <m/>
  </r>
  <r>
    <s v="Okanagan Sockeye"/>
    <s v="2010s"/>
    <x v="35"/>
    <n v="2011"/>
    <x v="37"/>
    <n v="512455"/>
    <n v="542103"/>
    <n v="540357"/>
    <n v="187055"/>
    <n v="0.70672666409750717"/>
    <n v="437687"/>
    <n v="383118.64478725096"/>
    <n v="187055"/>
    <n v="101403076665"/>
    <n v="3.2263241487318832E-3"/>
    <n v="0.70672666409750717"/>
    <n v="0.72614743814231109"/>
    <n v="0.78400000000000003"/>
    <n v="0.45124797124863747"/>
    <x v="3"/>
    <n v="4.0000000000000009"/>
    <x v="1"/>
    <n v="0"/>
    <n v="0"/>
    <n v="3.0000000000000001E-3"/>
    <n v="0"/>
    <s v="CRITFC"/>
    <n v="0"/>
    <n v="0"/>
    <n v="1149.3559343617528"/>
    <n v="1149.3559343617528"/>
    <n v="561.16499999999996"/>
    <n v="2.3519999999999999E-3"/>
    <n v="0"/>
    <s v="~10% of Ok Sox returned to spawning grounds"/>
  </r>
  <r>
    <s v="Okanagan Sockeye"/>
    <s v="2010s"/>
    <x v="35"/>
    <n v="2010"/>
    <x v="36"/>
    <n v="512455"/>
    <n v="542103"/>
    <n v="540357"/>
    <n v="187055"/>
    <n v="0.70672666409750717"/>
    <n v="437687"/>
    <n v="383118.64478725096"/>
    <n v="187055"/>
    <n v="101403076665"/>
    <n v="3.2263241487318832E-3"/>
    <n v="0.70672666409750717"/>
    <n v="0.72614743814231109"/>
    <n v="0.78400000000000003"/>
    <n v="0.45124797124863747"/>
    <x v="4"/>
    <n v="5.0000000000000018"/>
    <x v="1"/>
    <n v="2.1999999999999999E-2"/>
    <n v="11926.266"/>
    <n v="1E-3"/>
    <n v="9629.1139999999996"/>
    <s v="CRITFC"/>
    <n v="8428.6101853195214"/>
    <n v="2230867686.6299996"/>
    <n v="383.11864478725096"/>
    <n v="383.11864478725096"/>
    <n v="187.05500000000001"/>
    <n v="7.8400000000000008E-4"/>
    <n v="6.5737255902224555E-8"/>
    <s v="* sample sizes for ages extremely small - use Fryer age comp"/>
  </r>
  <r>
    <s v="Okanagan Sockeye"/>
    <s v="2010s"/>
    <x v="36"/>
    <n v="2013"/>
    <x v="38"/>
    <n v="356606"/>
    <n v="363350"/>
    <n v="361543"/>
    <n v="216036"/>
    <n v="0.69612458553655499"/>
    <n v="275427"/>
    <n v="252936.86815470725"/>
    <n v="216036"/>
    <n v="78496680600"/>
    <n v="2.6035502958579883E-3"/>
    <n v="0.69612458553655499"/>
    <n v="0.73560301084842705"/>
    <n v="0.70099999999999996"/>
    <n v="9.2860323668277359E-2"/>
    <x v="0"/>
    <n v="3.0000000000000009"/>
    <x v="0"/>
    <n v="8.9999999999999993E-3"/>
    <n v="3270.1499999999996"/>
    <n v="0.01"/>
    <n v="2754.27"/>
    <s v="SiRE"/>
    <n v="2276.4318133923653"/>
    <n v="706470125.39999998"/>
    <n v="2529.3686815470724"/>
    <n v="2529.3686815470724"/>
    <n v="2160.36"/>
    <n v="7.0099999999999997E-3"/>
    <n v="2.1436325550815715E-6"/>
    <m/>
  </r>
  <r>
    <s v="Okanagan Sockeye"/>
    <s v="2010s"/>
    <x v="36"/>
    <n v="2012"/>
    <x v="37"/>
    <n v="356606"/>
    <n v="363350"/>
    <n v="361543"/>
    <n v="216036"/>
    <n v="0.69612458553655499"/>
    <n v="275427"/>
    <n v="252936.86815470725"/>
    <n v="216036"/>
    <n v="78496680600"/>
    <n v="2.6035502958579883E-3"/>
    <n v="0.69612458553655499"/>
    <n v="0.73560301084842705"/>
    <n v="0.70099999999999996"/>
    <n v="9.2860323668277359E-2"/>
    <x v="1"/>
    <n v="3.9999999999999996"/>
    <x v="0"/>
    <n v="0.96"/>
    <n v="348816"/>
    <n v="0.95699999999999996"/>
    <n v="263583.63899999997"/>
    <s v="SiRE"/>
    <n v="242819.39342851896"/>
    <n v="75356813376"/>
    <n v="242060.58282405481"/>
    <n v="242060.58282405481"/>
    <n v="206746.45199999999"/>
    <n v="0.67085699999999993"/>
    <n v="1.923240333012247E-6"/>
    <s v="presuming SIRE age comp from Sp Grds in 2016"/>
  </r>
  <r>
    <s v="Okanagan Sockeye"/>
    <s v="2010s"/>
    <x v="36"/>
    <n v="2011"/>
    <x v="36"/>
    <n v="356606"/>
    <n v="363350"/>
    <n v="361543"/>
    <n v="216036"/>
    <n v="0.69612458553655499"/>
    <n v="275427"/>
    <n v="252936.86815470725"/>
    <n v="216036"/>
    <n v="78496680600"/>
    <n v="2.6035502958579883E-3"/>
    <n v="0.69612458553655499"/>
    <n v="0.73560301084842705"/>
    <n v="0.70099999999999996"/>
    <n v="9.2860323668277359E-2"/>
    <x v="2"/>
    <n v="5"/>
    <x v="0"/>
    <n v="7.0000000000000001E-3"/>
    <n v="2543.4500000000003"/>
    <n v="2.5000000000000001E-2"/>
    <n v="6885.6750000000002"/>
    <s v="SiRE"/>
    <n v="1770.5580770829508"/>
    <n v="549476764.20000005"/>
    <n v="6323.4217038676816"/>
    <n v="6323.4217038676816"/>
    <n v="5400.9000000000005"/>
    <n v="1.7524999999999999E-2"/>
    <n v="6.8902474984764779E-6"/>
    <m/>
  </r>
  <r>
    <s v="Okanagan Sockeye"/>
    <s v="2010s"/>
    <x v="36"/>
    <n v="2012"/>
    <x v="38"/>
    <n v="356606"/>
    <n v="363350"/>
    <n v="361543"/>
    <n v="216036"/>
    <n v="0.69612458553655499"/>
    <n v="275427"/>
    <n v="252936.86815470725"/>
    <n v="216036"/>
    <n v="78496680600"/>
    <n v="2.6035502958579883E-3"/>
    <n v="0.69612458553655499"/>
    <n v="0.73560301084842705"/>
    <n v="0.70099999999999996"/>
    <n v="9.2860323668277359E-2"/>
    <x v="3"/>
    <n v="4.0000000000000009"/>
    <x v="1"/>
    <n v="0"/>
    <n v="0"/>
    <n v="3.0000000000000001E-3"/>
    <n v="826.28100000000006"/>
    <s v="SiRE"/>
    <n v="0"/>
    <n v="0"/>
    <n v="758.81060446412175"/>
    <n v="758.81060446412175"/>
    <n v="648.10800000000006"/>
    <n v="2.1029999999999998E-3"/>
    <n v="0"/>
    <m/>
  </r>
  <r>
    <s v="Okanagan Sockeye"/>
    <s v="2010s"/>
    <x v="36"/>
    <n v="2011"/>
    <x v="37"/>
    <n v="356606"/>
    <n v="363350"/>
    <n v="361543"/>
    <n v="216036"/>
    <n v="0.69612458553655499"/>
    <n v="275427"/>
    <n v="252936.86815470725"/>
    <n v="216036"/>
    <n v="78496680600"/>
    <n v="2.6035502958579883E-3"/>
    <n v="0.69612458553655499"/>
    <n v="0.73560301084842705"/>
    <n v="0.70099999999999996"/>
    <n v="9.2860323668277359E-2"/>
    <x v="4"/>
    <n v="5.0000000000000018"/>
    <x v="1"/>
    <n v="2.4E-2"/>
    <n v="8720.4"/>
    <n v="5.0000000000000001E-3"/>
    <n v="1377.135"/>
    <s v="SiRE"/>
    <n v="6070.484835712974"/>
    <n v="1883920334.4000001"/>
    <n v="1264.6843407735362"/>
    <n v="1264.6843407735362"/>
    <n v="1080.18"/>
    <n v="3.5049999999999999E-3"/>
    <n v="4.0193110407779461E-7"/>
    <m/>
  </r>
  <r>
    <s v="Okanagan Sockeye"/>
    <s v="2010s"/>
    <x v="37"/>
    <n v="2014"/>
    <x v="39"/>
    <n v="88263"/>
    <n v="91242"/>
    <n v="90672"/>
    <n v="42299"/>
    <n v="0.57771313065093288"/>
    <n v="58111"/>
    <n v="52711.701466852421"/>
    <n v="42299"/>
    <n v="3859445358"/>
    <n v="4.8661800486618006E-3"/>
    <n v="0.57771313065093288"/>
    <n v="0"/>
    <n v="0.59199999999999997"/>
    <n v="0.13819040056467266"/>
    <x v="0"/>
    <n v="3.0000000000000009"/>
    <x v="0"/>
    <n v="0.19"/>
    <n v="17335.98"/>
    <n v="3.7999999999999999E-2"/>
    <n v="2208.2179999999998"/>
    <s v="SiRE"/>
    <n v="10015.22327870196"/>
    <n v="733294618.01999998"/>
    <n v="2003.044655740392"/>
    <n v="2003.044655740392"/>
    <n v="1607.3619999999999"/>
    <n v="2.2495999999999999E-2"/>
    <n v="1.2976480129764801E-6"/>
    <s v="presuming SIRE age comp from Sp Grds in 2017"/>
  </r>
  <r>
    <s v="Okanagan Sockeye"/>
    <s v="2010s"/>
    <x v="37"/>
    <n v="2013"/>
    <x v="38"/>
    <n v="88263"/>
    <n v="91242"/>
    <n v="90672"/>
    <n v="42299"/>
    <n v="0.57771313065093288"/>
    <n v="58111"/>
    <n v="52711.701466852421"/>
    <n v="42299"/>
    <n v="3859445358"/>
    <n v="4.8661800486618006E-3"/>
    <n v="0.57771313065093288"/>
    <n v="0"/>
    <n v="0.59199999999999997"/>
    <n v="0.13819040056467266"/>
    <x v="1"/>
    <n v="3.9999999999999996"/>
    <x v="0"/>
    <n v="0.52700000000000002"/>
    <n v="48084.534"/>
    <n v="0.75900000000000001"/>
    <n v="44106.249000000003"/>
    <s v="SiRE"/>
    <n v="27779.066673031226"/>
    <n v="2033927703.6660001"/>
    <n v="40008.181413340986"/>
    <n v="40008.181413340986"/>
    <n v="32104.940999999999"/>
    <n v="0.44932800000000001"/>
    <n v="9.344543091547898E-6"/>
    <m/>
  </r>
  <r>
    <s v="Okanagan Sockeye"/>
    <s v="2010s"/>
    <x v="37"/>
    <n v="2012"/>
    <x v="37"/>
    <n v="88263"/>
    <n v="91242"/>
    <n v="90672"/>
    <n v="42299"/>
    <n v="0.57771313065093288"/>
    <n v="58111"/>
    <n v="52711.701466852421"/>
    <n v="42299"/>
    <n v="3859445358"/>
    <n v="4.8661800486618006E-3"/>
    <n v="0.57771313065093288"/>
    <n v="0"/>
    <n v="0.59199999999999997"/>
    <n v="0.13819040056467266"/>
    <x v="2"/>
    <n v="5"/>
    <x v="0"/>
    <n v="0.221"/>
    <n v="20164.482"/>
    <n v="0.18099999999999999"/>
    <n v="10518.091"/>
    <s v="SiRE"/>
    <n v="11649.286024174386"/>
    <n v="852937424.11800003"/>
    <n v="9540.8179655002878"/>
    <n v="9540.8179655002878"/>
    <n v="7656.1189999999997"/>
    <n v="0.107152"/>
    <n v="5.3138979716910158E-6"/>
    <m/>
  </r>
  <r>
    <s v="Okanagan Sockeye"/>
    <s v="2010s"/>
    <x v="37"/>
    <n v="2013"/>
    <x v="39"/>
    <n v="88263"/>
    <n v="91242"/>
    <n v="90672"/>
    <n v="42299"/>
    <n v="0.57771313065093288"/>
    <n v="58111"/>
    <n v="52711.701466852421"/>
    <n v="42299"/>
    <n v="3859445358"/>
    <n v="4.8661800486618006E-3"/>
    <n v="0.57771313065093288"/>
    <n v="0"/>
    <n v="0.59199999999999997"/>
    <n v="0.13819040056467266"/>
    <x v="3"/>
    <n v="4.0000000000000009"/>
    <x v="1"/>
    <n v="3.5999999999999997E-2"/>
    <n v="3284.7119999999995"/>
    <n v="1.4999999999999999E-2"/>
    <n v="871.66499999999996"/>
    <s v="SiRE"/>
    <n v="1897.6212528066869"/>
    <n v="138940032.88799998"/>
    <n v="790.67552200278624"/>
    <n v="790.67552200278624"/>
    <n v="634.48500000000001"/>
    <n v="8.879999999999999E-3"/>
    <n v="2.7034333603676671E-6"/>
    <m/>
  </r>
  <r>
    <s v="Okanagan Sockeye"/>
    <s v="2010s"/>
    <x v="37"/>
    <n v="2012"/>
    <x v="38"/>
    <n v="88263"/>
    <n v="91242"/>
    <n v="90672"/>
    <n v="42299"/>
    <n v="0.57771313065093288"/>
    <n v="58111"/>
    <n v="52711.701466852421"/>
    <n v="42299"/>
    <n v="3859445358"/>
    <n v="4.8661800486618006E-3"/>
    <n v="0.57771313065093288"/>
    <n v="0"/>
    <n v="0.59199999999999997"/>
    <n v="0.13819040056467266"/>
    <x v="4"/>
    <n v="5.0000000000000018"/>
    <x v="1"/>
    <n v="2.1999999999999999E-2"/>
    <n v="2007.3239999999998"/>
    <n v="7.0000000000000001E-3"/>
    <n v="406.77699999999999"/>
    <s v="SiRE"/>
    <n v="1159.6574322707531"/>
    <n v="84907797.876000002"/>
    <n v="368.98191026796695"/>
    <n v="368.98191026796695"/>
    <n v="296.09300000000002"/>
    <n v="4.1440000000000001E-3"/>
    <n v="2.0644400206444002E-6"/>
    <m/>
  </r>
  <r>
    <s v="Okanagan Sockeye"/>
    <s v="2010s"/>
    <x v="37"/>
    <n v="2011"/>
    <x v="37"/>
    <n v="88263"/>
    <n v="91242"/>
    <n v="90672"/>
    <n v="42299"/>
    <n v="0.57771313065093288"/>
    <n v="58111"/>
    <n v="52711.701466852421"/>
    <n v="42299"/>
    <n v="3859445358"/>
    <n v="4.8661800486618006E-3"/>
    <n v="0.57771313065093288"/>
    <n v="0"/>
    <n v="0.59199999999999997"/>
    <n v="0.13819040056467266"/>
    <x v="5"/>
    <n v="5.9999999999999982"/>
    <x v="1"/>
    <n v="4.0000000000000001E-3"/>
    <n v="364.96800000000002"/>
    <n v="0"/>
    <n v="0"/>
    <s v="SiRE"/>
    <n v="210.8468058674097"/>
    <n v="15437781.432"/>
    <n v="0"/>
    <n v="0"/>
    <n v="0"/>
    <n v="0"/>
    <n v="0"/>
    <m/>
  </r>
  <r>
    <s v="Okanagan Sockeye"/>
    <s v="2010s"/>
    <x v="38"/>
    <n v="2015"/>
    <x v="40"/>
    <n v="210915"/>
    <n v="203637"/>
    <n v="203486"/>
    <n v="153637"/>
    <n v="0.89319163532140755"/>
    <n v="187073"/>
    <n v="181886.86504194548"/>
    <n v="153637"/>
    <n v="31286177769"/>
    <n v="1.4584775851146895E-3"/>
    <n v="0.89319163532140755"/>
    <n v="0"/>
    <n v="0.90199999999999991"/>
    <n v="0.11527082944281179"/>
    <x v="0"/>
    <n v="3.0000000000000009"/>
    <x v="0"/>
    <n v="4.0000000000000001E-3"/>
    <n v="814.548"/>
    <n v="2.5999999999999999E-3"/>
    <n v="486.38979999999998"/>
    <s v="SiRE"/>
    <n v="727.54746016778188"/>
    <n v="125144711.07600001"/>
    <n v="472.90584910905824"/>
    <n v="472.90584910905824"/>
    <n v="399.45619999999997"/>
    <n v="2.3451999999999995E-3"/>
    <n v="2.8791427883930714E-6"/>
    <s v="based on deadpitch of natural spawners in &quot;2018 Deadpiitch Adult Sockeye BioData.xlsx 10/21/2020"/>
  </r>
  <r>
    <s v="Okanagan Sockeye"/>
    <s v="2010s"/>
    <x v="38"/>
    <n v="2014"/>
    <x v="39"/>
    <n v="210915"/>
    <n v="203637"/>
    <n v="203486"/>
    <n v="153637"/>
    <n v="0.89319163532140755"/>
    <n v="187073"/>
    <n v="181886.86504194548"/>
    <n v="153637"/>
    <n v="31286177769"/>
    <n v="1.4584775851146895E-3"/>
    <n v="0.89319163532140755"/>
    <n v="0"/>
    <n v="0.90199999999999991"/>
    <n v="0.11527082944281179"/>
    <x v="1"/>
    <n v="3.9999999999999996"/>
    <x v="0"/>
    <n v="0.95599999999999996"/>
    <n v="194676.97199999998"/>
    <n v="0.97099999999999997"/>
    <n v="181647.883"/>
    <s v="SiRE"/>
    <n v="173883.84298009987"/>
    <n v="29909585947.163998"/>
    <n v="176612.14595572907"/>
    <n v="176612.14595572907"/>
    <n v="149181.527"/>
    <n v="0.8758419999999999"/>
    <n v="4.4989501891369052E-6"/>
    <s v="based on deadpitch of natural spawners in &quot;2018 Deadpiitch Adult Sockeye BioData.xlsx 10/21/2021"/>
  </r>
  <r>
    <s v="Okanagan Sockeye"/>
    <s v="2010s"/>
    <x v="38"/>
    <n v="2013"/>
    <x v="38"/>
    <n v="210915"/>
    <n v="203637"/>
    <n v="203486"/>
    <n v="153637"/>
    <n v="0.89319163532140755"/>
    <n v="187073"/>
    <n v="181886.86504194548"/>
    <n v="153637"/>
    <n v="31286177769"/>
    <n v="1.4584775851146895E-3"/>
    <n v="0.89319163532140755"/>
    <n v="0"/>
    <n v="0.90199999999999991"/>
    <n v="0.11527082944281179"/>
    <x v="2"/>
    <n v="5"/>
    <x v="0"/>
    <n v="1.0999999999999999E-2"/>
    <n v="2240.0070000000001"/>
    <n v="2.1000000000000001E-2"/>
    <n v="3928.5330000000004"/>
    <s v="SiRE"/>
    <n v="2000.7555154614001"/>
    <n v="344147955.45899999"/>
    <n v="3819.6241658808553"/>
    <n v="3819.6241658808553"/>
    <n v="3226.3770000000004"/>
    <n v="1.8942000000000001E-2"/>
    <n v="8.4562235743013301E-6"/>
    <s v="based on deadpitch of natural spawners in &quot;2018 Deadpiitch Adult Sockeye BioData.xlsx 10/21/2022"/>
  </r>
  <r>
    <s v="Okanagan Sockeye"/>
    <s v="2010s"/>
    <x v="38"/>
    <n v="2014"/>
    <x v="40"/>
    <n v="210915"/>
    <n v="203637"/>
    <n v="203486"/>
    <n v="153637"/>
    <n v="0.89319163532140755"/>
    <n v="187073"/>
    <n v="181886.86504194548"/>
    <n v="153637"/>
    <n v="31286177769"/>
    <n v="1.4584775851146895E-3"/>
    <n v="0.89319163532140755"/>
    <n v="0"/>
    <n v="0.90199999999999991"/>
    <n v="0.11527082944281179"/>
    <x v="3"/>
    <n v="4.0000000000000009"/>
    <x v="1"/>
    <n v="2.1999999999999999E-2"/>
    <n v="4480.0140000000001"/>
    <n v="2.5999999999999999E-3"/>
    <n v="486.38979999999998"/>
    <s v="SiRE"/>
    <n v="4001.5110309228003"/>
    <n v="688295910.91799998"/>
    <n v="472.90584910905824"/>
    <n v="472.90584910905824"/>
    <n v="399.45619999999997"/>
    <n v="2.3451999999999995E-3"/>
    <n v="5.2348050698055844E-7"/>
    <s v="based on deadpitch of natural spawners in &quot;2018 Deadpiitch Adult Sockeye BioData.xlsx 10/21/2023"/>
  </r>
  <r>
    <s v="Okanagan Sockeye"/>
    <s v="2010s"/>
    <x v="38"/>
    <n v="2013"/>
    <x v="39"/>
    <n v="210915"/>
    <n v="203637"/>
    <n v="203486"/>
    <n v="153637"/>
    <n v="0.89319163532140755"/>
    <n v="187073"/>
    <n v="181886.86504194548"/>
    <n v="153637"/>
    <n v="31286177769"/>
    <n v="1.4584775851146895E-3"/>
    <n v="0.89319163532140755"/>
    <n v="0"/>
    <n v="0.90199999999999991"/>
    <n v="0.11527082944281179"/>
    <x v="4"/>
    <n v="5.0000000000000018"/>
    <x v="1"/>
    <n v="6.0000000000000001E-3"/>
    <n v="1221.8220000000001"/>
    <n v="2.5999999999999999E-3"/>
    <n v="486.38979999999998"/>
    <s v="SiRE"/>
    <n v="1091.321190251673"/>
    <n v="187717066.61399999"/>
    <n v="472.90584910905824"/>
    <n v="472.90584910905824"/>
    <n v="399.45619999999997"/>
    <n v="2.3451999999999995E-3"/>
    <n v="1.919428525595381E-6"/>
    <s v="based on deadpitch of natural spawners in &quot;2018 Deadpiitch Adult Sockeye BioData.xlsx 10/21/2024"/>
  </r>
  <r>
    <s v="Okanagan Sockeye"/>
    <s v="2010s"/>
    <x v="39"/>
    <n v="2016"/>
    <x v="41"/>
    <n v="63222"/>
    <n v="64511"/>
    <n v="64470"/>
    <n v="49862"/>
    <n v="0.85143950001707591"/>
    <n v="54550"/>
    <n v="54927.213585601581"/>
    <n v="49862"/>
    <n v="3216647482"/>
    <n v="5.1929128365705074E-3"/>
    <n v="0.85143950001707591"/>
    <n v="0"/>
    <n v="0.85500000000000009"/>
    <n v="6.9101907864122847E-2"/>
    <x v="0"/>
    <n v="3.0000000000000009"/>
    <x v="0"/>
    <n v="0.54300000000000004"/>
    <n v="35029.473000000005"/>
    <n v="0.185"/>
    <n v="10091.75"/>
    <s v="SiRE"/>
    <n v="29825.476976981659"/>
    <n v="1746639582.7260001"/>
    <n v="10161.534513336292"/>
    <n v="10161.534513336292"/>
    <n v="9224.4699999999993"/>
    <n v="0.15817500000000001"/>
    <n v="4.5154832903138447E-6"/>
    <s v="Mean %OK = 85.7% from CNAT_Escapement Units _2020.xlsx!%Okanagan - avg of Wells/RIS &amp; RRH/RIS estimates [HS July 2020]"/>
  </r>
  <r>
    <s v="Okanagan Sockeye"/>
    <s v="2010s"/>
    <x v="39"/>
    <n v="2015"/>
    <x v="40"/>
    <n v="63222"/>
    <n v="64511"/>
    <n v="64470"/>
    <n v="49862"/>
    <n v="0.85143950001707591"/>
    <n v="54550"/>
    <n v="54927.213585601581"/>
    <n v="49862"/>
    <n v="3216647482"/>
    <n v="5.1929128365705074E-3"/>
    <n v="0.85143950001707591"/>
    <n v="0"/>
    <n v="0.85500000000000009"/>
    <n v="6.9101907864122847E-2"/>
    <x v="1"/>
    <n v="3.9999999999999996"/>
    <x v="0"/>
    <n v="0.17199999999999999"/>
    <n v="11095.892"/>
    <n v="0.54200000000000004"/>
    <n v="29566.100000000002"/>
    <s v="SiRE"/>
    <n v="9447.4807367234716"/>
    <n v="553263366.90399992"/>
    <n v="29770.549763396059"/>
    <n v="29770.549763396059"/>
    <n v="27025.204000000002"/>
    <n v="0.4634100000000001"/>
    <n v="4.1764105130078784E-5"/>
    <s v="Fryer's sampling at BON -- 85% OK; 11% Wenatchee; 4% other [prelim. 14/09/2020]"/>
  </r>
  <r>
    <s v="Okanagan Sockeye"/>
    <s v="2010s"/>
    <x v="39"/>
    <n v="2014"/>
    <x v="39"/>
    <n v="63222"/>
    <n v="64511"/>
    <n v="64470"/>
    <n v="49862"/>
    <n v="0.85143950001707591"/>
    <n v="54550"/>
    <n v="54927.213585601581"/>
    <n v="49862"/>
    <n v="3216647482"/>
    <n v="5.1929128365705074E-3"/>
    <n v="0.85143950001707591"/>
    <n v="0"/>
    <n v="0.85500000000000009"/>
    <n v="6.9101907864122847E-2"/>
    <x v="2"/>
    <n v="5"/>
    <x v="0"/>
    <n v="0.224"/>
    <n v="14450.464"/>
    <n v="0.26700000000000002"/>
    <n v="14564.85"/>
    <s v="SiRE"/>
    <n v="12303.695843174755"/>
    <n v="720529035.96800005"/>
    <n v="14665.566027355622"/>
    <n v="14665.566027355622"/>
    <n v="13313.154"/>
    <n v="0.22828500000000004"/>
    <n v="1.5797762618556749E-5"/>
    <m/>
  </r>
  <r>
    <s v="Okanagan Sockeye"/>
    <s v="2010s"/>
    <x v="39"/>
    <n v="2015"/>
    <x v="41"/>
    <n v="63222"/>
    <n v="64511"/>
    <n v="64470"/>
    <n v="49862"/>
    <n v="0.85143950001707591"/>
    <n v="54550"/>
    <n v="54927.213585601581"/>
    <n v="49862"/>
    <n v="3216647482"/>
    <n v="5.1929128365705074E-3"/>
    <n v="0.85143950001707591"/>
    <n v="0"/>
    <n v="0.85500000000000009"/>
    <n v="6.9101907864122847E-2"/>
    <x v="3"/>
    <n v="4.0000000000000009"/>
    <x v="1"/>
    <n v="1.2E-2"/>
    <n v="774.13200000000006"/>
    <n v="2E-3"/>
    <n v="109.10000000000001"/>
    <s v="SiRE"/>
    <n v="659.12656302721894"/>
    <n v="38599769.784000002"/>
    <n v="109.85442717120317"/>
    <n v="109.85442717120317"/>
    <n v="99.724000000000004"/>
    <n v="1.7100000000000001E-3"/>
    <n v="2.2089256095859619E-6"/>
    <s v="Ages for 2019 Return year are from Fryer's sampling at BON [prelim, report not finalized, 14/09/2020]"/>
  </r>
  <r>
    <s v="Okanagan Sockeye"/>
    <s v="2010s"/>
    <x v="39"/>
    <n v="2014"/>
    <x v="40"/>
    <n v="63222"/>
    <n v="64511"/>
    <n v="64470"/>
    <n v="49862"/>
    <n v="0.85143950001707591"/>
    <n v="54550"/>
    <n v="54927.213585601581"/>
    <n v="49862"/>
    <n v="3216647482"/>
    <n v="5.1929128365705074E-3"/>
    <n v="0.85143950001707591"/>
    <n v="0"/>
    <n v="0.85500000000000009"/>
    <n v="6.9101907864122847E-2"/>
    <x v="4"/>
    <n v="5.0000000000000018"/>
    <x v="1"/>
    <n v="4.8000000000000001E-2"/>
    <n v="3096.5280000000002"/>
    <n v="4.0000000000000001E-3"/>
    <n v="218.20000000000002"/>
    <s v="SiRE"/>
    <n v="2636.5062521088757"/>
    <n v="154399079.13600001"/>
    <n v="219.70885434240634"/>
    <n v="219.70885434240634"/>
    <n v="199.44800000000001"/>
    <n v="3.4200000000000003E-3"/>
    <n v="1.104462804792981E-6"/>
    <s v="Ages for 2019 now from deadpitch [11/3/2020]"/>
  </r>
  <r>
    <s v="Okanagan Sockeye"/>
    <s v="2010s"/>
    <x v="39"/>
    <n v="2013"/>
    <x v="39"/>
    <n v="63222"/>
    <n v="64511"/>
    <n v="64470"/>
    <n v="49862"/>
    <n v="0.85143950001707591"/>
    <n v="54550"/>
    <n v="54927.213585601581"/>
    <n v="49862"/>
    <n v="3216647482"/>
    <n v="5.1929128365705074E-3"/>
    <n v="0.85143950001707591"/>
    <n v="0"/>
    <n v="0.85500000000000009"/>
    <n v="6.9101907864122847E-2"/>
    <x v="5"/>
    <n v="5.9999999999999982"/>
    <x v="1"/>
    <n v="1E-3"/>
    <n v="64.510999999999996"/>
    <n v="0"/>
    <n v="0"/>
    <s v="SiRE"/>
    <n v="54.927213585601585"/>
    <n v="3216647.4819999998"/>
    <s v=""/>
    <n v="0"/>
    <n v="0"/>
    <n v="0"/>
    <n v="0"/>
    <m/>
  </r>
  <r>
    <s v="Okanagan Sockeye"/>
    <s v="2010s"/>
    <x v="40"/>
    <n v="2017"/>
    <x v="42"/>
    <n v="345018"/>
    <n v="364015"/>
    <n v="360736"/>
    <n v="226107"/>
    <n v="0.80625802310654682"/>
    <n v="308775"/>
    <n v="293490.01428112964"/>
    <n v="226107"/>
    <n v="82306339605"/>
    <n v="2.0603546557147372E-3"/>
    <n v="0.80625802310654682"/>
    <n v="0"/>
    <n v="0.80700000000000005"/>
    <n v="0.17821343032023418"/>
    <x v="0"/>
    <n v="3.0000000000000009"/>
    <x v="0"/>
    <n v="8.9999999999999993E-3"/>
    <n v="3276.1349999999998"/>
    <n v="1.0999999999999999E-2"/>
    <n v="3396.5249999999996"/>
    <s v="SiRE"/>
    <n v="2641.4101285301667"/>
    <n v="740757056.44499993"/>
    <n v="3228.3901570924259"/>
    <n v="3228.3901570924259"/>
    <n v="2487.1769999999997"/>
    <n v="8.8769999999999995E-3"/>
    <n v="2.7095953005599588E-6"/>
    <s v="Deadpitch age comp from ONA to AO [2024-03-23]"/>
  </r>
  <r>
    <s v="Okanagan Sockeye"/>
    <s v="2010s"/>
    <x v="40"/>
    <n v="2016"/>
    <x v="41"/>
    <n v="345018"/>
    <n v="364015"/>
    <n v="360736"/>
    <n v="226107"/>
    <n v="0.80625802310654682"/>
    <n v="308775"/>
    <n v="293490.01428112964"/>
    <n v="226107"/>
    <n v="82306339605"/>
    <n v="2.0603546557147372E-3"/>
    <n v="0.80625802310654682"/>
    <n v="0"/>
    <n v="0.80700000000000005"/>
    <n v="0.17821343032023418"/>
    <x v="1"/>
    <n v="3.9999999999999996"/>
    <x v="0"/>
    <n v="0.98599999999999999"/>
    <n v="358918.79"/>
    <n v="0.97099999999999997"/>
    <n v="299820.52499999997"/>
    <s v="SiRE"/>
    <n v="289381.15408119385"/>
    <n v="81154050850.529999"/>
    <n v="284978.80386697687"/>
    <n v="284978.80386697687"/>
    <n v="219549.897"/>
    <n v="0.78359699999999999"/>
    <n v="2.1832153173145382E-6"/>
    <n v="275.5298105584082"/>
  </r>
  <r>
    <s v="Okanagan Sockeye"/>
    <s v="2010s"/>
    <x v="40"/>
    <n v="2015"/>
    <x v="40"/>
    <n v="345018"/>
    <n v="364015"/>
    <n v="360736"/>
    <n v="226107"/>
    <n v="0.80625802310654682"/>
    <n v="308775"/>
    <n v="293490.01428112964"/>
    <n v="226107"/>
    <n v="82306339605"/>
    <n v="2.0603546557147372E-3"/>
    <n v="0.80625802310654682"/>
    <n v="0"/>
    <n v="0.80700000000000005"/>
    <n v="0.17821343032023418"/>
    <x v="2"/>
    <n v="5"/>
    <x v="0"/>
    <n v="2E-3"/>
    <n v="728.03"/>
    <n v="1.7999999999999999E-2"/>
    <n v="5557.95"/>
    <s v="SiRE"/>
    <n v="586.98002856225924"/>
    <n v="164612679.21000001"/>
    <n v="5282.8202570603335"/>
    <n v="5282.8202570603335"/>
    <n v="4069.9259999999995"/>
    <n v="1.4525999999999999E-2"/>
    <n v="1.9952474485941512E-5"/>
    <n v="271396.8634000321"/>
  </r>
  <r>
    <s v="Okanagan Sockeye"/>
    <s v="2010s"/>
    <x v="40"/>
    <n v="2016"/>
    <x v="42"/>
    <n v="345018"/>
    <n v="364015"/>
    <n v="360736"/>
    <n v="226107"/>
    <n v="0.80625802310654682"/>
    <n v="308775"/>
    <n v="293490.01428112964"/>
    <n v="226107"/>
    <n v="82306339605"/>
    <n v="2.0603546557147372E-3"/>
    <n v="0.80625802310654682"/>
    <n v="0"/>
    <n v="0.80700000000000005"/>
    <n v="0.17821343032023418"/>
    <x v="3"/>
    <n v="4.0000000000000009"/>
    <x v="1"/>
    <n v="1E-3"/>
    <n v="364.01499999999999"/>
    <m/>
    <n v="0"/>
    <s v="SiRE"/>
    <n v="293.49001428112962"/>
    <n v="82306339.605000004"/>
    <s v=""/>
    <n v="293.49001428112962"/>
    <n v="0"/>
    <n v="0"/>
    <n v="0"/>
    <n v="0"/>
  </r>
  <r>
    <s v="Okanagan Sockeye"/>
    <s v="2010s"/>
    <x v="40"/>
    <n v="2015"/>
    <x v="41"/>
    <n v="345018"/>
    <n v="364015"/>
    <n v="360736"/>
    <n v="226107"/>
    <n v="0.80625802310654682"/>
    <n v="308775"/>
    <n v="293490.01428112964"/>
    <n v="226107"/>
    <n v="82306339605"/>
    <n v="2.0603546557147372E-3"/>
    <n v="0.80625802310654682"/>
    <n v="0"/>
    <n v="0.80700000000000005"/>
    <n v="0.17821343032023418"/>
    <x v="4"/>
    <n v="5.0000000000000018"/>
    <x v="1"/>
    <n v="2E-3"/>
    <n v="728.03"/>
    <m/>
    <n v="0"/>
    <s v="SiRE"/>
    <n v="586.98002856225924"/>
    <n v="164612679.21000001"/>
    <s v=""/>
    <n v="586.98002856225924"/>
    <n v="0"/>
    <n v="0"/>
    <n v="0"/>
    <n v="275.5298105584082"/>
  </r>
  <r>
    <s v="Okanagan Sockeye"/>
    <s v="2010s"/>
    <x v="40"/>
    <n v="2014"/>
    <x v="40"/>
    <n v="345018"/>
    <n v="364015"/>
    <n v="360736"/>
    <n v="226107"/>
    <n v="0.80625802310654682"/>
    <n v="308775"/>
    <n v="293490.01428112964"/>
    <n v="226107"/>
    <n v="82306339605"/>
    <n v="2.0603546557147372E-3"/>
    <n v="0.80625802310654682"/>
    <n v="0"/>
    <n v="0.80700000000000005"/>
    <n v="0.17821343032023418"/>
    <x v="5"/>
    <n v="5.9999999999999982"/>
    <x v="1"/>
    <n v="0"/>
    <n v="0"/>
    <m/>
    <n v="0"/>
    <s v="SiRE"/>
    <n v="0"/>
    <n v="0"/>
    <s v=""/>
    <n v="0"/>
    <n v="0"/>
    <n v="0"/>
    <n v="0"/>
    <n v="551.0596211168164"/>
  </r>
  <r>
    <s v="Okanagan Sockeye"/>
    <s v="2020s"/>
    <x v="41"/>
    <n v="2018"/>
    <x v="43"/>
    <n v="152309"/>
    <n v="159340"/>
    <n v="158783"/>
    <n v="76255"/>
    <n v="0.69723956952279942"/>
    <n v="114039"/>
    <n v="111098.15300776286"/>
    <n v="76255"/>
    <n v="12150471700"/>
    <n v="5.9746454123258443E-3"/>
    <n v="0.69723956952279942"/>
    <n v="0"/>
    <n v="0.69262486130169598"/>
    <n v="0.24521516787061587"/>
    <x v="0"/>
    <n v="3.0000000000000009"/>
    <x v="0"/>
    <n v="0.253"/>
    <n v="40313.019999999997"/>
    <n v="0.17799999999999999"/>
    <n v="20298.941999999999"/>
    <s v="SiRE"/>
    <n v="28107.832710964001"/>
    <n v="3074069340.0999999"/>
    <n v="19775.471235381789"/>
    <n v="19775.471235381789"/>
    <n v="13573.39"/>
    <n v="0.12328722531170187"/>
    <n v="3.0582483106376522E-6"/>
    <s v="Deadpitch age comp from ONA to AO [2024-03-23]"/>
  </r>
  <r>
    <s v="Okanagan Sockeye"/>
    <s v="2010s"/>
    <x v="41"/>
    <n v="2017"/>
    <x v="42"/>
    <n v="152309"/>
    <n v="159340"/>
    <n v="158783"/>
    <n v="76255"/>
    <n v="0.69723956952279942"/>
    <n v="114039"/>
    <n v="111098.15300776286"/>
    <n v="76255"/>
    <n v="12150471700"/>
    <n v="5.9746454123258443E-3"/>
    <n v="0.69723956952279942"/>
    <n v="0"/>
    <n v="0.69262486130169598"/>
    <n v="0.24521516787061587"/>
    <x v="1"/>
    <n v="3.9999999999999996"/>
    <x v="0"/>
    <n v="0.59799999999999998"/>
    <n v="95285.319999999992"/>
    <n v="0.76500000000000001"/>
    <n v="87239.835000000006"/>
    <s v="SiRE"/>
    <n v="66436.695498642192"/>
    <n v="7265982076.5999994"/>
    <n v="84990.087050938586"/>
    <n v="84990.087050938586"/>
    <n v="58335.075000000004"/>
    <n v="0.52985801889579742"/>
    <n v="5.5607518439965089E-6"/>
    <m/>
  </r>
  <r>
    <s v="Okanagan Sockeye"/>
    <s v="2010s"/>
    <x v="41"/>
    <n v="2016"/>
    <x v="41"/>
    <n v="152309"/>
    <n v="159340"/>
    <n v="158783"/>
    <n v="76255"/>
    <n v="0.69723956952279942"/>
    <n v="114039"/>
    <n v="111098.15300776286"/>
    <n v="76255"/>
    <n v="12150471700"/>
    <n v="5.9746454123258443E-3"/>
    <n v="0.69723956952279942"/>
    <n v="0"/>
    <n v="0.69262486130169598"/>
    <n v="0.24521516787061587"/>
    <x v="2"/>
    <n v="5"/>
    <x v="0"/>
    <n v="0.114"/>
    <n v="18164.760000000002"/>
    <n v="5.7000000000000002E-2"/>
    <n v="6500.223"/>
    <s v="SiRE"/>
    <n v="12665.189442884966"/>
    <n v="1385153773.8"/>
    <n v="6332.5947214424832"/>
    <n v="6332.5947214424832"/>
    <n v="4346.5349999999999"/>
    <n v="3.9479617094196673E-2"/>
    <n v="2.1734180409868705E-6"/>
    <m/>
  </r>
  <r>
    <s v="Okanagan Sockeye"/>
    <s v="2020s"/>
    <x v="41"/>
    <n v="2017"/>
    <x v="43"/>
    <n v="152309"/>
    <n v="159340"/>
    <n v="158783"/>
    <n v="76255"/>
    <n v="0.69723956952279942"/>
    <n v="114039"/>
    <n v="111098.15300776286"/>
    <n v="76255"/>
    <n v="12150471700"/>
    <n v="5.9746454123258443E-3"/>
    <n v="0.69723956952279942"/>
    <n v="0"/>
    <n v="0.69262486130169598"/>
    <n v="0.24521516787061587"/>
    <x v="3"/>
    <n v="4.0000000000000009"/>
    <x v="1"/>
    <n v="0.03"/>
    <n v="4780.2"/>
    <m/>
    <n v="0"/>
    <s v="SiRE"/>
    <n v="3332.9445902328857"/>
    <n v="364514151"/>
    <s v=""/>
    <n v="3332.9445902328857"/>
    <n v="0"/>
    <n v="0"/>
    <n v="0"/>
    <m/>
  </r>
  <r>
    <s v="Okanagan Sockeye"/>
    <s v="2010s"/>
    <x v="41"/>
    <n v="2016"/>
    <x v="42"/>
    <n v="152309"/>
    <n v="159340"/>
    <n v="158783"/>
    <n v="76255"/>
    <n v="0.69723956952279942"/>
    <n v="114039"/>
    <n v="111098.15300776286"/>
    <n v="76255"/>
    <n v="12150471700"/>
    <n v="5.9746454123258443E-3"/>
    <n v="0.69723956952279942"/>
    <n v="0"/>
    <n v="0.69262486130169598"/>
    <n v="0.24521516787061587"/>
    <x v="4"/>
    <n v="5.0000000000000018"/>
    <x v="1"/>
    <n v="5.0000000000000001E-3"/>
    <n v="796.7"/>
    <m/>
    <n v="0"/>
    <s v="SiRE"/>
    <n v="555.49076503881429"/>
    <n v="60752358.5"/>
    <s v=""/>
    <n v="555.49076503881429"/>
    <n v="0"/>
    <n v="0"/>
    <n v="0"/>
    <m/>
  </r>
  <r>
    <s v="Okanagan Sockeye"/>
    <s v="2010s"/>
    <x v="41"/>
    <n v="2015"/>
    <x v="41"/>
    <n v="152309"/>
    <n v="159340"/>
    <n v="158783"/>
    <n v="76255"/>
    <n v="0.69723956952279942"/>
    <n v="114039"/>
    <n v="111098.15300776286"/>
    <n v="76255"/>
    <n v="12150471700"/>
    <n v="5.9746454123258443E-3"/>
    <n v="0.69723956952279942"/>
    <n v="0"/>
    <n v="0.69262486130169598"/>
    <n v="0.24521516787061587"/>
    <x v="5"/>
    <n v="5.9999999999999982"/>
    <x v="1"/>
    <n v="0"/>
    <n v="0"/>
    <m/>
    <n v="0"/>
    <s v="SiRE"/>
    <n v="0"/>
    <n v="0"/>
    <s v=""/>
    <n v="0"/>
    <n v="0"/>
    <n v="0"/>
    <n v="0"/>
    <m/>
  </r>
  <r>
    <s v="Okanagan Sockeye"/>
    <s v="2020s"/>
    <x v="42"/>
    <n v="2019"/>
    <x v="44"/>
    <n v="663253"/>
    <n v="704203"/>
    <n v="702522"/>
    <n v="478418"/>
    <n v="0.72494935091895696"/>
    <n v="582555"/>
    <n v="510511.50776518224"/>
    <n v="478418"/>
    <n v="336903390854"/>
    <n v="3.3072849732250502E-3"/>
    <n v="0.72494935091895696"/>
    <n v="0"/>
    <n v="0"/>
    <n v="1.671122043153097E-2"/>
    <x v="0"/>
    <n v="3.0000000000000009"/>
    <x v="0"/>
    <n v="0.02"/>
    <n v="14084.06"/>
    <n v="1.9E-2"/>
    <n v="11068.545"/>
    <s v="SiRE"/>
    <m/>
    <m/>
    <m/>
    <m/>
    <m/>
    <m/>
    <m/>
    <s v="Deadpitch age comp from ONA to AO [2024-03-23]"/>
  </r>
  <r>
    <s v="Okanagan Sockeye"/>
    <s v="2020s"/>
    <x v="42"/>
    <n v="2018"/>
    <x v="43"/>
    <n v="663253"/>
    <n v="704203"/>
    <n v="702522"/>
    <n v="478418"/>
    <n v="0.72494935091895696"/>
    <n v="582555"/>
    <n v="510511.50776518224"/>
    <n v="478418"/>
    <n v="336903390854"/>
    <n v="3.3072849732250502E-3"/>
    <n v="0.72494935091895696"/>
    <n v="0"/>
    <n v="0"/>
    <n v="1.671122043153097E-2"/>
    <x v="1"/>
    <n v="3.9999999999999996"/>
    <x v="0"/>
    <n v="0.94399999999999995"/>
    <n v="664767.63199999998"/>
    <n v="0.86099999999999999"/>
    <n v="501579.85499999998"/>
    <s v="SiRE"/>
    <m/>
    <m/>
    <m/>
    <m/>
    <m/>
    <m/>
    <m/>
    <m/>
  </r>
  <r>
    <s v="Okanagan Sockeye"/>
    <s v="2010s"/>
    <x v="42"/>
    <n v="2017"/>
    <x v="42"/>
    <n v="663253"/>
    <n v="704203"/>
    <n v="702522"/>
    <n v="478418"/>
    <n v="0.72494935091895696"/>
    <n v="582555"/>
    <n v="510511.50776518224"/>
    <n v="478418"/>
    <n v="336903390854"/>
    <n v="3.3072849732250502E-3"/>
    <n v="0.72494935091895696"/>
    <n v="0"/>
    <n v="0"/>
    <n v="1.671122043153097E-2"/>
    <x v="2"/>
    <n v="5"/>
    <x v="0"/>
    <n v="2.3E-2"/>
    <n v="16196.669"/>
    <n v="0.12"/>
    <n v="69906.599999999991"/>
    <s v="SiRE"/>
    <m/>
    <m/>
    <m/>
    <m/>
    <m/>
    <m/>
    <m/>
    <m/>
  </r>
  <r>
    <s v="Okanagan Sockeye"/>
    <s v="2020s"/>
    <x v="42"/>
    <n v="2018"/>
    <x v="44"/>
    <n v="663253"/>
    <n v="704203"/>
    <n v="702522"/>
    <n v="478418"/>
    <n v="0.72494935091895696"/>
    <n v="582555"/>
    <n v="510511.50776518224"/>
    <n v="478418"/>
    <n v="336903390854"/>
    <n v="3.3072849732250502E-3"/>
    <n v="0.72494935091895696"/>
    <n v="0"/>
    <n v="0"/>
    <n v="1.671122043153097E-2"/>
    <x v="3"/>
    <n v="4.0000000000000009"/>
    <x v="1"/>
    <n v="8.0000000000000002E-3"/>
    <n v="5633.6239999999998"/>
    <m/>
    <n v="0"/>
    <s v="SiRE"/>
    <m/>
    <m/>
    <m/>
    <m/>
    <m/>
    <m/>
    <m/>
    <m/>
  </r>
  <r>
    <s v="Okanagan Sockeye"/>
    <s v="2020s"/>
    <x v="42"/>
    <n v="2017"/>
    <x v="43"/>
    <n v="663253"/>
    <n v="704203"/>
    <n v="702522"/>
    <n v="478418"/>
    <n v="0.72494935091895696"/>
    <n v="582555"/>
    <n v="510511.50776518224"/>
    <n v="478418"/>
    <n v="336903390854"/>
    <n v="3.3072849732250502E-3"/>
    <n v="0.72494935091895696"/>
    <n v="0"/>
    <n v="0"/>
    <n v="1.671122043153097E-2"/>
    <x v="4"/>
    <n v="5.0000000000000018"/>
    <x v="1"/>
    <n v="4.0000000000000001E-3"/>
    <n v="2816.8119999999999"/>
    <m/>
    <n v="0"/>
    <s v="SiRE"/>
    <m/>
    <m/>
    <m/>
    <m/>
    <m/>
    <m/>
    <m/>
    <m/>
  </r>
  <r>
    <s v="Okanagan Sockeye"/>
    <s v="2010s"/>
    <x v="42"/>
    <n v="2016"/>
    <x v="42"/>
    <n v="663253"/>
    <n v="704203"/>
    <n v="702522"/>
    <n v="478418"/>
    <n v="0.72494935091895696"/>
    <n v="582555"/>
    <n v="510511.50776518224"/>
    <n v="478418"/>
    <n v="336903390854"/>
    <n v="3.3072849732250502E-3"/>
    <n v="0.72494935091895696"/>
    <n v="0"/>
    <n v="0"/>
    <n v="1.671122043153097E-2"/>
    <x v="5"/>
    <n v="5.9999999999999982"/>
    <x v="1"/>
    <n v="0"/>
    <n v="0"/>
    <m/>
    <n v="0"/>
    <s v="SiRE"/>
    <m/>
    <m/>
    <m/>
    <m/>
    <m/>
    <m/>
    <m/>
    <m/>
  </r>
  <r>
    <s v="Okanagan Sockeye"/>
    <s v="2020s"/>
    <x v="43"/>
    <n v="2020"/>
    <x v="45"/>
    <n v="327600"/>
    <n v="347145"/>
    <n v="345705"/>
    <n v="136956"/>
    <n v="0.55275010897115084"/>
    <n v="207088"/>
    <m/>
    <m/>
    <m/>
    <m/>
    <m/>
    <m/>
    <m/>
    <m/>
    <x v="0"/>
    <n v="3.0000000000000009"/>
    <x v="0"/>
    <n v="0.02"/>
    <m/>
    <n v="8.8999999999999996E-2"/>
    <n v="18430.831999999999"/>
    <s v="SiRE"/>
    <m/>
    <m/>
    <m/>
    <m/>
    <m/>
    <m/>
    <m/>
    <s v="Deadpitch age comp from ONA to AO [2024-03-23]"/>
  </r>
  <r>
    <s v="Okanagan Sockeye"/>
    <s v="2020s"/>
    <x v="43"/>
    <n v="2019"/>
    <x v="44"/>
    <n v="327600"/>
    <n v="347145"/>
    <n v="345705"/>
    <n v="136956"/>
    <n v="0.55275010897115084"/>
    <n v="207088"/>
    <m/>
    <m/>
    <m/>
    <m/>
    <m/>
    <m/>
    <m/>
    <m/>
    <x v="1"/>
    <n v="3.9999999999999996"/>
    <x v="0"/>
    <n v="0.94399999999999995"/>
    <m/>
    <n v="0.81200000000000006"/>
    <n v="168155.45600000001"/>
    <s v="SiRE"/>
    <m/>
    <m/>
    <m/>
    <m/>
    <m/>
    <m/>
    <m/>
    <m/>
  </r>
  <r>
    <s v="Okanagan Sockeye"/>
    <s v="2020s"/>
    <x v="43"/>
    <n v="2018"/>
    <x v="43"/>
    <n v="327600"/>
    <n v="347145"/>
    <n v="345705"/>
    <n v="136956"/>
    <n v="0.55275010897115084"/>
    <n v="207088"/>
    <m/>
    <m/>
    <m/>
    <m/>
    <m/>
    <m/>
    <m/>
    <m/>
    <x v="2"/>
    <n v="5"/>
    <x v="0"/>
    <n v="2.3E-2"/>
    <m/>
    <n v="9.6000000000000002E-2"/>
    <n v="19880.448"/>
    <s v="SiRE"/>
    <m/>
    <m/>
    <m/>
    <m/>
    <m/>
    <m/>
    <m/>
    <m/>
  </r>
  <r>
    <s v="Okanagan Sockeye"/>
    <s v="2020s"/>
    <x v="43"/>
    <n v="2019"/>
    <x v="45"/>
    <n v="327600"/>
    <n v="347145"/>
    <n v="345705"/>
    <n v="136956"/>
    <n v="0.55275010897115084"/>
    <n v="207088"/>
    <m/>
    <m/>
    <m/>
    <m/>
    <m/>
    <m/>
    <m/>
    <m/>
    <x v="3"/>
    <n v="4.0000000000000009"/>
    <x v="1"/>
    <n v="8.0000000000000002E-3"/>
    <m/>
    <n v="3.0000000000000001E-3"/>
    <n v="621.26400000000001"/>
    <s v="SiRE"/>
    <m/>
    <m/>
    <m/>
    <m/>
    <m/>
    <m/>
    <m/>
    <m/>
  </r>
  <r>
    <s v="Okanagan Sockeye"/>
    <s v="2020s"/>
    <x v="43"/>
    <n v="2018"/>
    <x v="44"/>
    <n v="327600"/>
    <n v="347145"/>
    <n v="345705"/>
    <n v="136956"/>
    <n v="0.55275010897115084"/>
    <n v="207088"/>
    <m/>
    <m/>
    <m/>
    <m/>
    <m/>
    <m/>
    <m/>
    <m/>
    <x v="4"/>
    <n v="5.0000000000000018"/>
    <x v="1"/>
    <n v="4.0000000000000001E-3"/>
    <m/>
    <m/>
    <n v="0"/>
    <s v="SiRE"/>
    <m/>
    <m/>
    <m/>
    <m/>
    <m/>
    <m/>
    <m/>
    <m/>
  </r>
  <r>
    <s v="Okanagan Sockeye"/>
    <s v="2020s"/>
    <x v="43"/>
    <n v="2017"/>
    <x v="43"/>
    <n v="327600"/>
    <n v="347145"/>
    <n v="345705"/>
    <n v="136956"/>
    <n v="0.55275010897115084"/>
    <n v="207088"/>
    <m/>
    <m/>
    <m/>
    <m/>
    <m/>
    <m/>
    <m/>
    <m/>
    <x v="5"/>
    <n v="5.9999999999999982"/>
    <x v="1"/>
    <n v="0"/>
    <m/>
    <m/>
    <n v="0"/>
    <s v="SiRE"/>
    <m/>
    <m/>
    <m/>
    <m/>
    <m/>
    <m/>
    <m/>
    <m/>
  </r>
  <r>
    <m/>
    <m/>
    <x v="44"/>
    <m/>
    <x v="46"/>
    <m/>
    <m/>
    <m/>
    <m/>
    <m/>
    <m/>
    <m/>
    <m/>
    <m/>
    <m/>
    <m/>
    <m/>
    <m/>
    <m/>
    <x v="10"/>
    <m/>
    <x v="4"/>
    <m/>
    <m/>
    <m/>
    <m/>
    <m/>
    <m/>
    <m/>
    <m/>
    <m/>
    <m/>
    <m/>
    <m/>
    <m/>
  </r>
  <r>
    <m/>
    <m/>
    <x v="44"/>
    <m/>
    <x v="46"/>
    <m/>
    <m/>
    <m/>
    <m/>
    <m/>
    <m/>
    <m/>
    <m/>
    <m/>
    <m/>
    <m/>
    <m/>
    <m/>
    <m/>
    <x v="10"/>
    <m/>
    <x v="4"/>
    <m/>
    <m/>
    <m/>
    <m/>
    <m/>
    <m/>
    <m/>
    <m/>
    <m/>
    <m/>
    <m/>
    <m/>
    <m/>
  </r>
  <r>
    <m/>
    <m/>
    <x v="44"/>
    <m/>
    <x v="46"/>
    <m/>
    <m/>
    <m/>
    <m/>
    <m/>
    <m/>
    <m/>
    <m/>
    <m/>
    <m/>
    <m/>
    <m/>
    <m/>
    <m/>
    <x v="10"/>
    <m/>
    <x v="4"/>
    <m/>
    <m/>
    <m/>
    <m/>
    <m/>
    <m/>
    <m/>
    <m/>
    <m/>
    <m/>
    <m/>
    <m/>
    <m/>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3">
  <r>
    <x v="0"/>
    <x v="0"/>
    <x v="0"/>
    <m/>
    <n v="21926"/>
    <m/>
    <n v="4.0000000000000001E-3"/>
    <n v="88"/>
    <m/>
    <m/>
    <m/>
    <m/>
    <n v="21838"/>
    <n v="0"/>
    <n v="21838"/>
    <n v="0"/>
  </r>
  <r>
    <x v="0"/>
    <x v="0"/>
    <x v="1"/>
    <m/>
    <n v="39378"/>
    <m/>
    <n v="8.9999999999999993E-3"/>
    <n v="354"/>
    <m/>
    <m/>
    <m/>
    <m/>
    <n v="39024"/>
    <n v="0"/>
    <n v="39024"/>
    <n v="0"/>
  </r>
  <r>
    <x v="0"/>
    <x v="0"/>
    <x v="2"/>
    <m/>
    <n v="4904"/>
    <m/>
    <n v="0.27400000000000002"/>
    <n v="1344"/>
    <m/>
    <m/>
    <m/>
    <m/>
    <n v="3560"/>
    <n v="0"/>
    <n v="3560"/>
    <n v="0"/>
  </r>
  <r>
    <x v="0"/>
    <x v="0"/>
    <x v="3"/>
    <m/>
    <n v="17753"/>
    <m/>
    <n v="0"/>
    <n v="0"/>
    <m/>
    <m/>
    <m/>
    <m/>
    <n v="17753"/>
    <n v="0"/>
    <n v="17753"/>
    <n v="0"/>
  </r>
  <r>
    <x v="0"/>
    <x v="0"/>
    <x v="4"/>
    <m/>
    <n v="41791"/>
    <m/>
    <n v="0"/>
    <n v="0"/>
    <m/>
    <m/>
    <m/>
    <m/>
    <n v="41791"/>
    <n v="0"/>
    <n v="41791"/>
    <n v="0"/>
  </r>
  <r>
    <x v="0"/>
    <x v="0"/>
    <x v="5"/>
    <m/>
    <n v="31260"/>
    <m/>
    <n v="0"/>
    <n v="0"/>
    <m/>
    <m/>
    <m/>
    <m/>
    <n v="31260"/>
    <n v="0"/>
    <n v="31260"/>
    <n v="0"/>
  </r>
  <r>
    <x v="0"/>
    <x v="0"/>
    <x v="6"/>
    <m/>
    <n v="20819"/>
    <m/>
    <n v="0"/>
    <n v="0"/>
    <m/>
    <m/>
    <m/>
    <m/>
    <n v="20819"/>
    <n v="0"/>
    <n v="20819"/>
    <n v="0"/>
  </r>
  <r>
    <x v="0"/>
    <x v="0"/>
    <x v="7"/>
    <m/>
    <n v="13490"/>
    <m/>
    <n v="0"/>
    <n v="0"/>
    <m/>
    <m/>
    <m/>
    <m/>
    <n v="13490"/>
    <n v="1619"/>
    <n v="11871"/>
    <n v="1619"/>
  </r>
  <r>
    <x v="0"/>
    <x v="0"/>
    <x v="8"/>
    <n v="12396693"/>
    <n v="126972"/>
    <n v="2517"/>
    <n v="0"/>
    <n v="0"/>
    <s v="0 (0.0)"/>
    <s v="126,972 (100) "/>
    <s v="7,999 (6.3) "/>
    <s v="118,973 (93.7) "/>
    <n v="126972"/>
    <n v="7999"/>
    <n v="118973"/>
    <n v="7999"/>
  </r>
  <r>
    <x v="0"/>
    <x v="0"/>
    <x v="9"/>
    <n v="704968"/>
    <n v="64088"/>
    <n v="1762"/>
    <n v="9.9862688802896012E-4"/>
    <n v="64"/>
    <s v="64 (0.1) "/>
    <s v="64,024 (99.9) "/>
    <s v="7107 (11.1)"/>
    <s v="56,917 (88.9) "/>
    <n v="64024"/>
    <n v="7107"/>
    <n v="56917"/>
    <n v="7107"/>
  </r>
  <r>
    <x v="0"/>
    <x v="0"/>
    <x v="10"/>
    <n v="2007362"/>
    <n v="182487"/>
    <n v="2635"/>
    <n v="2E-3"/>
    <n v="365"/>
    <s v="365 (0.2)"/>
    <s v="182,122 (99.8) "/>
    <s v="5646 (3.1)"/>
    <s v="176,476 (96.9) "/>
    <n v="182122"/>
    <n v="5646"/>
    <n v="176476"/>
    <n v="5646"/>
  </r>
  <r>
    <x v="0"/>
    <x v="0"/>
    <x v="11"/>
    <m/>
    <n v="11028.4"/>
    <n v="1966"/>
    <n v="6.0000000000000001E-3"/>
    <n v="215.4"/>
    <s v="215.4 (0.6)"/>
    <s v="13,483 (99.4)"/>
    <s v="553 (4.1)"/>
    <s v="12930 (95.9)"/>
    <n v="10813"/>
    <n v="443.33300000000003"/>
    <n v="10369.666999999999"/>
    <n v="443.33300000000003"/>
  </r>
  <r>
    <x v="0"/>
    <x v="0"/>
    <x v="12"/>
    <n v="999484"/>
    <n v="90862"/>
    <n v="2457"/>
    <n v="0"/>
    <n v="0"/>
    <s v="0 (0.0)"/>
    <s v="90,862 (100) "/>
    <s v="1,817 (2.0) "/>
    <s v="89,045 (98.0) "/>
    <n v="90862"/>
    <n v="1817"/>
    <n v="89045"/>
    <n v="1817"/>
  </r>
  <r>
    <x v="0"/>
    <x v="0"/>
    <x v="13"/>
    <n v="378835"/>
    <n v="34440"/>
    <n v="1817"/>
    <n v="1.8002322880371662E-2"/>
    <n v="620"/>
    <s v="620 (1.8)"/>
    <s v="33820 (98.2)"/>
    <s v="4,870 (14.4)"/>
    <s v="28950 (85.6)"/>
    <n v="33820"/>
    <n v="4870"/>
    <n v="28950"/>
    <n v="4870"/>
  </r>
  <r>
    <x v="0"/>
    <x v="0"/>
    <x v="14"/>
    <n v="1597267"/>
    <n v="145206"/>
    <n v="3711"/>
    <n v="0"/>
    <n v="0"/>
    <s v="0 (0.0)"/>
    <s v="145,206 (100) "/>
    <s v="3,775 (2.6) "/>
    <s v="141,431 (97.4) "/>
    <n v="145206"/>
    <n v="3775"/>
    <n v="141431"/>
    <n v="3775"/>
  </r>
  <r>
    <x v="0"/>
    <x v="0"/>
    <x v="15"/>
    <n v="112809"/>
    <n v="10255"/>
    <n v="528"/>
    <n v="0"/>
    <n v="0"/>
    <s v="0 (0.0)"/>
    <s v="10,255 (100) "/>
    <s v="164 (1.6)"/>
    <s v="10,091 (98.4) "/>
    <n v="10255"/>
    <n v="164"/>
    <n v="10091"/>
    <n v="164"/>
  </r>
  <r>
    <x v="0"/>
    <x v="0"/>
    <x v="16"/>
    <n v="600096"/>
    <n v="54554"/>
    <n v="1202"/>
    <n v="5.0042160061590348E-3"/>
    <n v="273"/>
    <s v="273 (0.5)"/>
    <s v="54,281 (99.5) "/>
    <s v="380 (0.7) "/>
    <s v="53901 (99.3) "/>
    <n v="54281"/>
    <n v="380"/>
    <n v="53901"/>
    <n v="380"/>
  </r>
  <r>
    <x v="0"/>
    <x v="0"/>
    <x v="17"/>
    <n v="110361"/>
    <n v="10033"/>
    <n v="899"/>
    <n v="1.3953951958536829E-2"/>
    <n v="140"/>
    <s v="140 (1.4)"/>
    <s v="9893 (98.6) "/>
    <s v="0 (0.0)"/>
    <s v="9,893 (100.0) "/>
    <n v="9893"/>
    <n v="0"/>
    <n v="9893"/>
    <n v="0"/>
  </r>
  <r>
    <x v="0"/>
    <x v="0"/>
    <x v="18"/>
    <n v="338305"/>
    <n v="30755"/>
    <n v="1238"/>
    <n v="0"/>
    <n v="0"/>
    <s v="0 (0.0)"/>
    <s v="30,755 (100) "/>
    <s v="215 (0.7)"/>
    <s v="30,540 (99.3) "/>
    <n v="30755"/>
    <n v="215"/>
    <n v="30540"/>
    <n v="215"/>
  </r>
  <r>
    <x v="0"/>
    <x v="0"/>
    <x v="19"/>
    <n v="143627"/>
    <n v="13057"/>
    <n v="487"/>
    <n v="1.1028567052155932E-2"/>
    <n v="144"/>
    <s v="144 (1.1)"/>
    <s v="12,913 (98.9) "/>
    <m/>
    <m/>
    <n v="12913"/>
    <n v="542.99164999999994"/>
    <n v="12370.00835"/>
    <n v="542.99164999999994"/>
  </r>
  <r>
    <x v="0"/>
    <x v="0"/>
    <x v="20"/>
    <n v="513667"/>
    <n v="46697"/>
    <n v="1364"/>
    <n v="4.0045399062038243E-3"/>
    <n v="187"/>
    <s v="187 (0.4)"/>
    <s v="46,510 (99.6) "/>
    <s v="1,209 (2.6) "/>
    <s v="45,301 (97.4) "/>
    <n v="46510"/>
    <n v="1209"/>
    <n v="45301"/>
    <n v="1209"/>
  </r>
  <r>
    <x v="0"/>
    <x v="0"/>
    <x v="21"/>
    <n v="117260"/>
    <n v="10660"/>
    <n v="806"/>
    <n v="1.9043151969981239E-2"/>
    <n v="203"/>
    <s v="203 (1.9)"/>
    <s v="10,457 (98.1) "/>
    <s v="690 (6.6) "/>
    <s v="9,767 (93.4)"/>
    <n v="10457"/>
    <n v="690"/>
    <n v="9767"/>
    <n v="690"/>
  </r>
  <r>
    <x v="0"/>
    <x v="0"/>
    <x v="22"/>
    <n v="821695"/>
    <n v="74700"/>
    <m/>
    <s v=""/>
    <s v=""/>
    <m/>
    <m/>
    <m/>
    <m/>
    <s v=""/>
    <s v=""/>
    <s v=""/>
    <s v=""/>
  </r>
  <r>
    <x v="0"/>
    <x v="0"/>
    <x v="23"/>
    <m/>
    <m/>
    <m/>
    <m/>
    <m/>
    <m/>
    <m/>
    <m/>
    <m/>
    <m/>
    <m/>
    <m/>
    <m/>
  </r>
  <r>
    <x v="0"/>
    <x v="1"/>
    <x v="9"/>
    <n v="44448"/>
    <n v="4041"/>
    <n v="352"/>
    <n v="3.0000000000000001E-3"/>
    <n v="12.123000000000001"/>
    <m/>
    <m/>
    <m/>
    <m/>
    <n v="4029"/>
    <n v="2023"/>
    <n v="2006"/>
    <n v="2023"/>
  </r>
  <r>
    <x v="0"/>
    <x v="1"/>
    <x v="10"/>
    <n v="196425"/>
    <n v="17857"/>
    <n v="283"/>
    <n v="1E-3"/>
    <n v="17.856999999999999"/>
    <m/>
    <m/>
    <m/>
    <m/>
    <n v="17839"/>
    <n v="2854"/>
    <n v="14985"/>
    <n v="2854"/>
  </r>
  <r>
    <x v="0"/>
    <x v="1"/>
    <x v="11"/>
    <n v="23520"/>
    <n v="2138"/>
    <n v="449"/>
    <n v="1.2999999999999999E-2"/>
    <n v="27.794"/>
    <m/>
    <m/>
    <m/>
    <m/>
    <n v="2208"/>
    <n v="660"/>
    <n v="1548"/>
    <n v="660"/>
  </r>
  <r>
    <x v="0"/>
    <x v="1"/>
    <x v="12"/>
    <n v="35301"/>
    <n v="3209"/>
    <n v="372"/>
    <n v="2E-3"/>
    <n v="6.4180000000000001"/>
    <m/>
    <m/>
    <m/>
    <m/>
    <n v="3203"/>
    <n v="887"/>
    <n v="2316"/>
    <n v="886.99999999999989"/>
  </r>
  <r>
    <x v="0"/>
    <x v="1"/>
    <x v="13"/>
    <n v="23273"/>
    <n v="2116"/>
    <n v="254"/>
    <n v="4.0000000000000001E-3"/>
    <n v="8.4640000000000004"/>
    <m/>
    <m/>
    <m/>
    <m/>
    <n v="2108"/>
    <n v="1632"/>
    <n v="476"/>
    <n v="1632"/>
  </r>
  <r>
    <x v="0"/>
    <x v="1"/>
    <x v="14"/>
    <n v="16443"/>
    <n v="1495"/>
    <n v="263"/>
    <n v="4.0000000000000001E-3"/>
    <n v="5.98"/>
    <m/>
    <m/>
    <m/>
    <m/>
    <n v="1489"/>
    <n v="135"/>
    <n v="1354"/>
    <n v="135"/>
  </r>
  <r>
    <x v="0"/>
    <x v="1"/>
    <x v="15"/>
    <n v="2065"/>
    <n v="188"/>
    <n v="26"/>
    <n v="8.9999999999999993E-3"/>
    <n v="1.6919999999999999"/>
    <m/>
    <m/>
    <m/>
    <m/>
    <n v="186"/>
    <n v="6"/>
    <n v="180"/>
    <n v="6"/>
  </r>
  <r>
    <x v="0"/>
    <x v="1"/>
    <x v="16"/>
    <n v="7035"/>
    <n v="640"/>
    <m/>
    <n v="0.01"/>
    <n v="6.4"/>
    <m/>
    <m/>
    <m/>
    <m/>
    <n v="531.56600000000003"/>
    <s v=""/>
    <s v=""/>
    <n v="53.156600000000005"/>
  </r>
  <r>
    <x v="0"/>
    <x v="1"/>
    <x v="17"/>
    <n v="1841"/>
    <n v="167"/>
    <n v="11"/>
    <n v="1.2999999999999999E-2"/>
    <n v="2.1709999999999998"/>
    <m/>
    <m/>
    <m/>
    <m/>
    <n v="165"/>
    <n v="0"/>
    <n v="165"/>
    <n v="0"/>
  </r>
  <r>
    <x v="0"/>
    <x v="1"/>
    <x v="18"/>
    <n v="2746"/>
    <n v="250"/>
    <n v="19"/>
    <n v="0"/>
    <s v=""/>
    <m/>
    <m/>
    <m/>
    <m/>
    <n v="250"/>
    <n v="4"/>
    <n v="246"/>
    <n v="4"/>
  </r>
  <r>
    <x v="0"/>
    <x v="1"/>
    <x v="19"/>
    <n v="590"/>
    <n v="54"/>
    <m/>
    <n v="0.01"/>
    <n v="0.54"/>
    <m/>
    <m/>
    <m/>
    <m/>
    <n v="54"/>
    <n v="0"/>
    <n v="0"/>
    <n v="54"/>
  </r>
  <r>
    <x v="0"/>
    <x v="1"/>
    <x v="20"/>
    <n v="15848"/>
    <n v="1441"/>
    <m/>
    <n v="0.01"/>
    <n v="14.41"/>
    <m/>
    <m/>
    <m/>
    <m/>
    <n v="1441"/>
    <n v="39"/>
    <n v="1402"/>
    <n v="1441"/>
  </r>
  <r>
    <x v="0"/>
    <x v="1"/>
    <x v="21"/>
    <n v="438"/>
    <n v="40"/>
    <m/>
    <n v="0.01"/>
    <n v="0.4"/>
    <m/>
    <m/>
    <m/>
    <m/>
    <n v="40"/>
    <n v="2"/>
    <n v="38"/>
    <n v="40"/>
  </r>
  <r>
    <x v="0"/>
    <x v="1"/>
    <x v="22"/>
    <n v="6170"/>
    <n v="561"/>
    <m/>
    <n v="0.01"/>
    <n v="5.61"/>
    <m/>
    <m/>
    <m/>
    <m/>
    <s v=""/>
    <s v=""/>
    <s v=""/>
    <s v=""/>
  </r>
  <r>
    <x v="0"/>
    <x v="1"/>
    <x v="23"/>
    <m/>
    <m/>
    <m/>
    <m/>
    <m/>
    <m/>
    <m/>
    <m/>
    <m/>
    <m/>
    <m/>
    <m/>
    <m/>
  </r>
  <r>
    <x v="1"/>
    <x v="2"/>
    <x v="11"/>
    <m/>
    <n v="49635"/>
    <n v="203"/>
    <n v="0.53905510224639874"/>
    <n v="26756"/>
    <m/>
    <s v="22879 (???)"/>
    <m/>
    <m/>
    <n v="22879"/>
    <n v="18303.2"/>
    <n v="4575.7999999999993"/>
    <n v="22879"/>
  </r>
  <r>
    <x v="1"/>
    <x v="2"/>
    <x v="12"/>
    <n v="403132"/>
    <n v="36648"/>
    <n v="1229"/>
    <n v="0.70001091464745691"/>
    <n v="25654"/>
    <s v="25,654 (70.0) "/>
    <s v="10,994 (30.0) "/>
    <s v="8257 (75.1%)"/>
    <s v="2737 (24.9)"/>
    <n v="10994"/>
    <n v="8257"/>
    <n v="2737"/>
    <n v="10994"/>
  </r>
  <r>
    <x v="1"/>
    <x v="2"/>
    <x v="13"/>
    <n v="323257"/>
    <n v="29387"/>
    <n v="1746"/>
    <n v="0.69700888147820461"/>
    <n v="20483"/>
    <s v="20,483 (69.7) "/>
    <s v="8,904 (30.3) "/>
    <s v="5,287 (59.4) "/>
    <s v="3,617 (40.6) "/>
    <n v="8904"/>
    <n v="5287"/>
    <n v="3617"/>
    <n v="8904"/>
  </r>
  <r>
    <x v="1"/>
    <x v="2"/>
    <x v="14"/>
    <n v="667117"/>
    <n v="60647"/>
    <n v="3215"/>
    <n v="0.18299338796642867"/>
    <n v="11098"/>
    <s v="11,098 (18.3) "/>
    <s v="49,549 (81.7) "/>
    <s v="20,207 (40.8) "/>
    <s v="29,342 (59.2) "/>
    <n v="49549"/>
    <n v="20207"/>
    <n v="29342"/>
    <n v="49549"/>
  </r>
  <r>
    <x v="1"/>
    <x v="2"/>
    <x v="15"/>
    <n v="653466"/>
    <n v="59405"/>
    <n v="703"/>
    <n v="0.76000336671997304"/>
    <n v="45148"/>
    <s v="45,148 (76.0) "/>
    <s v="14,257 (24.0) "/>
    <s v="0 (???) "/>
    <s v="14257 (100%)"/>
    <n v="14257"/>
    <n v="0"/>
    <n v="14257"/>
    <n v="14257"/>
  </r>
  <r>
    <x v="1"/>
    <x v="2"/>
    <x v="16"/>
    <n v="873659"/>
    <n v="79424"/>
    <n v="985"/>
    <n v="0.53599667606768731"/>
    <n v="42571"/>
    <s v="42571 (53.6)"/>
    <s v="36,853 (46.4) "/>
    <s v="241 (0.7) "/>
    <s v="36,612 (99.3) "/>
    <n v="36853"/>
    <n v="241"/>
    <n v="36612"/>
    <n v="36853"/>
  </r>
  <r>
    <x v="1"/>
    <x v="2"/>
    <x v="17"/>
    <n v="508522"/>
    <n v="46229"/>
    <n v="704"/>
    <n v="0.4130091501005862"/>
    <n v="19093"/>
    <s v="19,093 (41.3) "/>
    <s v="27,136 (58.7) "/>
    <s v="86 (0.3) "/>
    <s v="27,050 (99.7) "/>
    <n v="27136"/>
    <n v="86"/>
    <n v="27050"/>
    <n v="27136"/>
  </r>
  <r>
    <x v="1"/>
    <x v="2"/>
    <x v="18"/>
    <n v="664468"/>
    <n v="60406"/>
    <n v="3816"/>
    <n v="0.31700493328477303"/>
    <n v="19149"/>
    <s v="19,149 (31.7) "/>
    <s v="41,257 (68.3) "/>
    <s v="4,597 (11.1) "/>
    <s v="36,660 (88.9) "/>
    <n v="41257"/>
    <n v="4597"/>
    <n v="36660"/>
    <n v="41257"/>
  </r>
  <r>
    <x v="1"/>
    <x v="2"/>
    <x v="19"/>
    <n v="482452"/>
    <n v="43859"/>
    <n v="980"/>
    <n v="0.76800656649718413"/>
    <n v="33684"/>
    <s v="33,684 (76.8) "/>
    <s v="10,175 (23.2) "/>
    <s v="4,332 (42.6) "/>
    <s v="5,843 (57.4) "/>
    <n v="10175"/>
    <n v="4332"/>
    <n v="5843"/>
    <n v="10175"/>
  </r>
  <r>
    <x v="1"/>
    <x v="2"/>
    <x v="20"/>
    <n v="675540"/>
    <n v="61140"/>
    <n v="4184"/>
    <n v="0.53599934576382069"/>
    <n v="32771"/>
    <s v="32,771 (53.6) "/>
    <s v="28,369 (46.4) "/>
    <s v="5,762 (20.3) "/>
    <s v="22,607 (79.7) "/>
    <n v="28369"/>
    <n v="5762"/>
    <n v="22607"/>
    <n v="28369"/>
  </r>
  <r>
    <x v="1"/>
    <x v="2"/>
    <x v="21"/>
    <n v="641294"/>
    <n v="58299"/>
    <n v="1643"/>
    <n v="0.85099229832415646"/>
    <n v="49612"/>
    <s v="49,612 (85.1) "/>
    <s v="8,687 (14.9) "/>
    <s v="1,551 (17.9) "/>
    <s v="7,136 (82.1) "/>
    <n v="8687"/>
    <n v="1551"/>
    <n v="7136"/>
    <n v="8687"/>
  </r>
  <r>
    <x v="1"/>
    <x v="2"/>
    <x v="22"/>
    <n v="573726"/>
    <n v="52157"/>
    <n v="722"/>
    <n v="0.43800448645435897"/>
    <n v="22845"/>
    <s v="22,845 (43.8) "/>
    <s v="29,312 (56.2) "/>
    <m/>
    <m/>
    <n v="29312"/>
    <m/>
    <m/>
    <n v="29312"/>
  </r>
  <r>
    <x v="1"/>
    <x v="2"/>
    <x v="23"/>
    <m/>
    <m/>
    <m/>
    <m/>
    <m/>
    <m/>
    <m/>
    <m/>
    <m/>
    <m/>
    <m/>
    <m/>
    <m/>
  </r>
  <r>
    <x v="1"/>
    <x v="3"/>
    <x v="14"/>
    <n v="2805"/>
    <n v="255"/>
    <n v="57"/>
    <n v="0.2627450980392157"/>
    <n v="67"/>
    <s v="67 (26.3)"/>
    <s v="188 (73.7)"/>
    <m/>
    <m/>
    <n v="188"/>
    <n v="76.669882338695032"/>
    <n v="111.33011766130498"/>
    <n v="188"/>
  </r>
  <r>
    <x v="1"/>
    <x v="3"/>
    <x v="15"/>
    <n v="6896"/>
    <n v="615"/>
    <n v="78"/>
    <n v="0.75609756097560976"/>
    <n v="465"/>
    <s v="465 (75.6)"/>
    <s v="150 (24.4)"/>
    <m/>
    <m/>
    <n v="150"/>
    <n v="0"/>
    <n v="150"/>
    <n v="150"/>
  </r>
  <r>
    <x v="1"/>
    <x v="3"/>
    <x v="16"/>
    <m/>
    <m/>
    <m/>
    <s v=""/>
    <s v=""/>
    <m/>
    <m/>
    <m/>
    <m/>
    <m/>
    <m/>
    <m/>
    <n v="0"/>
  </r>
  <r>
    <x v="1"/>
    <x v="3"/>
    <x v="17"/>
    <m/>
    <m/>
    <m/>
    <s v=""/>
    <s v=""/>
    <m/>
    <m/>
    <m/>
    <m/>
    <m/>
    <m/>
    <m/>
    <n v="0"/>
  </r>
  <r>
    <x v="1"/>
    <x v="3"/>
    <x v="18"/>
    <n v="9083"/>
    <n v="830"/>
    <n v="73"/>
    <n v="0.41084337349397593"/>
    <n v="341"/>
    <s v="341 (41.1)"/>
    <s v="489 (58.9)"/>
    <s v="113 (23.2%)"/>
    <s v="376 (76.8%)"/>
    <n v="489"/>
    <n v="113"/>
    <n v="376"/>
    <n v="489"/>
  </r>
  <r>
    <x v="1"/>
    <x v="3"/>
    <x v="19"/>
    <n v="12182"/>
    <m/>
    <n v="60"/>
    <n v="8.3000000000000004E-2"/>
    <m/>
    <s v="xxx (8.3%)"/>
    <s v="xxx (91.7)"/>
    <s v="xxx (90.7%)"/>
    <s v="xxx (9.3%)"/>
    <m/>
    <m/>
    <m/>
    <n v="0"/>
  </r>
  <r>
    <x v="1"/>
    <x v="3"/>
    <x v="20"/>
    <n v="122698"/>
    <n v="11611"/>
    <n v="498"/>
    <n v="9.9905262251313402E-3"/>
    <n v="116"/>
    <s v="116 (1.0)"/>
    <s v="11,495 (99.0)"/>
    <s v="11334 (98.6)"/>
    <s v="161 (1.4%)"/>
    <n v="11495"/>
    <n v="11334"/>
    <n v="161"/>
    <n v="11495"/>
  </r>
  <r>
    <x v="1"/>
    <x v="3"/>
    <x v="21"/>
    <n v="8789"/>
    <n v="799"/>
    <m/>
    <s v=""/>
    <s v=""/>
    <m/>
    <m/>
    <m/>
    <m/>
    <m/>
    <m/>
    <m/>
    <n v="0"/>
  </r>
  <r>
    <x v="1"/>
    <x v="3"/>
    <x v="22"/>
    <m/>
    <m/>
    <m/>
    <m/>
    <m/>
    <m/>
    <m/>
    <m/>
    <m/>
    <m/>
    <m/>
    <m/>
    <m/>
  </r>
  <r>
    <x v="1"/>
    <x v="3"/>
    <x v="23"/>
    <m/>
    <m/>
    <m/>
    <m/>
    <m/>
    <m/>
    <m/>
    <m/>
    <m/>
    <m/>
    <m/>
    <m/>
    <m/>
  </r>
  <r>
    <x v="2"/>
    <x v="4"/>
    <x v="24"/>
    <m/>
    <m/>
    <m/>
    <m/>
    <m/>
    <m/>
    <m/>
    <m/>
    <m/>
    <m/>
    <m/>
    <m/>
    <m/>
  </r>
  <r>
    <x v="2"/>
    <x v="4"/>
    <x v="24"/>
    <m/>
    <m/>
    <m/>
    <m/>
    <m/>
    <m/>
    <m/>
    <m/>
    <m/>
    <m/>
    <m/>
    <m/>
    <m/>
  </r>
  <r>
    <x v="2"/>
    <x v="4"/>
    <x v="24"/>
    <m/>
    <m/>
    <m/>
    <m/>
    <m/>
    <m/>
    <m/>
    <m/>
    <m/>
    <m/>
    <m/>
    <m/>
    <m/>
  </r>
  <r>
    <x v="2"/>
    <x v="4"/>
    <x v="24"/>
    <m/>
    <m/>
    <m/>
    <m/>
    <m/>
    <m/>
    <m/>
    <m/>
    <m/>
    <m/>
    <m/>
    <m/>
    <m/>
  </r>
  <r>
    <x v="2"/>
    <x v="4"/>
    <x v="24"/>
    <m/>
    <m/>
    <m/>
    <m/>
    <m/>
    <m/>
    <m/>
    <m/>
    <m/>
    <m/>
    <m/>
    <m/>
    <m/>
  </r>
  <r>
    <x v="2"/>
    <x v="4"/>
    <x v="24"/>
    <m/>
    <m/>
    <m/>
    <m/>
    <m/>
    <m/>
    <m/>
    <m/>
    <m/>
    <m/>
    <m/>
    <m/>
    <m/>
  </r>
  <r>
    <x v="2"/>
    <x v="4"/>
    <x v="24"/>
    <m/>
    <m/>
    <m/>
    <m/>
    <m/>
    <m/>
    <m/>
    <m/>
    <m/>
    <m/>
    <m/>
    <m/>
    <m/>
  </r>
  <r>
    <x v="2"/>
    <x v="4"/>
    <x v="24"/>
    <m/>
    <m/>
    <m/>
    <m/>
    <m/>
    <m/>
    <m/>
    <m/>
    <m/>
    <m/>
    <m/>
    <m/>
    <m/>
  </r>
  <r>
    <x v="2"/>
    <x v="4"/>
    <x v="24"/>
    <m/>
    <m/>
    <m/>
    <m/>
    <m/>
    <m/>
    <m/>
    <m/>
    <m/>
    <m/>
    <m/>
    <m/>
    <m/>
  </r>
  <r>
    <x v="2"/>
    <x v="4"/>
    <x v="24"/>
    <m/>
    <m/>
    <m/>
    <m/>
    <m/>
    <m/>
    <m/>
    <m/>
    <m/>
    <m/>
    <m/>
    <m/>
    <m/>
  </r>
  <r>
    <x v="2"/>
    <x v="4"/>
    <x v="24"/>
    <m/>
    <m/>
    <m/>
    <m/>
    <m/>
    <m/>
    <m/>
    <m/>
    <m/>
    <m/>
    <m/>
    <m/>
    <m/>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4">
  <r>
    <x v="0"/>
    <s v="1980s"/>
    <n v="1980"/>
    <n v="1977"/>
    <x v="0"/>
    <n v="58886"/>
    <n v="61175.897733999991"/>
    <n v="61171.897733999991"/>
    <n v="30080.635999999999"/>
    <n v="0.57125616727120798"/>
    <n v="39084.094549759997"/>
    <n v="34947.108868900214"/>
    <m/>
    <m/>
    <n v="1.7490548396240722E-3"/>
    <n v="0.57125616727120798"/>
    <n v="0"/>
    <n v="0"/>
    <n v="0"/>
    <n v="1.1000000000000001"/>
    <n v="3.0000000000000009"/>
    <x v="0"/>
    <m/>
    <m/>
    <n v="5.1999999999999998E-2"/>
    <n v="2032.3729165875197"/>
    <s v="SiRE MultiYr"/>
    <m/>
    <m/>
    <m/>
    <m/>
    <m/>
    <m/>
    <m/>
    <s v="Use SIRE default age comp"/>
  </r>
  <r>
    <x v="0"/>
    <s v="1980s"/>
    <n v="1980"/>
    <n v="1976"/>
    <x v="1"/>
    <n v="58886"/>
    <n v="61175.897733999991"/>
    <n v="61171.897733999991"/>
    <n v="30080.635999999999"/>
    <n v="0.57125616727120798"/>
    <n v="39084.094549759997"/>
    <n v="34947.108868900214"/>
    <m/>
    <m/>
    <n v="1.7490548396240722E-3"/>
    <n v="0.57125616727120798"/>
    <n v="0"/>
    <n v="0"/>
    <n v="0"/>
    <n v="1.2"/>
    <n v="3.9999999999999996"/>
    <x v="0"/>
    <m/>
    <m/>
    <n v="0.82499999999999996"/>
    <n v="32244.378003551996"/>
    <s v="SiRE MultiYr"/>
    <m/>
    <m/>
    <m/>
    <m/>
    <m/>
    <m/>
    <m/>
    <s v="Use SIRE default age comp"/>
  </r>
  <r>
    <x v="0"/>
    <s v="1980s"/>
    <n v="1980"/>
    <n v="1975"/>
    <x v="2"/>
    <n v="58886"/>
    <n v="61175.897733999991"/>
    <n v="61171.897733999991"/>
    <n v="30080.635999999999"/>
    <n v="0.57125616727120798"/>
    <n v="39084.094549759997"/>
    <n v="34947.108868900214"/>
    <m/>
    <m/>
    <n v="1.7490548396240722E-3"/>
    <n v="0.57125616727120798"/>
    <n v="0"/>
    <n v="0"/>
    <n v="0"/>
    <n v="1.3"/>
    <n v="5"/>
    <x v="0"/>
    <m/>
    <m/>
    <n v="8.3000000000000004E-2"/>
    <n v="3243.9798476300798"/>
    <s v="SiRE MultiYr"/>
    <m/>
    <m/>
    <m/>
    <m/>
    <m/>
    <m/>
    <m/>
    <s v="Use SIRE default age comp"/>
  </r>
  <r>
    <x v="0"/>
    <s v="1980s"/>
    <n v="1980"/>
    <n v="1976"/>
    <x v="0"/>
    <n v="58886"/>
    <n v="61175.897733999991"/>
    <n v="61171.897733999991"/>
    <n v="30080.635999999999"/>
    <n v="0.57125616727120798"/>
    <n v="39084.094549759997"/>
    <n v="34947.108868900214"/>
    <m/>
    <m/>
    <n v="1.7490548396240722E-3"/>
    <n v="0.57125616727120798"/>
    <n v="0"/>
    <n v="0"/>
    <n v="0"/>
    <n v="2.1"/>
    <n v="4.0000000000000009"/>
    <x v="1"/>
    <m/>
    <m/>
    <n v="2.3E-2"/>
    <n v="898.93417464447987"/>
    <s v="SiRE MultiYr"/>
    <m/>
    <m/>
    <m/>
    <m/>
    <m/>
    <m/>
    <m/>
    <s v="Use SIRE default age comp"/>
  </r>
  <r>
    <x v="0"/>
    <s v="1980s"/>
    <n v="1980"/>
    <n v="1975"/>
    <x v="1"/>
    <n v="58886"/>
    <n v="61175.897733999991"/>
    <n v="61171.897733999991"/>
    <n v="30080.635999999999"/>
    <n v="0.57125616727120798"/>
    <n v="39084.094549759997"/>
    <n v="34947.108868900214"/>
    <m/>
    <m/>
    <n v="1.7490548396240722E-3"/>
    <n v="0.57125616727120798"/>
    <n v="0"/>
    <n v="0"/>
    <n v="0"/>
    <n v="2.2000000000000002"/>
    <n v="5.0000000000000018"/>
    <x v="1"/>
    <m/>
    <m/>
    <n v="1.6E-2"/>
    <n v="625.34551279615994"/>
    <s v="SiRE MultiYr"/>
    <m/>
    <m/>
    <m/>
    <m/>
    <m/>
    <m/>
    <m/>
    <s v="Use SIRE default age comp"/>
  </r>
  <r>
    <x v="0"/>
    <s v="1980s"/>
    <n v="1981"/>
    <n v="1978"/>
    <x v="3"/>
    <n v="56037"/>
    <n v="58203.034968999993"/>
    <n v="58203.034968999993"/>
    <n v="31960.887999999995"/>
    <n v="0.67801370415155171"/>
    <n v="42315.935527369991"/>
    <n v="39462.455332193982"/>
    <m/>
    <m/>
    <n v="4.0547713727591347E-3"/>
    <n v="0.67801370415155171"/>
    <n v="0"/>
    <n v="0"/>
    <n v="0"/>
    <n v="1.1000000000000001"/>
    <n v="3.0000000000000009"/>
    <x v="0"/>
    <m/>
    <m/>
    <n v="5.1999999999999998E-2"/>
    <n v="2200.4286474232395"/>
    <s v="SiRE MultiYr"/>
    <m/>
    <m/>
    <m/>
    <m/>
    <m/>
    <m/>
    <m/>
    <s v="Use SIRE default age comp"/>
  </r>
  <r>
    <x v="0"/>
    <s v="1980s"/>
    <n v="1981"/>
    <n v="1977"/>
    <x v="0"/>
    <n v="56037"/>
    <n v="58203.034968999993"/>
    <n v="58203.034968999993"/>
    <n v="31960.887999999995"/>
    <n v="0.67801370415155171"/>
    <n v="42315.935527369991"/>
    <n v="39462.455332193982"/>
    <m/>
    <m/>
    <n v="4.0547713727591347E-3"/>
    <n v="0.67801370415155171"/>
    <n v="0"/>
    <n v="0"/>
    <n v="0"/>
    <n v="1.2"/>
    <n v="3.9999999999999996"/>
    <x v="0"/>
    <m/>
    <m/>
    <n v="0.82499999999999996"/>
    <n v="34910.646810080238"/>
    <s v="SiRE MultiYr"/>
    <m/>
    <m/>
    <m/>
    <m/>
    <m/>
    <m/>
    <m/>
    <s v="Use SIRE default age comp"/>
  </r>
  <r>
    <x v="0"/>
    <s v="1980s"/>
    <n v="1981"/>
    <n v="1976"/>
    <x v="1"/>
    <n v="56037"/>
    <n v="58203.034968999993"/>
    <n v="58203.034968999993"/>
    <n v="31960.887999999995"/>
    <n v="0.67801370415155171"/>
    <n v="42315.935527369991"/>
    <n v="39462.455332193982"/>
    <m/>
    <m/>
    <n v="4.0547713727591347E-3"/>
    <n v="0.67801370415155171"/>
    <n v="0"/>
    <n v="0"/>
    <n v="0"/>
    <n v="1.3"/>
    <n v="5"/>
    <x v="0"/>
    <m/>
    <m/>
    <n v="8.3000000000000004E-2"/>
    <n v="3512.2226487717094"/>
    <s v="SiRE MultiYr"/>
    <m/>
    <m/>
    <m/>
    <m/>
    <m/>
    <m/>
    <m/>
    <s v="Use SIRE default age comp"/>
  </r>
  <r>
    <x v="0"/>
    <s v="1980s"/>
    <n v="1981"/>
    <n v="1977"/>
    <x v="3"/>
    <n v="56037"/>
    <n v="58203.034968999993"/>
    <n v="58203.034968999993"/>
    <n v="31960.887999999995"/>
    <n v="0.67801370415155171"/>
    <n v="42315.935527369991"/>
    <n v="39462.455332193982"/>
    <m/>
    <m/>
    <n v="4.0547713727591347E-3"/>
    <n v="0.67801370415155171"/>
    <n v="0"/>
    <n v="0"/>
    <n v="0"/>
    <n v="2.1"/>
    <n v="4.0000000000000009"/>
    <x v="1"/>
    <m/>
    <m/>
    <n v="2.3E-2"/>
    <n v="973.26651712950979"/>
    <s v="SiRE MultiYr"/>
    <m/>
    <m/>
    <m/>
    <m/>
    <m/>
    <m/>
    <m/>
    <s v="Use SIRE default age comp"/>
  </r>
  <r>
    <x v="0"/>
    <s v="1980s"/>
    <n v="1981"/>
    <n v="1976"/>
    <x v="0"/>
    <n v="56037"/>
    <n v="58203.034968999993"/>
    <n v="58203.034968999993"/>
    <n v="31960.887999999995"/>
    <n v="0.67801370415155171"/>
    <n v="42315.935527369991"/>
    <n v="39462.455332193982"/>
    <m/>
    <m/>
    <n v="4.0547713727591347E-3"/>
    <n v="0.67801370415155171"/>
    <n v="0"/>
    <n v="0"/>
    <n v="0"/>
    <n v="2.2000000000000002"/>
    <n v="5.0000000000000018"/>
    <x v="1"/>
    <m/>
    <m/>
    <n v="1.6E-2"/>
    <n v="677.05496843791991"/>
    <s v="SiRE MultiYr"/>
    <m/>
    <m/>
    <m/>
    <m/>
    <m/>
    <m/>
    <m/>
    <s v="Use SIRE default age comp"/>
  </r>
  <r>
    <x v="0"/>
    <s v="1980s"/>
    <n v="1982"/>
    <n v="1979"/>
    <x v="4"/>
    <n v="50319"/>
    <n v="52231.736702999995"/>
    <n v="52131.736702999995"/>
    <n v="21513.659999999996"/>
    <n v="0.52330665758556094"/>
    <n v="27026.863085559999"/>
    <n v="27333.215553935996"/>
    <m/>
    <m/>
    <n v="4.9203801409352507E-3"/>
    <n v="0.52330665758556094"/>
    <n v="0"/>
    <n v="0"/>
    <n v="0"/>
    <n v="1.1000000000000001"/>
    <n v="3.0000000000000009"/>
    <x v="0"/>
    <m/>
    <m/>
    <n v="5.1999999999999998E-2"/>
    <n v="1405.3968804491199"/>
    <s v="SiRE MultiYr"/>
    <m/>
    <m/>
    <m/>
    <m/>
    <m/>
    <m/>
    <m/>
    <s v="Use SIRE default age comp"/>
  </r>
  <r>
    <x v="0"/>
    <s v="1980s"/>
    <n v="1982"/>
    <n v="1978"/>
    <x v="3"/>
    <n v="50319"/>
    <n v="52231.736702999995"/>
    <n v="52131.736702999995"/>
    <n v="21513.659999999996"/>
    <n v="0.52330665758556094"/>
    <n v="27026.863085559999"/>
    <n v="27333.215553935996"/>
    <m/>
    <m/>
    <n v="4.9203801409352507E-3"/>
    <n v="0.52330665758556094"/>
    <n v="0"/>
    <n v="0"/>
    <n v="0"/>
    <n v="1.2"/>
    <n v="3.9999999999999996"/>
    <x v="0"/>
    <m/>
    <m/>
    <n v="0.82499999999999996"/>
    <n v="22297.162045586996"/>
    <s v="SiRE MultiYr"/>
    <m/>
    <m/>
    <m/>
    <m/>
    <m/>
    <m/>
    <m/>
    <s v="Use SIRE default age comp"/>
  </r>
  <r>
    <x v="0"/>
    <s v="1980s"/>
    <n v="1982"/>
    <n v="1977"/>
    <x v="0"/>
    <n v="50319"/>
    <n v="52231.736702999995"/>
    <n v="52131.736702999995"/>
    <n v="21513.659999999996"/>
    <n v="0.52330665758556094"/>
    <n v="27026.863085559999"/>
    <n v="27333.215553935996"/>
    <m/>
    <m/>
    <n v="4.9203801409352507E-3"/>
    <n v="0.52330665758556094"/>
    <n v="0"/>
    <n v="0"/>
    <n v="0"/>
    <n v="1.3"/>
    <n v="5"/>
    <x v="0"/>
    <m/>
    <m/>
    <n v="8.3000000000000004E-2"/>
    <n v="2243.2296361014801"/>
    <s v="SiRE MultiYr"/>
    <m/>
    <m/>
    <m/>
    <m/>
    <m/>
    <m/>
    <m/>
    <s v="Use SIRE default age comp"/>
  </r>
  <r>
    <x v="0"/>
    <s v="1980s"/>
    <n v="1982"/>
    <n v="1978"/>
    <x v="4"/>
    <n v="50319"/>
    <n v="52231.736702999995"/>
    <n v="52131.736702999995"/>
    <n v="21513.659999999996"/>
    <n v="0.52330665758556094"/>
    <n v="27026.863085559999"/>
    <n v="27333.215553935996"/>
    <m/>
    <m/>
    <n v="4.9203801409352507E-3"/>
    <n v="0.52330665758556094"/>
    <n v="0"/>
    <n v="0"/>
    <n v="0"/>
    <n v="2.1"/>
    <n v="4.0000000000000009"/>
    <x v="1"/>
    <m/>
    <m/>
    <n v="2.3E-2"/>
    <n v="621.61785096787992"/>
    <s v="SiRE MultiYr"/>
    <m/>
    <m/>
    <m/>
    <m/>
    <m/>
    <m/>
    <m/>
    <s v="Use SIRE default age comp"/>
  </r>
  <r>
    <x v="0"/>
    <s v="1980s"/>
    <n v="1982"/>
    <n v="1977"/>
    <x v="3"/>
    <n v="50319"/>
    <n v="52231.736702999995"/>
    <n v="52131.736702999995"/>
    <n v="21513.659999999996"/>
    <n v="0.52330665758556094"/>
    <n v="27026.863085559999"/>
    <n v="27333.215553935996"/>
    <m/>
    <m/>
    <n v="4.9203801409352507E-3"/>
    <n v="0.52330665758556094"/>
    <n v="0"/>
    <n v="0"/>
    <n v="0"/>
    <n v="2.2000000000000002"/>
    <n v="5.0000000000000018"/>
    <x v="1"/>
    <m/>
    <m/>
    <n v="1.6E-2"/>
    <n v="432.42980936895998"/>
    <s v="SiRE MultiYr"/>
    <m/>
    <m/>
    <m/>
    <m/>
    <m/>
    <m/>
    <m/>
    <s v="Use SIRE default age comp"/>
  </r>
  <r>
    <x v="0"/>
    <s v="1980s"/>
    <n v="1983"/>
    <n v="1980"/>
    <x v="5"/>
    <n v="100610"/>
    <n v="104712.996099"/>
    <n v="104629.996099"/>
    <n v="31611.1"/>
    <n v="0.36576761084883824"/>
    <n v="38654.638556630001"/>
    <n v="38300.62240795495"/>
    <m/>
    <m/>
    <n v="2.3015290267518335E-3"/>
    <n v="0.36576761084883824"/>
    <n v="0"/>
    <n v="0"/>
    <n v="0"/>
    <n v="1.1000000000000001"/>
    <n v="3.0000000000000009"/>
    <x v="0"/>
    <m/>
    <m/>
    <n v="5.1999999999999998E-2"/>
    <n v="2010.04120494476"/>
    <s v="SiRE MultiYr"/>
    <m/>
    <m/>
    <m/>
    <m/>
    <m/>
    <m/>
    <m/>
    <s v="Use SIRE default age comp"/>
  </r>
  <r>
    <x v="0"/>
    <s v="1980s"/>
    <n v="1983"/>
    <n v="1979"/>
    <x v="4"/>
    <n v="100610"/>
    <n v="104712.996099"/>
    <n v="104629.996099"/>
    <n v="31611.1"/>
    <n v="0.36576761084883824"/>
    <n v="38654.638556630001"/>
    <n v="38300.62240795495"/>
    <m/>
    <m/>
    <n v="2.3015290267518335E-3"/>
    <n v="0.36576761084883824"/>
    <n v="0"/>
    <n v="0"/>
    <n v="0"/>
    <n v="1.2"/>
    <n v="3.9999999999999996"/>
    <x v="0"/>
    <m/>
    <m/>
    <n v="0.82499999999999996"/>
    <n v="31890.07680921975"/>
    <s v="SiRE MultiYr"/>
    <m/>
    <m/>
    <m/>
    <m/>
    <m/>
    <m/>
    <m/>
    <s v="Use SIRE default age comp"/>
  </r>
  <r>
    <x v="0"/>
    <s v="1980s"/>
    <n v="1983"/>
    <n v="1978"/>
    <x v="3"/>
    <n v="100610"/>
    <n v="104712.996099"/>
    <n v="104629.996099"/>
    <n v="31611.1"/>
    <n v="0.36576761084883824"/>
    <n v="38654.638556630001"/>
    <n v="38300.62240795495"/>
    <m/>
    <m/>
    <n v="2.3015290267518335E-3"/>
    <n v="0.36576761084883824"/>
    <n v="0"/>
    <n v="0"/>
    <n v="0"/>
    <n v="1.3"/>
    <n v="5"/>
    <x v="0"/>
    <m/>
    <m/>
    <n v="8.3000000000000004E-2"/>
    <n v="3208.3350002002903"/>
    <s v="SiRE MultiYr"/>
    <m/>
    <m/>
    <m/>
    <m/>
    <m/>
    <m/>
    <m/>
    <s v="Use SIRE default age comp"/>
  </r>
  <r>
    <x v="0"/>
    <s v="1980s"/>
    <n v="1983"/>
    <n v="1979"/>
    <x v="5"/>
    <n v="100610"/>
    <n v="104712.996099"/>
    <n v="104629.996099"/>
    <n v="31611.1"/>
    <n v="0.36576761084883824"/>
    <n v="38654.638556630001"/>
    <n v="38300.62240795495"/>
    <m/>
    <m/>
    <n v="2.3015290267518335E-3"/>
    <n v="0.36576761084883824"/>
    <n v="0"/>
    <n v="0"/>
    <n v="0"/>
    <n v="2.1"/>
    <n v="4.0000000000000009"/>
    <x v="1"/>
    <m/>
    <m/>
    <n v="2.3E-2"/>
    <n v="889.05668680249005"/>
    <s v="SiRE MultiYr"/>
    <m/>
    <m/>
    <m/>
    <m/>
    <m/>
    <m/>
    <m/>
    <s v="Use SIRE default age comp"/>
  </r>
  <r>
    <x v="0"/>
    <s v="1980s"/>
    <n v="1983"/>
    <n v="1978"/>
    <x v="4"/>
    <n v="100610"/>
    <n v="104712.996099"/>
    <n v="104629.996099"/>
    <n v="31611.1"/>
    <n v="0.36576761084883824"/>
    <n v="38654.638556630001"/>
    <n v="38300.62240795495"/>
    <m/>
    <m/>
    <n v="2.3015290267518335E-3"/>
    <n v="0.36576761084883824"/>
    <n v="0"/>
    <n v="0"/>
    <n v="0"/>
    <n v="2.2000000000000002"/>
    <n v="5.0000000000000018"/>
    <x v="1"/>
    <m/>
    <m/>
    <n v="1.6E-2"/>
    <n v="618.47421690608007"/>
    <s v="SiRE MultiYr"/>
    <m/>
    <m/>
    <m/>
    <m/>
    <m/>
    <m/>
    <m/>
    <s v="Use SIRE default age comp"/>
  </r>
  <r>
    <x v="0"/>
    <s v="1980s"/>
    <n v="1984"/>
    <n v="1981"/>
    <x v="6"/>
    <n v="161890"/>
    <n v="168257.70376499998"/>
    <n v="158912.70376499998"/>
    <n v="91753.127999999997"/>
    <n v="0.84106192938070612"/>
    <n v="141211.31116259997"/>
    <n v="141515.14896175818"/>
    <m/>
    <m/>
    <n v="8.8554637716976934E-4"/>
    <n v="0.84106192938070612"/>
    <n v="0"/>
    <n v="0"/>
    <n v="0"/>
    <n v="1.1000000000000001"/>
    <n v="3.0000000000000009"/>
    <x v="0"/>
    <m/>
    <m/>
    <n v="5.1999999999999998E-2"/>
    <n v="7342.9881804551987"/>
    <s v="SiRE MultiYr"/>
    <m/>
    <m/>
    <m/>
    <m/>
    <m/>
    <m/>
    <m/>
    <s v="Use SIRE default age comp"/>
  </r>
  <r>
    <x v="0"/>
    <s v="1980s"/>
    <n v="1984"/>
    <n v="1980"/>
    <x v="5"/>
    <n v="161890"/>
    <n v="168257.70376499998"/>
    <n v="158912.70376499998"/>
    <n v="91753.127999999997"/>
    <n v="0.84106192938070612"/>
    <n v="141211.31116259997"/>
    <n v="141515.14896175818"/>
    <m/>
    <m/>
    <n v="8.8554637716976934E-4"/>
    <n v="0.84106192938070612"/>
    <n v="0"/>
    <n v="0"/>
    <n v="0"/>
    <n v="1.2"/>
    <n v="3.9999999999999996"/>
    <x v="0"/>
    <m/>
    <m/>
    <n v="0.82499999999999996"/>
    <n v="116499.33170914497"/>
    <s v="SiRE MultiYr"/>
    <m/>
    <m/>
    <m/>
    <m/>
    <m/>
    <m/>
    <m/>
    <s v="Use SIRE default age comp"/>
  </r>
  <r>
    <x v="0"/>
    <s v="1980s"/>
    <n v="1984"/>
    <n v="1979"/>
    <x v="4"/>
    <n v="161890"/>
    <n v="168257.70376499998"/>
    <n v="158912.70376499998"/>
    <n v="91753.127999999997"/>
    <n v="0.84106192938070612"/>
    <n v="141211.31116259997"/>
    <n v="141515.14896175818"/>
    <m/>
    <m/>
    <n v="8.8554637716976934E-4"/>
    <n v="0.84106192938070612"/>
    <n v="0"/>
    <n v="0"/>
    <n v="0"/>
    <n v="1.3"/>
    <n v="5"/>
    <x v="0"/>
    <m/>
    <m/>
    <n v="8.3000000000000004E-2"/>
    <n v="11720.538826495798"/>
    <s v="SiRE MultiYr"/>
    <m/>
    <m/>
    <m/>
    <m/>
    <m/>
    <m/>
    <m/>
    <s v="Use SIRE default age comp"/>
  </r>
  <r>
    <x v="0"/>
    <s v="1980s"/>
    <n v="1984"/>
    <n v="1980"/>
    <x v="6"/>
    <n v="161890"/>
    <n v="168257.70376499998"/>
    <n v="158912.70376499998"/>
    <n v="91753.127999999997"/>
    <n v="0.84106192938070612"/>
    <n v="141211.31116259997"/>
    <n v="141515.14896175818"/>
    <m/>
    <m/>
    <n v="8.8554637716976934E-4"/>
    <n v="0.84106192938070612"/>
    <n v="0"/>
    <n v="0"/>
    <n v="0"/>
    <n v="2.1"/>
    <n v="4.0000000000000009"/>
    <x v="1"/>
    <m/>
    <m/>
    <n v="2.3E-2"/>
    <n v="3247.8601567397995"/>
    <s v="SiRE MultiYr"/>
    <m/>
    <m/>
    <m/>
    <m/>
    <m/>
    <m/>
    <m/>
    <s v="Use SIRE default age comp"/>
  </r>
  <r>
    <x v="0"/>
    <s v="1980s"/>
    <n v="1984"/>
    <n v="1979"/>
    <x v="5"/>
    <n v="161890"/>
    <n v="168257.70376499998"/>
    <n v="158912.70376499998"/>
    <n v="91753.127999999997"/>
    <n v="0.84106192938070612"/>
    <n v="141211.31116259997"/>
    <n v="141515.14896175818"/>
    <m/>
    <m/>
    <n v="8.8554637716976934E-4"/>
    <n v="0.84106192938070612"/>
    <n v="0"/>
    <n v="0"/>
    <n v="0"/>
    <n v="2.2000000000000002"/>
    <n v="5.0000000000000018"/>
    <x v="1"/>
    <m/>
    <m/>
    <n v="1.6E-2"/>
    <n v="2259.3809786015995"/>
    <s v="SiRE MultiYr"/>
    <m/>
    <m/>
    <m/>
    <m/>
    <m/>
    <m/>
    <m/>
    <s v="Use SIRE default age comp"/>
  </r>
  <r>
    <x v="0"/>
    <s v="1980s"/>
    <n v="1985"/>
    <n v="1982"/>
    <x v="7"/>
    <n v="200758"/>
    <n v="205521"/>
    <n v="173308"/>
    <n v="59983.547999999995"/>
    <n v="0.58123593023255804"/>
    <n v="121223"/>
    <n v="119456.18961732557"/>
    <m/>
    <m/>
    <n v="2.870752867103605E-4"/>
    <n v="0.58123593023255804"/>
    <n v="0.51892511237550554"/>
    <n v="0"/>
    <n v="0.30173448427077804"/>
    <n v="1.1000000000000001"/>
    <n v="3.0000000000000009"/>
    <x v="0"/>
    <n v="6.9000000000000006E-2"/>
    <n v="14180.949000000001"/>
    <n v="5.1999999999999998E-2"/>
    <n v="8364.3870000000006"/>
    <s v="CRITFC"/>
    <n v="8242.4770835954641"/>
    <s v=""/>
    <n v="6211.721860100929"/>
    <n v="8242.4770835954641"/>
    <n v="3119.1444959999994"/>
    <n v="0"/>
    <n v="0"/>
    <s v="Fryer thesis: freshwater aged, marine ages based on length"/>
  </r>
  <r>
    <x v="0"/>
    <s v="1980s"/>
    <n v="1985"/>
    <n v="1981"/>
    <x v="6"/>
    <n v="200758"/>
    <n v="205521"/>
    <n v="173308"/>
    <n v="59983.547999999995"/>
    <n v="0.58123593023255804"/>
    <n v="121223"/>
    <n v="119456.18961732557"/>
    <m/>
    <m/>
    <n v="2.870752867103605E-4"/>
    <n v="0.58123593023255804"/>
    <n v="0.51892511237550554"/>
    <n v="0"/>
    <n v="0.30173448427077804"/>
    <n v="1.2"/>
    <n v="3.9999999999999996"/>
    <x v="0"/>
    <n v="0.88"/>
    <n v="180858.48"/>
    <n v="0.82499999999999996"/>
    <n v="106676.24"/>
    <s v="CRITFC"/>
    <n v="105121.4468632465"/>
    <s v=""/>
    <n v="98551.356434293586"/>
    <n v="105121.4468632465"/>
    <n v="49486.427099999994"/>
    <n v="0"/>
    <n v="0"/>
    <s v="Fryer thesis: freshwater aged, marine ages based on length"/>
  </r>
  <r>
    <x v="0"/>
    <s v="1980s"/>
    <n v="1985"/>
    <n v="1980"/>
    <x v="5"/>
    <n v="200758"/>
    <n v="205521"/>
    <n v="173308"/>
    <n v="59983.547999999995"/>
    <n v="0.58123593023255804"/>
    <n v="121223"/>
    <n v="119456.18961732557"/>
    <m/>
    <m/>
    <n v="2.870752867103605E-4"/>
    <n v="0.58123593023255804"/>
    <n v="0.51892511237550554"/>
    <n v="0"/>
    <n v="0.30173448427077804"/>
    <n v="1.3"/>
    <n v="5"/>
    <x v="0"/>
    <n v="6.0000000000000001E-3"/>
    <n v="1233.126"/>
    <n v="8.3000000000000004E-2"/>
    <n v="727.33799999999997"/>
    <s v="CRITFC"/>
    <n v="716.73713770395341"/>
    <s v=""/>
    <n v="9914.8637382380221"/>
    <n v="716.73713770395341"/>
    <n v="4978.6344840000002"/>
    <n v="0"/>
    <n v="0"/>
    <s v="Fryer thesis: freshwater aged, marine ages based on length"/>
  </r>
  <r>
    <x v="0"/>
    <s v="1980s"/>
    <n v="1985"/>
    <n v="1981"/>
    <x v="7"/>
    <n v="200758"/>
    <n v="205521"/>
    <n v="173308"/>
    <n v="59983.547999999995"/>
    <n v="0.58123593023255804"/>
    <n v="121223"/>
    <n v="119456.18961732557"/>
    <m/>
    <m/>
    <n v="2.870752867103605E-4"/>
    <n v="0.58123593023255804"/>
    <n v="0.51892511237550554"/>
    <n v="0"/>
    <n v="0.30173448427077804"/>
    <n v="2.1"/>
    <n v="4.0000000000000009"/>
    <x v="1"/>
    <n v="1.0999999999999999E-2"/>
    <n v="2260.7309999999998"/>
    <n v="2.3E-2"/>
    <n v="1333.453"/>
    <s v="CRITFC"/>
    <n v="1314.0180857905812"/>
    <s v=""/>
    <n v="2747.4923611984882"/>
    <n v="1314.0180857905812"/>
    <n v="1379.6216039999999"/>
    <n v="0"/>
    <n v="0"/>
    <s v="Fryer thesis: freshwater aged, marine ages based on length"/>
  </r>
  <r>
    <x v="0"/>
    <s v="1980s"/>
    <n v="1985"/>
    <n v="1980"/>
    <x v="6"/>
    <n v="200758"/>
    <n v="205521"/>
    <n v="173308"/>
    <n v="59983.547999999995"/>
    <n v="0.58123593023255804"/>
    <n v="121223"/>
    <n v="119456.18961732557"/>
    <m/>
    <m/>
    <n v="2.870752867103605E-4"/>
    <n v="0.58123593023255804"/>
    <n v="0.51892511237550554"/>
    <n v="0"/>
    <n v="0.30173448427077804"/>
    <n v="2.2000000000000002"/>
    <n v="5.0000000000000018"/>
    <x v="1"/>
    <n v="3.4000000000000002E-2"/>
    <n v="6987.7140000000009"/>
    <n v="1.6E-2"/>
    <n v="4121.5820000000003"/>
    <s v="CRITFC"/>
    <n v="4061.5104469890694"/>
    <s v=""/>
    <n v="1911.299033877209"/>
    <n v="4061.5104469890694"/>
    <n v="959.73676799999998"/>
    <n v="0"/>
    <n v="0"/>
    <s v="Fryer thesis: freshwater aged, marine ages based on length"/>
  </r>
  <r>
    <x v="0"/>
    <s v="1980s"/>
    <n v="1986"/>
    <n v="1983"/>
    <x v="8"/>
    <n v="59963"/>
    <n v="62220"/>
    <n v="60380"/>
    <n v="39380.015999999996"/>
    <n v="0.79095396481079772"/>
    <n v="49135"/>
    <n v="49213.155690527834"/>
    <m/>
    <m/>
    <n v="3.8572806171648989E-4"/>
    <n v="0.79095396481079772"/>
    <n v="0.6732987535805528"/>
    <n v="0"/>
    <n v="9.4998343822457768E-2"/>
    <n v="1.1000000000000001"/>
    <n v="3.0000000000000009"/>
    <x v="0"/>
    <n v="5.1999999999999998E-2"/>
    <n v="3235.44"/>
    <n v="5.1999999999999998E-2"/>
    <n v="2555.02"/>
    <s v="SiRE MultiYr"/>
    <n v="2559.0840959074471"/>
    <s v=""/>
    <n v="2559.0840959074471"/>
    <n v="2559.0840959074471"/>
    <n v="2047.7608319999997"/>
    <n v="0"/>
    <n v="0"/>
    <s v="no age comp data - multi-year mean applied"/>
  </r>
  <r>
    <x v="0"/>
    <s v="1980s"/>
    <n v="1986"/>
    <n v="1982"/>
    <x v="7"/>
    <n v="59963"/>
    <n v="62220"/>
    <n v="60380"/>
    <n v="39380.015999999996"/>
    <n v="0.79095396481079772"/>
    <n v="49135"/>
    <n v="49213.155690527834"/>
    <m/>
    <m/>
    <n v="3.8572806171648989E-4"/>
    <n v="0.79095396481079772"/>
    <n v="0.6732987535805528"/>
    <n v="0"/>
    <n v="9.4998343822457768E-2"/>
    <n v="1.2"/>
    <n v="3.9999999999999996"/>
    <x v="0"/>
    <n v="0.82499999999999996"/>
    <n v="51331.5"/>
    <n v="0.82499999999999996"/>
    <n v="40536.375"/>
    <s v="SiRE MultiYr"/>
    <n v="40600.853444685461"/>
    <s v=""/>
    <n v="40600.853444685461"/>
    <n v="40600.853444685461"/>
    <n v="32488.513199999994"/>
    <n v="0"/>
    <n v="0"/>
    <s v="no age comp data - multi-year mean applied"/>
  </r>
  <r>
    <x v="0"/>
    <s v="1980s"/>
    <n v="1986"/>
    <n v="1981"/>
    <x v="6"/>
    <n v="59963"/>
    <n v="62220"/>
    <n v="60380"/>
    <n v="39380.015999999996"/>
    <n v="0.79095396481079772"/>
    <n v="49135"/>
    <n v="49213.155690527834"/>
    <m/>
    <m/>
    <n v="3.8572806171648989E-4"/>
    <n v="0.79095396481079772"/>
    <n v="0.6732987535805528"/>
    <n v="0"/>
    <n v="9.4998343822457768E-2"/>
    <n v="1.3"/>
    <n v="5"/>
    <x v="0"/>
    <n v="8.3000000000000004E-2"/>
    <n v="5164.26"/>
    <n v="8.3000000000000004E-2"/>
    <n v="4078.2050000000004"/>
    <s v="SiRE MultiYr"/>
    <n v="4084.6919223138102"/>
    <s v=""/>
    <n v="4084.6919223138102"/>
    <n v="4084.6919223138102"/>
    <n v="3268.5413279999998"/>
    <n v="0"/>
    <n v="0"/>
    <s v="no age comp data - multi-year mean applied"/>
  </r>
  <r>
    <x v="0"/>
    <s v="1980s"/>
    <n v="1986"/>
    <n v="1982"/>
    <x v="8"/>
    <n v="59963"/>
    <n v="62220"/>
    <n v="60380"/>
    <n v="39380.015999999996"/>
    <n v="0.79095396481079772"/>
    <n v="49135"/>
    <n v="49213.155690527834"/>
    <m/>
    <m/>
    <n v="3.8572806171648989E-4"/>
    <n v="0.79095396481079772"/>
    <n v="0.6732987535805528"/>
    <n v="0"/>
    <n v="9.4998343822457768E-2"/>
    <n v="2.1"/>
    <n v="4.0000000000000009"/>
    <x v="1"/>
    <n v="2.3E-2"/>
    <n v="1431.06"/>
    <n v="2.3E-2"/>
    <n v="1130.105"/>
    <s v="SiRE MultiYr"/>
    <n v="1131.9025808821402"/>
    <s v=""/>
    <n v="1131.9025808821402"/>
    <n v="1131.9025808821402"/>
    <n v="905.74036799999988"/>
    <n v="0"/>
    <n v="0"/>
    <s v="no age comp data - multi-year mean applied"/>
  </r>
  <r>
    <x v="0"/>
    <s v="1980s"/>
    <n v="1986"/>
    <n v="1981"/>
    <x v="7"/>
    <n v="59963"/>
    <n v="62220"/>
    <n v="60380"/>
    <n v="39380.015999999996"/>
    <n v="0.79095396481079772"/>
    <n v="49135"/>
    <n v="49213.155690527834"/>
    <m/>
    <m/>
    <n v="3.8572806171648989E-4"/>
    <n v="0.79095396481079772"/>
    <n v="0.6732987535805528"/>
    <n v="0"/>
    <n v="9.4998343822457768E-2"/>
    <n v="2.2000000000000002"/>
    <n v="5.0000000000000018"/>
    <x v="1"/>
    <n v="1.6E-2"/>
    <n v="995.52"/>
    <n v="1.6E-2"/>
    <n v="786.16"/>
    <s v="SiRE MultiYr"/>
    <n v="787.41049104844535"/>
    <s v=""/>
    <n v="787.41049104844535"/>
    <n v="787.41049104844535"/>
    <n v="630.08025599999996"/>
    <n v="0"/>
    <n v="0"/>
    <s v="no age comp data - multi-year mean applied"/>
  </r>
  <r>
    <x v="0"/>
    <s v="1980s"/>
    <n v="1987"/>
    <n v="1984"/>
    <x v="9"/>
    <n v="145546"/>
    <n v="150366"/>
    <n v="121813"/>
    <n v="45415.839999999997"/>
    <n v="0.6500234728344878"/>
    <n v="99205"/>
    <n v="97741.429516230593"/>
    <n v="45415.839999999997"/>
    <n v="6828998197.4399996"/>
    <n v="3.6577417767314418E-4"/>
    <n v="0.6500234728344878"/>
    <n v="0.58252145252856702"/>
    <n v="0.44000000000000006"/>
    <n v="0.33562099283327723"/>
    <n v="1.1000000000000001"/>
    <n v="3.0000000000000009"/>
    <x v="0"/>
    <n v="0.49199999999999999"/>
    <n v="73980.072"/>
    <n v="5.1999999999999998E-2"/>
    <n v="48808.86"/>
    <s v="CRITFC"/>
    <n v="48088.783321985451"/>
    <n v="3359867113.1404796"/>
    <n v="5082.5543348439905"/>
    <n v="48088.783321985451"/>
    <n v="2361.6236799999997"/>
    <n v="2.2880000000000001E-2"/>
    <n v="3.0927247543095119E-7"/>
    <s v="Fryer thesis: freshwater aged, marine ages based on length"/>
  </r>
  <r>
    <x v="0"/>
    <s v="1980s"/>
    <n v="1987"/>
    <n v="1983"/>
    <x v="8"/>
    <n v="145546"/>
    <n v="150366"/>
    <n v="121813"/>
    <n v="45415.839999999997"/>
    <n v="0.6500234728344878"/>
    <n v="99205"/>
    <n v="97741.429516230593"/>
    <n v="45415.839999999997"/>
    <n v="6828998197.4399996"/>
    <n v="3.6577417767314418E-4"/>
    <n v="0.6500234728344878"/>
    <n v="0.58252145252856702"/>
    <n v="0.44000000000000006"/>
    <n v="0.33562099283327723"/>
    <n v="1.2"/>
    <n v="3.9999999999999996"/>
    <x v="0"/>
    <n v="0.46"/>
    <n v="69168.36"/>
    <n v="0.82499999999999996"/>
    <n v="45634.3"/>
    <s v="CRITFC"/>
    <n v="44961.057577466076"/>
    <n v="3141339170.8224001"/>
    <n v="80636.679350890234"/>
    <n v="44961.057577466076"/>
    <n v="37468.067999999992"/>
    <n v="0.36300000000000004"/>
    <n v="5.2480642883538089E-6"/>
    <s v="Fryer thesis: freshwater aged, marine ages based on length"/>
  </r>
  <r>
    <x v="0"/>
    <s v="1980s"/>
    <n v="1987"/>
    <n v="1982"/>
    <x v="7"/>
    <n v="145546"/>
    <n v="150366"/>
    <n v="121813"/>
    <n v="45415.839999999997"/>
    <n v="0.6500234728344878"/>
    <n v="99205"/>
    <n v="97741.429516230593"/>
    <n v="45415.839999999997"/>
    <n v="6828998197.4399996"/>
    <n v="3.6577417767314418E-4"/>
    <n v="0.6500234728344878"/>
    <n v="0.58252145252856702"/>
    <n v="0.44000000000000006"/>
    <n v="0.33562099283327723"/>
    <n v="1.3"/>
    <n v="5"/>
    <x v="0"/>
    <n v="2.8000000000000001E-2"/>
    <n v="4210.2480000000005"/>
    <n v="8.3000000000000004E-2"/>
    <n v="2777.7400000000002"/>
    <s v="CRITFC"/>
    <n v="2736.7600264544567"/>
    <n v="191211949.52831998"/>
    <n v="8112.5386498471398"/>
    <n v="2736.7600264544567"/>
    <n v="3769.5147200000001"/>
    <n v="3.6520000000000004E-2"/>
    <n v="8.6740733562488473E-6"/>
    <s v="Fryer thesis: freshwater aged, marine ages based on length"/>
  </r>
  <r>
    <x v="0"/>
    <s v="1980s"/>
    <n v="1987"/>
    <n v="1983"/>
    <x v="9"/>
    <n v="145546"/>
    <n v="150366"/>
    <n v="121813"/>
    <n v="45415.839999999997"/>
    <n v="0.6500234728344878"/>
    <n v="99205"/>
    <n v="97741.429516230593"/>
    <n v="45415.839999999997"/>
    <n v="6828998197.4399996"/>
    <n v="3.6577417767314418E-4"/>
    <n v="0.6500234728344878"/>
    <n v="0.58252145252856702"/>
    <n v="0.44000000000000006"/>
    <n v="0.33562099283327723"/>
    <n v="2.1"/>
    <n v="4.0000000000000009"/>
    <x v="1"/>
    <n v="0.01"/>
    <n v="1503.66"/>
    <n v="2.3E-2"/>
    <n v="992.05000000000007"/>
    <s v="CRITFC"/>
    <n v="977.41429516230596"/>
    <n v="68289981.974399999"/>
    <n v="2248.0528788733036"/>
    <n v="977.41429516230596"/>
    <n v="1044.56432"/>
    <n v="1.0120000000000001E-2"/>
    <n v="6.730244869185853E-6"/>
    <s v="Fryer thesis: freshwater aged, marine ages based on length"/>
  </r>
  <r>
    <x v="0"/>
    <s v="1980s"/>
    <n v="1987"/>
    <n v="1982"/>
    <x v="8"/>
    <n v="145546"/>
    <n v="150366"/>
    <n v="121813"/>
    <n v="45415.839999999997"/>
    <n v="0.6500234728344878"/>
    <n v="99205"/>
    <n v="97741.429516230593"/>
    <n v="45415.839999999997"/>
    <n v="6828998197.4399996"/>
    <n v="3.6577417767314418E-4"/>
    <n v="0.6500234728344878"/>
    <n v="0.58252145252856702"/>
    <n v="0.44000000000000006"/>
    <n v="0.33562099283327723"/>
    <n v="2.2000000000000002"/>
    <n v="5.0000000000000018"/>
    <x v="1"/>
    <n v="0.01"/>
    <n v="1503.66"/>
    <n v="1.6E-2"/>
    <n v="992.05000000000007"/>
    <s v="CRITFC"/>
    <n v="977.41429516230596"/>
    <n v="68289981.974399999"/>
    <n v="1563.8628722596895"/>
    <n v="977.41429516230596"/>
    <n v="726.65343999999993"/>
    <n v="7.0400000000000011E-3"/>
    <n v="4.6819094742162461E-6"/>
    <s v="Fryer thesis: freshwater aged, marine ages based on length"/>
  </r>
  <r>
    <x v="0"/>
    <s v="1980s"/>
    <n v="1988"/>
    <n v="1985"/>
    <x v="10"/>
    <n v="99780"/>
    <n v="100543"/>
    <n v="82911"/>
    <n v="38463.095999999998"/>
    <n v="0.78213587652764505"/>
    <n v="78388"/>
    <n v="78638.287433719015"/>
    <n v="38463.095999999998"/>
    <n v="3867195061.1279998"/>
    <n v="4.4756969654774573E-4"/>
    <n v="0.78213587652764505"/>
    <n v="0.69249582195410264"/>
    <n v="0.69"/>
    <n v="0.24521474834461049"/>
    <n v="1.1000000000000001"/>
    <n v="3.0000000000000009"/>
    <x v="0"/>
    <n v="2E-3"/>
    <n v="201.08600000000001"/>
    <n v="2.1052631578947368E-3"/>
    <n v="156.77600000000001"/>
    <s v="CRITFC"/>
    <n v="157.27657486743803"/>
    <n v="7734390.1222559996"/>
    <n v="165.5542893341453"/>
    <n v="157.27657486743803"/>
    <n v="80.974938947368415"/>
    <n v="1.4526315789473684E-3"/>
    <n v="7.2239319442794042E-6"/>
    <s v="Fryer pers. data; Schwartzberg and Fryer 1989"/>
  </r>
  <r>
    <x v="0"/>
    <s v="1980s"/>
    <n v="1988"/>
    <n v="1984"/>
    <x v="9"/>
    <n v="99780"/>
    <n v="100543"/>
    <n v="82911"/>
    <n v="38463.095999999998"/>
    <n v="0.78213587652764505"/>
    <n v="78388"/>
    <n v="78638.287433719015"/>
    <n v="38463.095999999998"/>
    <n v="3867195061.1279998"/>
    <n v="4.4756969654774573E-4"/>
    <n v="0.78213587652764505"/>
    <n v="0.69249582195410264"/>
    <n v="0.69"/>
    <n v="0.24521474834461049"/>
    <n v="1.2"/>
    <n v="3.9999999999999996"/>
    <x v="0"/>
    <n v="0.96899999999999997"/>
    <n v="97426.167000000001"/>
    <n v="0.96210526315789469"/>
    <n v="75957.971999999994"/>
    <s v="CRITFC"/>
    <n v="76200.500523273717"/>
    <n v="3747312014.2330317"/>
    <n v="75658.310225704394"/>
    <n v="76200.500523273717"/>
    <n v="37005.547098947362"/>
    <n v="0.66385263157894725"/>
    <n v="6.8139048473388805E-6"/>
    <s v="Fryer pers. data; Schwartzberg and Fryer 1991"/>
  </r>
  <r>
    <x v="0"/>
    <s v="1980s"/>
    <n v="1988"/>
    <n v="1983"/>
    <x v="8"/>
    <n v="99780"/>
    <n v="100543"/>
    <n v="82911"/>
    <n v="38463.095999999998"/>
    <n v="0.78213587652764505"/>
    <n v="78388"/>
    <n v="78638.287433719015"/>
    <n v="38463.095999999998"/>
    <n v="3867195061.1279998"/>
    <n v="4.4756969654774573E-4"/>
    <n v="0.78213587652764505"/>
    <n v="0.69249582195410264"/>
    <n v="0.69"/>
    <n v="0.24521474834461049"/>
    <n v="1.3"/>
    <n v="5"/>
    <x v="0"/>
    <n v="1.2999999999999999E-2"/>
    <n v="1307.059"/>
    <n v="1.6842105263157894E-2"/>
    <n v="1019.044"/>
    <s v="CRITFC"/>
    <n v="1022.2977366383471"/>
    <n v="50273535.794663996"/>
    <n v="1324.4343146731624"/>
    <n v="1022.2977366383471"/>
    <n v="647.79951157894732"/>
    <n v="1.1621052631578947E-2"/>
    <n v="8.8909931621900374E-6"/>
    <s v="Fryer pers. data; Schwartzberg and Fryer 1993"/>
  </r>
  <r>
    <x v="0"/>
    <s v="1980s"/>
    <n v="1988"/>
    <n v="1984"/>
    <x v="10"/>
    <n v="99780"/>
    <n v="100543"/>
    <n v="82911"/>
    <n v="38463.095999999998"/>
    <n v="0.78213587652764505"/>
    <n v="78388"/>
    <n v="78638.287433719015"/>
    <n v="38463.095999999998"/>
    <n v="3867195061.1279998"/>
    <n v="4.4756969654774573E-4"/>
    <n v="0.78213587652764505"/>
    <n v="0.69249582195410264"/>
    <n v="0.69"/>
    <n v="0.24521474834461049"/>
    <n v="2.1"/>
    <n v="4.0000000000000009"/>
    <x v="1"/>
    <n v="0.01"/>
    <n v="1005.4300000000001"/>
    <n v="1.2631578947368421E-2"/>
    <n v="783.88"/>
    <s v="CRITFC"/>
    <n v="786.38287433719017"/>
    <n v="38671950.611280002"/>
    <n v="993.32573600487171"/>
    <n v="786.38287433719017"/>
    <n v="485.84963368421046"/>
    <n v="8.7157894736842097E-3"/>
    <n v="8.6687183331352847E-6"/>
    <s v="Fryer pers. data; Schwartzberg and Fryer 1990"/>
  </r>
  <r>
    <x v="0"/>
    <s v="1980s"/>
    <n v="1988"/>
    <n v="1983"/>
    <x v="9"/>
    <n v="99780"/>
    <n v="100543"/>
    <n v="82911"/>
    <n v="38463.095999999998"/>
    <n v="0.78213587652764505"/>
    <n v="78388"/>
    <n v="78638.287433719015"/>
    <n v="38463.095999999998"/>
    <n v="3867195061.1279998"/>
    <n v="4.4756969654774573E-4"/>
    <n v="0.78213587652764505"/>
    <n v="0.69249582195410264"/>
    <n v="0.69"/>
    <n v="0.24521474834461049"/>
    <n v="2.2000000000000002"/>
    <n v="5.0000000000000018"/>
    <x v="1"/>
    <n v="6.0000000000000001E-3"/>
    <n v="603.25800000000004"/>
    <n v="6.3157894736842104E-3"/>
    <n v="470.32800000000003"/>
    <s v="CRITFC"/>
    <n v="471.82972460231412"/>
    <n v="23203170.366767999"/>
    <n v="496.66286800243586"/>
    <n v="471.82972460231412"/>
    <n v="242.92481684210523"/>
    <n v="4.3578947368421049E-3"/>
    <n v="7.2239319442794042E-6"/>
    <s v="Fryer pers. data; Schwartzberg and Fryer 1992"/>
  </r>
  <r>
    <x v="0"/>
    <s v="1980s"/>
    <n v="1989"/>
    <n v="1986"/>
    <x v="11"/>
    <n v="47478"/>
    <n v="43470"/>
    <n v="43434"/>
    <n v="18084.831999999999"/>
    <n v="0.48406937901498925"/>
    <n v="18256"/>
    <n v="21042.495905781583"/>
    <n v="18084.831999999999"/>
    <n v="786147647.03999996"/>
    <n v="9.2017483321831149E-5"/>
    <n v="0.48406937901498925"/>
    <n v="0.42991308091816688"/>
    <n v="0.41499999999999992"/>
    <n v="9.0528157664502465E-2"/>
    <n v="1.1000000000000001"/>
    <n v="3.0000000000000009"/>
    <x v="0"/>
    <n v="0.03"/>
    <n v="1304.0999999999999"/>
    <n v="3.325942350332594E-2"/>
    <n v="547.67999999999995"/>
    <s v="CRITFC"/>
    <n v="631.27487717344752"/>
    <n v="23584429.411199998"/>
    <n v="699.86128289739179"/>
    <n v="631.27487717344752"/>
    <n v="601.491086474501"/>
    <n v="1.3802660753880262E-2"/>
    <n v="1.0584050880975586E-5"/>
    <s v="Fryer pers. data: Fryer and Schwartzberg 1990"/>
  </r>
  <r>
    <x v="0"/>
    <s v="1980s"/>
    <n v="1989"/>
    <n v="1985"/>
    <x v="10"/>
    <n v="47478"/>
    <n v="43470"/>
    <n v="43434"/>
    <n v="18084.831999999999"/>
    <n v="0.48406937901498925"/>
    <n v="18256"/>
    <n v="21042.495905781583"/>
    <n v="18084.831999999999"/>
    <n v="786147647.03999996"/>
    <n v="9.2017483321831149E-5"/>
    <n v="0.48406937901498925"/>
    <n v="0.42991308091816688"/>
    <n v="0.41499999999999992"/>
    <n v="9.0528157664502465E-2"/>
    <n v="1.2"/>
    <n v="3.9999999999999996"/>
    <x v="0"/>
    <n v="0.93100000000000005"/>
    <n v="40470.57"/>
    <n v="0.92904656319290468"/>
    <n v="16996.335999999999"/>
    <s v="CRITFC"/>
    <n v="19590.563688282655"/>
    <n v="731903459.39424002"/>
    <n v="19549.458502267149"/>
    <n v="19590.563688282655"/>
    <n v="16801.651015521064"/>
    <n v="0.38555432372505538"/>
    <n v="9.5267826404484884E-6"/>
    <s v="Fryer pers. data: Fryer and Schwartzberg 1990"/>
  </r>
  <r>
    <x v="0"/>
    <s v="1980s"/>
    <n v="1989"/>
    <n v="1984"/>
    <x v="9"/>
    <n v="47478"/>
    <n v="43470"/>
    <n v="43434"/>
    <n v="18084.831999999999"/>
    <n v="0.48406937901498925"/>
    <n v="18256"/>
    <n v="21042.495905781583"/>
    <n v="18084.831999999999"/>
    <n v="786147647.03999996"/>
    <n v="9.2017483321831149E-5"/>
    <n v="0.48406937901498925"/>
    <n v="0.42991308091816688"/>
    <n v="0.41499999999999992"/>
    <n v="9.0528157664502465E-2"/>
    <n v="1.3"/>
    <n v="5"/>
    <x v="0"/>
    <n v="2.7E-2"/>
    <n v="1173.69"/>
    <n v="2.6607538802660754E-2"/>
    <n v="492.91199999999998"/>
    <s v="CRITFC"/>
    <n v="568.1473894561027"/>
    <n v="21225986.470079999"/>
    <n v="559.88902631791348"/>
    <n v="568.1473894561027"/>
    <n v="481.19286917960085"/>
    <n v="1.1042128603104211E-2"/>
    <n v="9.4080452275338546E-6"/>
    <s v="Fryer pers. data: Fryer and Schwartzberg 1990"/>
  </r>
  <r>
    <x v="0"/>
    <s v="1980s"/>
    <n v="1989"/>
    <n v="1985"/>
    <x v="11"/>
    <n v="47478"/>
    <n v="43470"/>
    <n v="43434"/>
    <n v="18084.831999999999"/>
    <n v="0.48406937901498925"/>
    <n v="18256"/>
    <n v="21042.495905781583"/>
    <n v="18084.831999999999"/>
    <n v="786147647.03999996"/>
    <n v="9.2017483321831149E-5"/>
    <n v="0.48406937901498925"/>
    <n v="0.42991308091816688"/>
    <n v="0.41499999999999992"/>
    <n v="9.0528157664502465E-2"/>
    <n v="2.1"/>
    <n v="4.0000000000000009"/>
    <x v="1"/>
    <n v="6.0000000000000001E-3"/>
    <n v="260.82"/>
    <n v="6.6518847006651885E-3"/>
    <n v="109.536"/>
    <s v="CRITFC"/>
    <n v="126.2549754346895"/>
    <n v="4716885.8822400002"/>
    <n v="139.97225657947837"/>
    <n v="126.2549754346895"/>
    <n v="120.29821729490021"/>
    <n v="2.7605321507760527E-3"/>
    <n v="1.0584050880975588E-5"/>
    <s v="Fryer pers. data: Fryer and Schwartzberg 1990"/>
  </r>
  <r>
    <x v="0"/>
    <s v="1980s"/>
    <n v="1989"/>
    <n v="1984"/>
    <x v="10"/>
    <n v="47478"/>
    <n v="43470"/>
    <n v="43434"/>
    <n v="18084.831999999999"/>
    <n v="0.48406937901498925"/>
    <n v="18256"/>
    <n v="21042.495905781583"/>
    <n v="18084.831999999999"/>
    <n v="786147647.03999996"/>
    <n v="9.2017483321831149E-5"/>
    <n v="0.48406937901498925"/>
    <n v="0.42991308091816688"/>
    <n v="0.41499999999999992"/>
    <n v="9.0528157664502465E-2"/>
    <n v="2.2000000000000002"/>
    <n v="5.0000000000000018"/>
    <x v="1"/>
    <n v="5.0000000000000001E-3"/>
    <n v="217.35"/>
    <n v="4.434589800443459E-3"/>
    <n v="91.28"/>
    <s v="CRITFC"/>
    <n v="105.21247952890792"/>
    <n v="3930738.2352"/>
    <n v="93.31483771965226"/>
    <n v="105.21247952890792"/>
    <n v="80.198811529933479"/>
    <n v="1.840354767184035E-3"/>
    <n v="8.4672407047804691E-6"/>
    <s v="Fryer pers. data: Fryer and Schwartzberg 1990"/>
  </r>
  <r>
    <x v="0"/>
    <s v="1980s"/>
    <n v="1990"/>
    <n v="1987"/>
    <x v="12"/>
    <n v="49754"/>
    <n v="51639"/>
    <n v="51466"/>
    <n v="8613.387999999999"/>
    <n v="0.19512466302698048"/>
    <n v="12393"/>
    <n v="10076.042474050244"/>
    <n v="8613.387999999999"/>
    <n v="444786742.93199992"/>
    <n v="1.9365208466469142E-5"/>
    <n v="0.19512466302698048"/>
    <n v="0.18606498026300422"/>
    <n v="0.25"/>
    <n v="8.9495977927175216E-2"/>
    <n v="1.1000000000000001"/>
    <n v="3.0000000000000009"/>
    <x v="0"/>
    <n v="0.45200000000000001"/>
    <n v="23340.828000000001"/>
    <n v="0.58128078817733986"/>
    <n v="5601.6360000000004"/>
    <s v="CRITFC"/>
    <n v="4554.37119827071"/>
    <n v="201043607.80526397"/>
    <n v="5857.0099110242791"/>
    <n v="4554.37119827071"/>
    <n v="5006.7969655172401"/>
    <n v="0.14532019704433496"/>
    <n v="6.2260086507785825E-6"/>
    <s v="Fryer pers. data: Fryer and Schwartzberg 1991"/>
  </r>
  <r>
    <x v="0"/>
    <s v="1980s"/>
    <n v="1990"/>
    <n v="1986"/>
    <x v="11"/>
    <n v="49754"/>
    <n v="51639"/>
    <n v="51466"/>
    <n v="8613.387999999999"/>
    <n v="0.19512466302698048"/>
    <n v="12393"/>
    <n v="10076.042474050244"/>
    <n v="8613.387999999999"/>
    <n v="444786742.93199992"/>
    <n v="1.9365208466469142E-5"/>
    <n v="0.19512466302698048"/>
    <n v="0.18606498026300422"/>
    <n v="0.25"/>
    <n v="8.9495977927175216E-2"/>
    <n v="1.2"/>
    <n v="3.9999999999999996"/>
    <x v="0"/>
    <n v="0.26200000000000001"/>
    <n v="13529.418"/>
    <n v="0.25123152709359609"/>
    <n v="3246.9660000000003"/>
    <s v="CRITFC"/>
    <n v="2639.9231282011642"/>
    <n v="116534126.64818399"/>
    <n v="2531.4195378155787"/>
    <n v="2639.9231282011642"/>
    <n v="2163.9546206896553"/>
    <n v="6.2807881773399021E-2"/>
    <n v="4.6423195567909143E-6"/>
    <s v="Fryer pers. data: Fryer and Schwartzberg 1991"/>
  </r>
  <r>
    <x v="0"/>
    <s v="1980s"/>
    <n v="1990"/>
    <n v="1985"/>
    <x v="10"/>
    <n v="49754"/>
    <n v="51639"/>
    <n v="51466"/>
    <n v="8613.387999999999"/>
    <n v="0.19512466302698048"/>
    <n v="12393"/>
    <n v="10076.042474050244"/>
    <n v="8613.387999999999"/>
    <n v="444786742.93199992"/>
    <n v="1.9365208466469142E-5"/>
    <n v="0.19512466302698048"/>
    <n v="0.18606498026300422"/>
    <n v="0.25"/>
    <n v="8.9495977927175216E-2"/>
    <n v="1.3"/>
    <n v="5"/>
    <x v="0"/>
    <n v="0.22600000000000001"/>
    <n v="11670.414000000001"/>
    <n v="0.10591133004926108"/>
    <n v="2800.8180000000002"/>
    <s v="CRITFC"/>
    <n v="2277.185599135355"/>
    <n v="100521803.90263198"/>
    <n v="1067.1670600595085"/>
    <n v="2277.185599135355"/>
    <n v="912.25537931034467"/>
    <n v="2.647783251231527E-2"/>
    <n v="2.2687997625718565E-6"/>
    <s v="Fryer pers. data: Fryer and Schwartzberg 1991"/>
  </r>
  <r>
    <x v="0"/>
    <s v="1980s"/>
    <n v="1990"/>
    <n v="1986"/>
    <x v="12"/>
    <n v="49754"/>
    <n v="51639"/>
    <n v="51466"/>
    <n v="8613.387999999999"/>
    <n v="0.19512466302698048"/>
    <n v="12393"/>
    <n v="10076.042474050244"/>
    <n v="8613.387999999999"/>
    <n v="444786742.93199992"/>
    <n v="1.9365208466469142E-5"/>
    <n v="0.19512466302698048"/>
    <n v="0.18606498026300422"/>
    <n v="0.25"/>
    <n v="8.9495977927175216E-2"/>
    <n v="2.1"/>
    <n v="4.0000000000000009"/>
    <x v="1"/>
    <n v="1.9E-2"/>
    <n v="981.14099999999996"/>
    <n v="2.4630541871921183E-2"/>
    <n v="235.46699999999998"/>
    <s v="CRITFC"/>
    <n v="191.44480700695462"/>
    <n v="8450948.1157079991"/>
    <n v="248.17838606035085"/>
    <n v="191.44480700695462"/>
    <n v="212.15241379310342"/>
    <n v="6.1576354679802959E-3"/>
    <n v="6.2759944472611949E-6"/>
    <s v="Fryer pers. data: Fryer and Schwartzberg 1991"/>
  </r>
  <r>
    <x v="0"/>
    <s v="1980s"/>
    <n v="1990"/>
    <n v="1985"/>
    <x v="11"/>
    <n v="49754"/>
    <n v="51639"/>
    <n v="51466"/>
    <n v="8613.387999999999"/>
    <n v="0.19512466302698048"/>
    <n v="12393"/>
    <n v="10076.042474050244"/>
    <n v="8613.387999999999"/>
    <n v="444786742.93199992"/>
    <n v="1.9365208466469142E-5"/>
    <n v="0.19512466302698048"/>
    <n v="0.18606498026300422"/>
    <n v="0.25"/>
    <n v="8.9495977927175216E-2"/>
    <n v="2.2000000000000002"/>
    <n v="5.0000000000000018"/>
    <x v="1"/>
    <n v="3.5000000000000003E-2"/>
    <n v="1807.3650000000002"/>
    <n v="2.9556650246305417E-2"/>
    <n v="433.75500000000005"/>
    <s v="CRITFC"/>
    <n v="352.66148659175855"/>
    <n v="15567536.002619999"/>
    <n v="297.81406327242098"/>
    <n v="352.66148659175855"/>
    <n v="254.5828965517241"/>
    <n v="7.3891625615763543E-3"/>
    <n v="4.0883620970730063E-6"/>
    <s v="Fryer pers. data: Fryer and Schwartzberg 1991"/>
  </r>
  <r>
    <x v="0"/>
    <s v="1980s"/>
    <n v="1990"/>
    <n v="1984"/>
    <x v="10"/>
    <n v="49754"/>
    <n v="51639"/>
    <n v="51466"/>
    <n v="8613.387999999999"/>
    <n v="0.19512466302698048"/>
    <n v="12393"/>
    <n v="10076.042474050244"/>
    <n v="8613.387999999999"/>
    <n v="444786742.93199992"/>
    <n v="1.9365208466469142E-5"/>
    <n v="0.19512466302698048"/>
    <n v="0.18606498026300422"/>
    <n v="0.25"/>
    <n v="8.9495977927175216E-2"/>
    <n v="2.2999999999999998"/>
    <n v="5.9999999999999982"/>
    <x v="1"/>
    <n v="6.0000000000000001E-3"/>
    <n v="309.834"/>
    <n v="5.6650246305418716E-3"/>
    <n v="74.358000000000004"/>
    <s v="CRITFC"/>
    <n v="60.456254844301462"/>
    <n v="2668720.4575919998"/>
    <n v="57.081028793880691"/>
    <n v="60.456254844301462"/>
    <n v="48.795055172413782"/>
    <n v="1.4162561576354679E-3"/>
    <n v="4.5710159557552361E-6"/>
    <s v="Fryer pers. data: Fryer and Schwartzberg 1991"/>
  </r>
  <r>
    <x v="0"/>
    <s v="1990s"/>
    <n v="1991"/>
    <n v="1988"/>
    <x v="13"/>
    <n v="76484"/>
    <n v="79540"/>
    <n v="79537"/>
    <n v="31118.679999999997"/>
    <n v="0.50095268758350897"/>
    <n v="39765"/>
    <n v="39845.776770392302"/>
    <n v="31118.679999999997"/>
    <n v="2475179807.1999998"/>
    <n v="1.2572290671360322E-4"/>
    <n v="0.50095268758350897"/>
    <n v="0.44221024692351002"/>
    <n v="0.53000000000000014"/>
    <n v="0.17774117706224776"/>
    <n v="1.1000000000000001"/>
    <n v="3.0000000000000009"/>
    <x v="0"/>
    <n v="0.154"/>
    <n v="12249.16"/>
    <n v="0.14497041420118342"/>
    <n v="6123.8099999999995"/>
    <s v="CRITFC"/>
    <n v="6136.2496226404146"/>
    <n v="381177690.30879998"/>
    <n v="5776.4587625716649"/>
    <n v="6136.2496226404146"/>
    <n v="4511.287928994082"/>
    <n v="7.683431952662724E-2"/>
    <n v="6.2726194715904801E-6"/>
    <s v="Fryer pers data; Fryer et al 1992"/>
  </r>
  <r>
    <x v="0"/>
    <s v="1980s"/>
    <n v="1991"/>
    <n v="1987"/>
    <x v="12"/>
    <n v="76484"/>
    <n v="79540"/>
    <n v="79537"/>
    <n v="31118.679999999997"/>
    <n v="0.50095268758350897"/>
    <n v="39765"/>
    <n v="39845.776770392302"/>
    <n v="31118.679999999997"/>
    <n v="2475179807.1999998"/>
    <n v="1.2572290671360322E-4"/>
    <n v="0.50095268758350897"/>
    <n v="0.44221024692351002"/>
    <n v="0.53000000000000014"/>
    <n v="0.17774117706224776"/>
    <n v="1.2"/>
    <n v="3.9999999999999996"/>
    <x v="0"/>
    <n v="0.76"/>
    <n v="60450.400000000001"/>
    <n v="0.78402366863905326"/>
    <n v="30221.4"/>
    <s v="CRITFC"/>
    <n v="30282.79034549815"/>
    <n v="1881136653.4719999"/>
    <n v="31240.03208329574"/>
    <n v="30282.79034549815"/>
    <n v="24397.781656804731"/>
    <n v="0.41553254437869835"/>
    <n v="6.873942014919642E-6"/>
    <s v="Fryer pers data; Fryer et al 1992"/>
  </r>
  <r>
    <x v="0"/>
    <s v="1980s"/>
    <n v="1991"/>
    <n v="1986"/>
    <x v="11"/>
    <n v="76484"/>
    <n v="79540"/>
    <n v="79537"/>
    <n v="31118.679999999997"/>
    <n v="0.50095268758350897"/>
    <n v="39765"/>
    <n v="39845.776770392302"/>
    <n v="31118.679999999997"/>
    <n v="2475179807.1999998"/>
    <n v="1.2572290671360322E-4"/>
    <n v="0.50095268758350897"/>
    <n v="0.44221024692351002"/>
    <n v="0.53000000000000014"/>
    <n v="0.17774117706224776"/>
    <n v="1.3"/>
    <n v="5"/>
    <x v="0"/>
    <n v="1.4999999999999999E-2"/>
    <n v="1193.0999999999999"/>
    <n v="1.7751479289940829E-2"/>
    <n v="596.47500000000002"/>
    <s v="CRITFC"/>
    <n v="597.68665155588451"/>
    <n v="37127697.107999995"/>
    <n v="707.32148113122435"/>
    <n v="597.68665155588451"/>
    <n v="552.40260355029579"/>
    <n v="9.4082840236686411E-3"/>
    <n v="7.8855787642851748E-6"/>
    <s v="Fryer pers data; Fryer et al 1992"/>
  </r>
  <r>
    <x v="0"/>
    <s v="1990s"/>
    <n v="1991"/>
    <n v="1987"/>
    <x v="13"/>
    <n v="76484"/>
    <n v="79540"/>
    <n v="79537"/>
    <n v="31118.679999999997"/>
    <n v="0.50095268758350897"/>
    <n v="39765"/>
    <n v="39845.776770392302"/>
    <n v="31118.679999999997"/>
    <n v="2475179807.1999998"/>
    <n v="1.2572290671360322E-4"/>
    <n v="0.50095268758350897"/>
    <n v="0.44221024692351002"/>
    <n v="0.53000000000000014"/>
    <n v="0.17774117706224776"/>
    <n v="2.1"/>
    <n v="4.0000000000000009"/>
    <x v="1"/>
    <n v="6.7000000000000004E-2"/>
    <n v="5329.18"/>
    <n v="5.0295857988165681E-2"/>
    <n v="2664.2550000000001"/>
    <s v="CRITFC"/>
    <n v="2669.6670436162844"/>
    <n v="165837047.08239999"/>
    <n v="2004.0775298718022"/>
    <n v="2669.6670436162844"/>
    <n v="1565.1407100591714"/>
    <n v="2.6656804733727817E-2"/>
    <n v="5.0020462310764162E-6"/>
    <s v="Fryer pers data; Fryer et al 1992"/>
  </r>
  <r>
    <x v="0"/>
    <s v="1980s"/>
    <n v="1991"/>
    <n v="1986"/>
    <x v="12"/>
    <n v="76484"/>
    <n v="79540"/>
    <n v="79537"/>
    <n v="31118.679999999997"/>
    <n v="0.50095268758350897"/>
    <n v="39765"/>
    <n v="39845.776770392302"/>
    <n v="31118.679999999997"/>
    <n v="2475179807.1999998"/>
    <n v="1.2572290671360322E-4"/>
    <n v="0.50095268758350897"/>
    <n v="0.44221024692351002"/>
    <n v="0.53000000000000014"/>
    <n v="0.17774117706224776"/>
    <n v="2.2000000000000002"/>
    <n v="5.0000000000000018"/>
    <x v="1"/>
    <n v="1E-3"/>
    <n v="79.540000000000006"/>
    <n v="2.9585798816568047E-3"/>
    <n v="39.765000000000001"/>
    <s v="CRITFC"/>
    <n v="39.845776770392305"/>
    <n v="2475179.8071999997"/>
    <n v="117.88691352187071"/>
    <n v="39.845776770392305"/>
    <n v="92.06710059171597"/>
    <n v="1.5680473372781068E-3"/>
    <n v="1.9713946910712932E-5"/>
    <s v="Fryer pers data; Fryer et al 1992"/>
  </r>
  <r>
    <x v="0"/>
    <s v="1980s"/>
    <n v="1991"/>
    <n v="1986"/>
    <x v="12"/>
    <n v="76484"/>
    <n v="79540"/>
    <n v="79537"/>
    <n v="31118.679999999997"/>
    <n v="0.50095268758350897"/>
    <n v="39765"/>
    <n v="39845.776770392302"/>
    <n v="31118.679999999997"/>
    <n v="2475179807.1999998"/>
    <n v="1.2572290671360322E-4"/>
    <n v="0.50095268758350897"/>
    <n v="0.44221024692351002"/>
    <n v="0.53000000000000014"/>
    <n v="0.17774117706224776"/>
    <n v="2.2999999999999998"/>
    <n v="5.9999999999999982"/>
    <x v="1"/>
    <n v="3.0000000000000001E-3"/>
    <n v="238.62"/>
    <n v="1.7751479289940801E-2"/>
    <n v="119.295"/>
    <s v="CRITFC"/>
    <n v="119.5373303111769"/>
    <n v="7425539.4216"/>
    <n v="707.32148113122321"/>
    <n v="119.5373303111769"/>
    <n v="552.402603550295"/>
    <n v="9.4082840236686272E-3"/>
    <n v="3.942789382142581E-5"/>
    <s v="Fryer pers data; Fryer et al 1992"/>
  </r>
  <r>
    <x v="0"/>
    <s v="1990s"/>
    <n v="1992"/>
    <n v="1989"/>
    <x v="14"/>
    <n v="85000"/>
    <n v="88427"/>
    <n v="88419"/>
    <n v="47488.531999999992"/>
    <n v="0.69469319328837453"/>
    <n v="60990"/>
    <n v="61429.635002911098"/>
    <n v="47488.531999999992"/>
    <n v="4199268419.1639991"/>
    <n v="3.958067106200595E-4"/>
    <n v="0.69469319328837453"/>
    <n v="0.58903167877886586"/>
    <n v="0.63"/>
    <n v="0.20176658862914079"/>
    <n v="1.1000000000000001"/>
    <n v="3.0000000000000009"/>
    <x v="0"/>
    <n v="0.16900000000000001"/>
    <n v="14944.163"/>
    <n v="0.182"/>
    <n v="10307.310000000001"/>
    <s v="CRITFC"/>
    <n v="10381.608315491976"/>
    <n v="709676362.83871591"/>
    <n v="11180.19357052982"/>
    <n v="10381.608315491976"/>
    <n v="8642.9128239999991"/>
    <n v="0.11466"/>
    <n v="7.6725608520196138E-6"/>
    <s v="Fryer personal data; Fryer and Schwartzberg 1993"/>
  </r>
  <r>
    <x v="0"/>
    <s v="1990s"/>
    <n v="1992"/>
    <n v="1988"/>
    <x v="13"/>
    <n v="85000"/>
    <n v="88427"/>
    <n v="88419"/>
    <n v="47488.531999999992"/>
    <n v="0.69469319328837453"/>
    <n v="60990"/>
    <n v="61429.635002911098"/>
    <n v="47488.531999999992"/>
    <n v="4199268419.1639991"/>
    <n v="3.958067106200595E-4"/>
    <n v="0.69469319328837453"/>
    <n v="0.58903167877886586"/>
    <n v="0.63"/>
    <n v="0.20176658862914079"/>
    <n v="1.2"/>
    <n v="3.9999999999999996"/>
    <x v="0"/>
    <n v="0.73299999999999998"/>
    <n v="64816.991000000002"/>
    <n v="0.72199999999999998"/>
    <n v="44705.67"/>
    <s v="CRITFC"/>
    <n v="45027.922457133835"/>
    <n v="3078063751.2472115"/>
    <n v="44352.196472101808"/>
    <n v="45027.922457133835"/>
    <n v="34286.720103999993"/>
    <n v="0.45485999999999999"/>
    <n v="7.0176043809253654E-6"/>
    <s v="Fryer personal data; Fryer and Schwartzberg 1993"/>
  </r>
  <r>
    <x v="0"/>
    <s v="1980s"/>
    <n v="1992"/>
    <n v="1987"/>
    <x v="12"/>
    <n v="85000"/>
    <n v="88427"/>
    <n v="88419"/>
    <n v="47488.531999999992"/>
    <n v="0.69469319328837453"/>
    <n v="60990"/>
    <n v="61429.635002911098"/>
    <n v="47488.531999999992"/>
    <n v="4199268419.1639991"/>
    <n v="3.958067106200595E-4"/>
    <n v="0.69469319328837453"/>
    <n v="0.58903167877886586"/>
    <n v="0.63"/>
    <n v="0.20176658862914079"/>
    <n v="1.3"/>
    <n v="5"/>
    <x v="0"/>
    <n v="1.4E-2"/>
    <n v="1237.9780000000001"/>
    <n v="1.6E-2"/>
    <n v="853.86"/>
    <s v="CRITFC"/>
    <n v="860.0148900407554"/>
    <n v="58789757.86829599"/>
    <n v="982.87416004657757"/>
    <n v="860.0148900407554"/>
    <n v="759.81651199999988"/>
    <n v="1.008E-2"/>
    <n v="8.1423094756126519E-6"/>
    <s v="Fryer personal data; Fryer and Schwartzberg 1993"/>
  </r>
  <r>
    <x v="0"/>
    <s v="1990s"/>
    <n v="1992"/>
    <n v="1988"/>
    <x v="14"/>
    <n v="85000"/>
    <n v="88427"/>
    <n v="88419"/>
    <n v="47488.531999999992"/>
    <n v="0.69469319328837453"/>
    <n v="60990"/>
    <n v="61429.635002911098"/>
    <n v="47488.531999999992"/>
    <n v="4199268419.1639991"/>
    <n v="3.958067106200595E-4"/>
    <n v="0.69469319328837453"/>
    <n v="0.58903167877886586"/>
    <n v="0.63"/>
    <n v="0.20176658862914079"/>
    <n v="2.1"/>
    <n v="4.0000000000000009"/>
    <x v="1"/>
    <n v="7.0000000000000007E-2"/>
    <n v="6189.89"/>
    <n v="6.9000000000000006E-2"/>
    <n v="4269.3"/>
    <s v="CRITFC"/>
    <n v="4300.0744502037769"/>
    <n v="293948789.34147996"/>
    <n v="4238.6448152008661"/>
    <n v="4300.0744502037769"/>
    <n v="3276.7087079999997"/>
    <n v="4.3470000000000002E-2"/>
    <n v="7.0227419227159122E-6"/>
    <s v="Fryer personal data; Fryer and Schwartzberg 1993"/>
  </r>
  <r>
    <x v="0"/>
    <s v="1990s"/>
    <n v="1992"/>
    <n v="1987"/>
    <x v="13"/>
    <n v="85000"/>
    <n v="88427"/>
    <n v="88419"/>
    <n v="47488.531999999992"/>
    <n v="0.69469319328837453"/>
    <n v="60990"/>
    <n v="61429.635002911098"/>
    <n v="47488.531999999992"/>
    <n v="4199268419.1639991"/>
    <n v="3.958067106200595E-4"/>
    <n v="0.69469319328837453"/>
    <n v="0.58903167877886586"/>
    <n v="0.63"/>
    <n v="0.20176658862914079"/>
    <n v="2.2000000000000002"/>
    <n v="5.0000000000000018"/>
    <x v="1"/>
    <n v="1.4E-2"/>
    <n v="1237.9780000000001"/>
    <n v="1.0999999999999999E-2"/>
    <n v="853.86"/>
    <s v="CRITFC"/>
    <n v="860.0148900407554"/>
    <n v="58789757.86829599"/>
    <n v="675.72598503202209"/>
    <n v="860.0148900407554"/>
    <n v="522.37385199999983"/>
    <n v="6.9299999999999995E-3"/>
    <n v="5.5978377644836975E-6"/>
    <s v="Fryer personal data; Fryer and Schwartzberg 1993"/>
  </r>
  <r>
    <x v="0"/>
    <s v="1990s"/>
    <n v="1993"/>
    <n v="1990"/>
    <x v="15"/>
    <n v="88025"/>
    <n v="83459"/>
    <n v="83395"/>
    <n v="31525.067999999996"/>
    <n v="0.48034539082736549"/>
    <n v="40052"/>
    <n v="40089.145973061095"/>
    <n v="31525.067999999996"/>
    <n v="2631050650.2119994"/>
    <n v="2.15674762458213E-4"/>
    <n v="0.48034539082736549"/>
    <n v="0.42734137581729442"/>
    <n v="0.57999999999999996"/>
    <n v="0.15261106780982073"/>
    <n v="1.1000000000000001"/>
    <n v="3.0000000000000009"/>
    <x v="0"/>
    <n v="0"/>
    <n v="0"/>
    <n v="0"/>
    <n v="0"/>
    <s v="CRITFC"/>
    <n v="0"/>
    <n v="0"/>
    <n v="0"/>
    <n v="0"/>
    <n v="0"/>
    <n v="0"/>
    <n v="0"/>
    <s v="Jeff Fryer, pers.data &amp; Fryer &amp; Schwartzberg 1994"/>
  </r>
  <r>
    <x v="0"/>
    <s v="1990s"/>
    <n v="1993"/>
    <n v="1989"/>
    <x v="14"/>
    <n v="88025"/>
    <n v="83459"/>
    <n v="83395"/>
    <n v="31525.067999999996"/>
    <n v="0.48034539082736549"/>
    <n v="40052"/>
    <n v="40089.145973061095"/>
    <n v="31525.067999999996"/>
    <n v="2631050650.2119994"/>
    <n v="2.15674762458213E-4"/>
    <n v="0.48034539082736549"/>
    <n v="0.42734137581729442"/>
    <n v="0.57999999999999996"/>
    <n v="0.15261106780982073"/>
    <n v="1.2"/>
    <n v="3.9999999999999996"/>
    <x v="0"/>
    <n v="0.88700000000000001"/>
    <n v="74028.133000000002"/>
    <n v="0.89700000000000002"/>
    <n v="35526.124000000003"/>
    <s v="CRITFC"/>
    <n v="35559.07247810519"/>
    <n v="2333741926.7380433"/>
    <n v="35959.963937835804"/>
    <n v="35559.07247810519"/>
    <n v="28277.985995999996"/>
    <n v="0.52025999999999994"/>
    <n v="7.0278687158029493E-6"/>
    <s v="Jeff Fryer, pers.data &amp; Fryer &amp; Schwartzberg 1994"/>
  </r>
  <r>
    <x v="0"/>
    <s v="1990s"/>
    <n v="1993"/>
    <n v="1988"/>
    <x v="13"/>
    <n v="88025"/>
    <n v="83459"/>
    <n v="83395"/>
    <n v="31525.067999999996"/>
    <n v="0.48034539082736549"/>
    <n v="40052"/>
    <n v="40089.145973061095"/>
    <n v="31525.067999999996"/>
    <n v="2631050650.2119994"/>
    <n v="2.15674762458213E-4"/>
    <n v="0.48034539082736549"/>
    <n v="0.42734137581729442"/>
    <n v="0.57999999999999996"/>
    <n v="0.15261106780982073"/>
    <n v="1.3"/>
    <n v="5"/>
    <x v="0"/>
    <n v="5.2999999999999999E-2"/>
    <n v="4423.3270000000002"/>
    <n v="4.8000000000000001E-2"/>
    <n v="2122.7559999999999"/>
    <s v="CRITFC"/>
    <n v="2124.7247365722378"/>
    <n v="139445684.46123597"/>
    <n v="1924.2790067069327"/>
    <n v="2124.7247365722378"/>
    <n v="1513.2032639999998"/>
    <n v="2.784E-2"/>
    <n v="6.2939050176484798E-6"/>
    <s v="Jeff Fryer, pers.data &amp; Fryer &amp; Schwartzberg 1994"/>
  </r>
  <r>
    <x v="0"/>
    <s v="1990s"/>
    <n v="1993"/>
    <n v="1989"/>
    <x v="15"/>
    <n v="88025"/>
    <n v="83459"/>
    <n v="83395"/>
    <n v="31525.067999999996"/>
    <n v="0.48034539082736549"/>
    <n v="40052"/>
    <n v="40089.145973061095"/>
    <n v="31525.067999999996"/>
    <n v="2631050650.2119994"/>
    <n v="2.15674762458213E-4"/>
    <n v="0.48034539082736549"/>
    <n v="0.42734137581729442"/>
    <n v="0.57999999999999996"/>
    <n v="0.15261106780982073"/>
    <n v="2.1"/>
    <n v="4.0000000000000009"/>
    <x v="1"/>
    <n v="2E-3"/>
    <n v="166.91800000000001"/>
    <n v="4.0000000000000001E-3"/>
    <n v="80.103999999999999"/>
    <s v="CRITFC"/>
    <n v="80.178291946122187"/>
    <n v="5262101.3004239993"/>
    <n v="160.35658389224437"/>
    <n v="80.178291946122187"/>
    <n v="126.10027199999999"/>
    <n v="2.32E-3"/>
    <n v="1.3899040247307061E-5"/>
    <s v="Jeff Fryer, pers.data &amp; Fryer &amp; Schwartzberg 1994"/>
  </r>
  <r>
    <x v="0"/>
    <s v="1990s"/>
    <n v="1993"/>
    <n v="1988"/>
    <x v="14"/>
    <n v="88025"/>
    <n v="83459"/>
    <n v="83395"/>
    <n v="31525.067999999996"/>
    <n v="0.48034539082736549"/>
    <n v="40052"/>
    <n v="40089.145973061095"/>
    <n v="31525.067999999996"/>
    <n v="2631050650.2119994"/>
    <n v="2.15674762458213E-4"/>
    <n v="0.48034539082736549"/>
    <n v="0.42734137581729442"/>
    <n v="0.57999999999999996"/>
    <n v="0.15261106780982073"/>
    <n v="2.2000000000000002"/>
    <n v="5.0000000000000018"/>
    <x v="1"/>
    <n v="5.7000000000000002E-2"/>
    <n v="4757.1630000000005"/>
    <n v="0.05"/>
    <n v="2282.9639999999999"/>
    <s v="CRITFC"/>
    <n v="2285.0813204644824"/>
    <n v="149969887.06208396"/>
    <n v="2004.4572986530547"/>
    <n v="2285.0813204644824"/>
    <n v="1576.2533999999998"/>
    <n v="2.8999999999999998E-2"/>
    <n v="6.0960702839066046E-6"/>
    <s v="Jeff Fryer, pers.data &amp; Fryer &amp; Schwartzberg 1994"/>
  </r>
  <r>
    <x v="0"/>
    <s v="1990s"/>
    <n v="1993"/>
    <n v="1987"/>
    <x v="13"/>
    <n v="88025"/>
    <n v="83459"/>
    <n v="83395"/>
    <n v="31525.067999999996"/>
    <n v="0.48034539082736549"/>
    <n v="40052"/>
    <n v="40089.145973061095"/>
    <n v="31525.067999999996"/>
    <n v="2631050650.2119994"/>
    <n v="2.15674762458213E-4"/>
    <n v="0.48034539082736549"/>
    <n v="0.42734137581729442"/>
    <n v="0.57999999999999996"/>
    <n v="0.15261106780982073"/>
    <n v="2.2999999999999998"/>
    <n v="5.9999999999999982"/>
    <x v="1"/>
    <n v="2E-3"/>
    <n v="166.91800000000001"/>
    <n v="2E-3"/>
    <n v="80.103999999999999"/>
    <s v="CRITFC"/>
    <n v="80.178291946122187"/>
    <n v="5262101.3004239993"/>
    <n v="80.178291946122187"/>
    <n v="80.178291946122187"/>
    <n v="63.050135999999995"/>
    <n v="1.16E-3"/>
    <n v="6.9495201236535303E-6"/>
    <s v="Jeff Fryer, pers.data &amp; Fryer &amp; Schwartzberg 1994"/>
  </r>
  <r>
    <x v="0"/>
    <s v="1990s"/>
    <n v="1994"/>
    <n v="1991"/>
    <x v="16"/>
    <n v="12873"/>
    <n v="12957"/>
    <n v="12956"/>
    <n v="1885.9119999999998"/>
    <n v="0.16591114630069498"/>
    <n v="2202"/>
    <n v="2149.7107226181047"/>
    <m/>
    <m/>
    <n v="3.8589179594041831E-4"/>
    <n v="0.16591114630069498"/>
    <n v="0.1516531560251389"/>
    <n v="0"/>
    <n v="8.5828959555418333E-2"/>
    <n v="1.1000000000000001"/>
    <n v="3.0000000000000009"/>
    <x v="0"/>
    <n v="0.14299999999999999"/>
    <n v="1852.8509999999999"/>
    <n v="5.1999999999999998E-2"/>
    <n v="314.88599999999997"/>
    <s v="CRITFC"/>
    <n v="307.40863333438892"/>
    <s v=""/>
    <n v="111.78495757614144"/>
    <n v="307.40863333438892"/>
    <n v="98.067423999999988"/>
    <n v="0"/>
    <n v="0"/>
    <m/>
  </r>
  <r>
    <x v="0"/>
    <s v="1990s"/>
    <n v="1994"/>
    <n v="1990"/>
    <x v="15"/>
    <n v="12873"/>
    <n v="12957"/>
    <n v="12956"/>
    <n v="1885.9119999999998"/>
    <n v="0.16591114630069498"/>
    <n v="2202"/>
    <n v="2149.7107226181047"/>
    <m/>
    <m/>
    <n v="3.8589179594041831E-4"/>
    <n v="0.16591114630069498"/>
    <n v="0.1516531560251389"/>
    <n v="0"/>
    <n v="8.5828959555418333E-2"/>
    <n v="1.2"/>
    <n v="3.9999999999999996"/>
    <x v="0"/>
    <n v="0.126"/>
    <n v="1632.5820000000001"/>
    <n v="0.82499999999999996"/>
    <n v="277.452"/>
    <s v="CRITFC"/>
    <n v="270.86355104988121"/>
    <s v=""/>
    <n v="1773.5113461599362"/>
    <n v="270.86355104988121"/>
    <n v="1555.8773999999999"/>
    <n v="0"/>
    <n v="0"/>
    <m/>
  </r>
  <r>
    <x v="0"/>
    <s v="1990s"/>
    <n v="1994"/>
    <n v="1989"/>
    <x v="14"/>
    <n v="12873"/>
    <n v="12957"/>
    <n v="12956"/>
    <n v="1885.9119999999998"/>
    <n v="0.16591114630069498"/>
    <n v="2202"/>
    <n v="2149.7107226181047"/>
    <m/>
    <m/>
    <n v="3.8589179594041831E-4"/>
    <n v="0.16591114630069498"/>
    <n v="0.1516531560251389"/>
    <n v="0"/>
    <n v="8.5828959555418333E-2"/>
    <n v="1.3"/>
    <n v="5"/>
    <x v="0"/>
    <n v="0.69799999999999995"/>
    <n v="9043.985999999999"/>
    <n v="8.3000000000000004E-2"/>
    <n v="1536.9959999999999"/>
    <s v="CRITFC"/>
    <n v="1500.4980843874371"/>
    <s v=""/>
    <n v="178.42598997730269"/>
    <n v="1500.4980843874371"/>
    <n v="156.53069600000001"/>
    <n v="0"/>
    <n v="0"/>
    <m/>
  </r>
  <r>
    <x v="0"/>
    <s v="1990s"/>
    <n v="1994"/>
    <n v="1990"/>
    <x v="16"/>
    <n v="12873"/>
    <n v="12957"/>
    <n v="12956"/>
    <n v="1885.9119999999998"/>
    <n v="0.16591114630069498"/>
    <n v="2202"/>
    <n v="2149.7107226181047"/>
    <m/>
    <m/>
    <n v="3.8589179594041831E-4"/>
    <n v="0.16591114630069498"/>
    <n v="0.1516531560251389"/>
    <n v="0"/>
    <n v="8.5828959555418333E-2"/>
    <n v="2.1"/>
    <n v="4.0000000000000009"/>
    <x v="1"/>
    <n v="1.6E-2"/>
    <n v="207.31200000000001"/>
    <n v="2.3E-2"/>
    <n v="35.231999999999999"/>
    <s v="CRITFC"/>
    <n v="34.395371561889675"/>
    <s v=""/>
    <n v="49.44334662021641"/>
    <n v="34.395371561889675"/>
    <n v="43.375975999999994"/>
    <n v="0"/>
    <n v="0"/>
    <m/>
  </r>
  <r>
    <x v="0"/>
    <s v="1990s"/>
    <n v="1994"/>
    <n v="1989"/>
    <x v="15"/>
    <n v="12873"/>
    <n v="12957"/>
    <n v="12956"/>
    <n v="1885.9119999999998"/>
    <n v="0.16591114630069498"/>
    <n v="2202"/>
    <n v="2149.7107226181047"/>
    <m/>
    <m/>
    <n v="3.8589179594041831E-4"/>
    <n v="0.16591114630069498"/>
    <n v="0.1516531560251389"/>
    <n v="0"/>
    <n v="8.5828959555418333E-2"/>
    <n v="2.2000000000000002"/>
    <n v="5.0000000000000018"/>
    <x v="1"/>
    <n v="1.7000000000000001E-2"/>
    <n v="220.26900000000001"/>
    <n v="1.6E-2"/>
    <n v="37.434000000000005"/>
    <s v="CRITFC"/>
    <n v="36.545082284507785"/>
    <s v=""/>
    <n v="34.395371561889675"/>
    <n v="36.545082284507785"/>
    <n v="30.174591999999997"/>
    <n v="0"/>
    <n v="0"/>
    <m/>
  </r>
  <r>
    <x v="0"/>
    <s v="1990s"/>
    <n v="1995"/>
    <n v="1992"/>
    <x v="17"/>
    <n v="9913"/>
    <n v="8883"/>
    <n v="8882"/>
    <n v="5537.7439999999997"/>
    <n v="0.69019852813291505"/>
    <n v="5238"/>
    <n v="6131.033525404684"/>
    <m/>
    <m/>
    <n v="5.6287290329843525E-4"/>
    <n v="0.69019852813291505"/>
    <n v="0.56055918414117112"/>
    <n v="0"/>
    <n v="4.6002315723551138E-2"/>
    <n v="1.1000000000000001"/>
    <n v="3.0000000000000009"/>
    <x v="0"/>
    <n v="0.41299999999999998"/>
    <n v="3668.6789999999996"/>
    <n v="5.1999999999999998E-2"/>
    <n v="2163.2939999999999"/>
    <s v="CRITFC"/>
    <n v="2532.1168459921346"/>
    <s v=""/>
    <n v="318.81374332104355"/>
    <n v="2532.1168459921346"/>
    <n v="287.96268799999996"/>
    <n v="0"/>
    <n v="0"/>
    <m/>
  </r>
  <r>
    <x v="0"/>
    <s v="1990s"/>
    <n v="1995"/>
    <n v="1991"/>
    <x v="16"/>
    <n v="9913"/>
    <n v="8883"/>
    <n v="8882"/>
    <n v="5537.7439999999997"/>
    <n v="0.69019852813291505"/>
    <n v="5238"/>
    <n v="6131.033525404684"/>
    <m/>
    <m/>
    <n v="5.6287290329843525E-4"/>
    <n v="0.69019852813291505"/>
    <n v="0.56055918414117112"/>
    <n v="0"/>
    <n v="4.6002315723551138E-2"/>
    <n v="1.2"/>
    <n v="3.9999999999999996"/>
    <x v="0"/>
    <n v="0.51400000000000001"/>
    <n v="4565.8620000000001"/>
    <n v="0.82499999999999996"/>
    <n v="2692.3319999999999"/>
    <s v="CRITFC"/>
    <n v="3151.3512320580076"/>
    <s v=""/>
    <n v="5058.1026584588644"/>
    <n v="3151.3512320580076"/>
    <n v="4568.6387999999997"/>
    <n v="0"/>
    <n v="0"/>
    <m/>
  </r>
  <r>
    <x v="0"/>
    <s v="1990s"/>
    <n v="1995"/>
    <n v="1990"/>
    <x v="15"/>
    <n v="9913"/>
    <n v="8883"/>
    <n v="8882"/>
    <n v="5537.7439999999997"/>
    <n v="0.69019852813291505"/>
    <n v="5238"/>
    <n v="6131.033525404684"/>
    <m/>
    <m/>
    <n v="5.6287290329843525E-4"/>
    <n v="0.69019852813291505"/>
    <n v="0.56055918414117112"/>
    <n v="0"/>
    <n v="4.6002315723551138E-2"/>
    <n v="1.3"/>
    <n v="5"/>
    <x v="0"/>
    <n v="1.2999999999999999E-2"/>
    <n v="115.479"/>
    <n v="8.3000000000000004E-2"/>
    <n v="68.093999999999994"/>
    <s v="CRITFC"/>
    <n v="79.703435830260887"/>
    <s v=""/>
    <n v="508.87578260858879"/>
    <n v="79.703435830260887"/>
    <n v="459.63275199999998"/>
    <n v="0"/>
    <n v="0"/>
    <m/>
  </r>
  <r>
    <x v="0"/>
    <s v="1990s"/>
    <n v="1995"/>
    <n v="1991"/>
    <x v="17"/>
    <n v="9913"/>
    <n v="8883"/>
    <n v="8882"/>
    <n v="5537.7439999999997"/>
    <n v="0.69019852813291505"/>
    <n v="5238"/>
    <n v="6131.033525404684"/>
    <m/>
    <m/>
    <n v="5.6287290329843525E-4"/>
    <n v="0.69019852813291505"/>
    <n v="0.56055918414117112"/>
    <n v="0"/>
    <n v="4.6002315723551138E-2"/>
    <n v="2.1"/>
    <n v="4.0000000000000009"/>
    <x v="1"/>
    <n v="5.8000000000000003E-2"/>
    <n v="515.21400000000006"/>
    <n v="2.3E-2"/>
    <n v="303.80400000000003"/>
    <s v="CRITFC"/>
    <n v="355.59994447347168"/>
    <s v=""/>
    <n v="141.01377108430773"/>
    <n v="355.59994447347168"/>
    <n v="127.368112"/>
    <n v="0"/>
    <n v="0"/>
    <m/>
  </r>
  <r>
    <x v="0"/>
    <s v="1990s"/>
    <n v="1995"/>
    <n v="1990"/>
    <x v="16"/>
    <n v="9913"/>
    <n v="8883"/>
    <n v="8882"/>
    <n v="5537.7439999999997"/>
    <n v="0.69019852813291505"/>
    <n v="5238"/>
    <n v="6131.033525404684"/>
    <m/>
    <m/>
    <n v="5.6287290329843525E-4"/>
    <n v="0.69019852813291505"/>
    <n v="0.56055918414117112"/>
    <n v="0"/>
    <n v="4.6002315723551138E-2"/>
    <n v="2.2000000000000002"/>
    <n v="5.0000000000000018"/>
    <x v="1"/>
    <n v="0"/>
    <n v="0"/>
    <n v="1.6E-2"/>
    <n v="0"/>
    <s v="CRITFC"/>
    <n v="0"/>
    <s v=""/>
    <n v="98.096536406474954"/>
    <n v="0"/>
    <n v="88.603904"/>
    <n v="0"/>
    <n v="0"/>
    <m/>
  </r>
  <r>
    <x v="0"/>
    <s v="1990s"/>
    <n v="1996"/>
    <n v="1993"/>
    <x v="18"/>
    <n v="30942"/>
    <n v="31300"/>
    <n v="31275"/>
    <n v="20037.531999999999"/>
    <n v="0.67923837288135591"/>
    <n v="23160"/>
    <n v="21260.161071186441"/>
    <m/>
    <m/>
    <n v="9.5846645367412143E-5"/>
    <n v="0.67923837288135591"/>
    <n v="0.66364468864468862"/>
    <n v="0"/>
    <n v="1.1446842525979217E-2"/>
    <n v="1.1000000000000001"/>
    <n v="3.0000000000000009"/>
    <x v="0"/>
    <n v="7.5999999999999998E-2"/>
    <n v="2378.7999999999997"/>
    <n v="5.1999999999999998E-2"/>
    <n v="1760.1599999999999"/>
    <s v="CRITFC"/>
    <n v="1615.7722414101695"/>
    <s v=""/>
    <n v="1105.5283757016948"/>
    <n v="1615.7722414101695"/>
    <n v="1041.9516639999999"/>
    <n v="0"/>
    <n v="0"/>
    <s v="Fryer: pers data (Wells Dam)) used for SIRE age comps"/>
  </r>
  <r>
    <x v="0"/>
    <s v="1990s"/>
    <n v="1996"/>
    <n v="1992"/>
    <x v="17"/>
    <n v="30942"/>
    <n v="31300"/>
    <n v="31275"/>
    <n v="20037.531999999999"/>
    <n v="0.67923837288135591"/>
    <n v="23160"/>
    <n v="21260.161071186441"/>
    <m/>
    <m/>
    <n v="9.5846645367412143E-5"/>
    <n v="0.67923837288135591"/>
    <n v="0.66364468864468862"/>
    <n v="0"/>
    <n v="1.1446842525979217E-2"/>
    <n v="1.2"/>
    <n v="3.9999999999999996"/>
    <x v="0"/>
    <n v="0.85899999999999999"/>
    <n v="26886.7"/>
    <n v="0.82499999999999996"/>
    <n v="19894.439999999999"/>
    <s v="CRITFC"/>
    <n v="18262.478360149154"/>
    <s v=""/>
    <n v="17539.632883728813"/>
    <n v="18262.478360149154"/>
    <n v="16530.963899999999"/>
    <n v="0"/>
    <n v="0"/>
    <s v="Fryer: pers data (Wells Dam)) used for SIRE age comps"/>
  </r>
  <r>
    <x v="0"/>
    <s v="1990s"/>
    <n v="1996"/>
    <n v="1991"/>
    <x v="16"/>
    <n v="30942"/>
    <n v="31300"/>
    <n v="31275"/>
    <n v="20037.531999999999"/>
    <n v="0.67923837288135591"/>
    <n v="23160"/>
    <n v="21260.161071186441"/>
    <m/>
    <m/>
    <n v="9.5846645367412143E-5"/>
    <n v="0.67923837288135591"/>
    <n v="0.66364468864468862"/>
    <n v="0"/>
    <n v="1.1446842525979217E-2"/>
    <n v="1.3"/>
    <n v="5"/>
    <x v="0"/>
    <n v="3.7999999999999999E-2"/>
    <n v="1189.3999999999999"/>
    <n v="8.3000000000000004E-2"/>
    <n v="880.07999999999993"/>
    <s v="CRITFC"/>
    <n v="807.88612070508475"/>
    <s v=""/>
    <n v="1764.5933689084748"/>
    <n v="807.88612070508475"/>
    <n v="1663.1151560000001"/>
    <n v="0"/>
    <n v="0"/>
    <s v="Fryer: pers data (Wells Dam)) used for SIRE age comps"/>
  </r>
  <r>
    <x v="0"/>
    <s v="1990s"/>
    <n v="1996"/>
    <n v="1992"/>
    <x v="18"/>
    <n v="30942"/>
    <n v="31300"/>
    <n v="31275"/>
    <n v="20037.531999999999"/>
    <n v="0.67923837288135591"/>
    <n v="23160"/>
    <n v="21260.161071186441"/>
    <m/>
    <m/>
    <n v="9.5846645367412143E-5"/>
    <n v="0.67923837288135591"/>
    <n v="0.66364468864468862"/>
    <n v="0"/>
    <n v="1.1446842525979217E-2"/>
    <n v="2.1"/>
    <n v="4.0000000000000009"/>
    <x v="1"/>
    <n v="0"/>
    <n v="0"/>
    <n v="2.3E-2"/>
    <n v="0"/>
    <s v="CRITFC"/>
    <n v="0"/>
    <s v=""/>
    <n v="488.98370463728816"/>
    <n v="0"/>
    <n v="460.86323599999997"/>
    <n v="0"/>
    <n v="0"/>
    <s v="Fryer: pers data (Wells Dam)) used for SIRE age comps"/>
  </r>
  <r>
    <x v="0"/>
    <s v="1990s"/>
    <n v="1996"/>
    <n v="1991"/>
    <x v="17"/>
    <n v="30942"/>
    <n v="31300"/>
    <n v="31275"/>
    <n v="20037.531999999999"/>
    <n v="0.67923837288135591"/>
    <n v="23160"/>
    <n v="21260.161071186441"/>
    <m/>
    <m/>
    <n v="9.5846645367412143E-5"/>
    <n v="0.67923837288135591"/>
    <n v="0.66364468864468862"/>
    <n v="0"/>
    <n v="1.1446842525979217E-2"/>
    <n v="2.2000000000000002"/>
    <n v="5.0000000000000018"/>
    <x v="1"/>
    <n v="2.7E-2"/>
    <n v="845.1"/>
    <n v="1.6E-2"/>
    <n v="625.31999999999994"/>
    <s v="CRITFC"/>
    <n v="574.02434892203394"/>
    <s v=""/>
    <n v="340.16257713898307"/>
    <n v="574.02434892203394"/>
    <n v="320.60051199999998"/>
    <n v="0"/>
    <n v="0"/>
    <s v="Fryer: pers data (Wells Dam)) used for SIRE age comps"/>
  </r>
  <r>
    <x v="0"/>
    <s v="1990s"/>
    <n v="1997"/>
    <n v="1994"/>
    <x v="19"/>
    <n v="49979"/>
    <n v="48793"/>
    <n v="48781"/>
    <n v="27870.971999999998"/>
    <n v="0.6715249614494988"/>
    <n v="36095"/>
    <n v="32765.717444005397"/>
    <m/>
    <m/>
    <n v="3.2791588957432416E-4"/>
    <n v="0.6715249614494988"/>
    <n v="0.79711850224871872"/>
    <n v="0"/>
    <n v="0.10690637748303643"/>
    <n v="1.1000000000000001"/>
    <n v="3.0000000000000009"/>
    <x v="0"/>
    <n v="0"/>
    <n v="0"/>
    <n v="5.1999999999999998E-2"/>
    <n v="0"/>
    <s v="CRITFC"/>
    <n v="0"/>
    <s v=""/>
    <n v="1703.8173070882806"/>
    <n v="0"/>
    <n v="1449.2905439999997"/>
    <n v="0"/>
    <n v="0"/>
    <m/>
  </r>
  <r>
    <x v="0"/>
    <s v="1990s"/>
    <n v="1997"/>
    <n v="1993"/>
    <x v="18"/>
    <n v="49979"/>
    <n v="48793"/>
    <n v="48781"/>
    <n v="27870.971999999998"/>
    <n v="0.6715249614494988"/>
    <n v="36095"/>
    <n v="32765.717444005397"/>
    <m/>
    <m/>
    <n v="3.2791588957432416E-4"/>
    <n v="0.6715249614494988"/>
    <n v="0.79711850224871872"/>
    <n v="0"/>
    <n v="0.10690637748303643"/>
    <n v="1.2"/>
    <n v="3.9999999999999996"/>
    <x v="0"/>
    <n v="0.95699999999999996"/>
    <n v="46694.900999999998"/>
    <n v="0.82499999999999996"/>
    <n v="34542.915000000001"/>
    <s v="CRITFC"/>
    <n v="31356.791593913164"/>
    <s v=""/>
    <n v="27031.716891304452"/>
    <n v="31356.791593913164"/>
    <n v="22993.551899999999"/>
    <n v="0"/>
    <n v="0"/>
    <m/>
  </r>
  <r>
    <x v="0"/>
    <s v="1990s"/>
    <n v="1997"/>
    <n v="1992"/>
    <x v="17"/>
    <n v="49979"/>
    <n v="48793"/>
    <n v="48781"/>
    <n v="27870.971999999998"/>
    <n v="0.6715249614494988"/>
    <n v="36095"/>
    <n v="32765.717444005397"/>
    <m/>
    <m/>
    <n v="3.2791588957432416E-4"/>
    <n v="0.6715249614494988"/>
    <n v="0.79711850224871872"/>
    <n v="0"/>
    <n v="0.10690637748303643"/>
    <n v="1.3"/>
    <n v="5"/>
    <x v="0"/>
    <n v="3.4000000000000002E-2"/>
    <n v="1658.9620000000002"/>
    <n v="8.3000000000000004E-2"/>
    <n v="1227.23"/>
    <s v="CRITFC"/>
    <n v="1114.0343930961835"/>
    <s v=""/>
    <n v="2719.5545478524482"/>
    <n v="1114.0343930961835"/>
    <n v="2313.2906760000001"/>
    <n v="0"/>
    <n v="0"/>
    <m/>
  </r>
  <r>
    <x v="0"/>
    <s v="1990s"/>
    <n v="1997"/>
    <n v="1993"/>
    <x v="19"/>
    <n v="49979"/>
    <n v="48793"/>
    <n v="48781"/>
    <n v="27870.971999999998"/>
    <n v="0.6715249614494988"/>
    <n v="36095"/>
    <n v="32765.717444005397"/>
    <m/>
    <m/>
    <n v="3.2791588957432416E-4"/>
    <n v="0.6715249614494988"/>
    <n v="0.79711850224871872"/>
    <n v="0"/>
    <n v="0.10690637748303643"/>
    <n v="2.1"/>
    <n v="4.0000000000000009"/>
    <x v="1"/>
    <n v="8.9999999999999993E-3"/>
    <n v="439.13699999999994"/>
    <n v="2.3E-2"/>
    <n v="324.85499999999996"/>
    <s v="CRITFC"/>
    <n v="294.89145699604853"/>
    <s v=""/>
    <n v="753.61150121212415"/>
    <n v="294.89145699604853"/>
    <n v="641.03235599999994"/>
    <n v="0"/>
    <n v="0"/>
    <m/>
  </r>
  <r>
    <x v="0"/>
    <s v="1990s"/>
    <n v="1997"/>
    <n v="1992"/>
    <x v="18"/>
    <n v="49979"/>
    <n v="48793"/>
    <n v="48781"/>
    <n v="27870.971999999998"/>
    <n v="0.6715249614494988"/>
    <n v="36095"/>
    <n v="32765.717444005397"/>
    <m/>
    <m/>
    <n v="3.2791588957432416E-4"/>
    <n v="0.6715249614494988"/>
    <n v="0.79711850224871872"/>
    <n v="0"/>
    <n v="0.10690637748303643"/>
    <n v="2.2000000000000002"/>
    <n v="5.0000000000000018"/>
    <x v="1"/>
    <n v="0"/>
    <n v="0"/>
    <n v="1.6E-2"/>
    <n v="0"/>
    <s v="CRITFC"/>
    <n v="0"/>
    <s v=""/>
    <n v="524.25147910408634"/>
    <n v="0"/>
    <n v="445.93555199999997"/>
    <n v="0"/>
    <n v="0"/>
    <m/>
  </r>
  <r>
    <x v="0"/>
    <s v="1990s"/>
    <n v="1998"/>
    <n v="1995"/>
    <x v="20"/>
    <n v="13220"/>
    <n v="13522"/>
    <n v="13520"/>
    <n v="4666"/>
    <n v="0.49989286479537176"/>
    <n v="7705"/>
    <n v="6759.5513177630173"/>
    <m/>
    <m/>
    <n v="2.9581422866439876E-4"/>
    <n v="0.49989286479537176"/>
    <n v="0.5312979227659278"/>
    <n v="0"/>
    <n v="0.2778846153846154"/>
    <n v="1.1000000000000001"/>
    <n v="3.0000000000000009"/>
    <x v="0"/>
    <n v="5.2999999999999999E-2"/>
    <n v="716.66599999999994"/>
    <n v="5.1999999999999998E-2"/>
    <n v="408.36500000000001"/>
    <s v="CRITFC"/>
    <n v="358.25621984143993"/>
    <s v=""/>
    <n v="351.49666852367687"/>
    <n v="358.25621984143993"/>
    <n v="242.63199999999998"/>
    <n v="0"/>
    <n v="0"/>
    <m/>
  </r>
  <r>
    <x v="0"/>
    <s v="1990s"/>
    <n v="1998"/>
    <n v="1994"/>
    <x v="19"/>
    <n v="13220"/>
    <n v="13522"/>
    <n v="13520"/>
    <n v="4666"/>
    <n v="0.49989286479537176"/>
    <n v="7705"/>
    <n v="6759.5513177630173"/>
    <m/>
    <m/>
    <n v="2.9581422866439876E-4"/>
    <n v="0.49989286479537176"/>
    <n v="0.5312979227659278"/>
    <n v="0"/>
    <n v="0.2778846153846154"/>
    <n v="1.2"/>
    <n v="3.9999999999999996"/>
    <x v="0"/>
    <n v="0.78900000000000003"/>
    <n v="10668.858"/>
    <n v="0.82499999999999996"/>
    <n v="6079.2449999999999"/>
    <s v="CRITFC"/>
    <n v="5333.2859897150211"/>
    <s v=""/>
    <n v="5576.629837154489"/>
    <n v="5333.2859897150211"/>
    <n v="3849.45"/>
    <n v="0"/>
    <n v="0"/>
    <m/>
  </r>
  <r>
    <x v="0"/>
    <s v="1990s"/>
    <n v="1998"/>
    <n v="1993"/>
    <x v="18"/>
    <n v="13220"/>
    <n v="13522"/>
    <n v="13520"/>
    <n v="4666"/>
    <n v="0.49989286479537176"/>
    <n v="7705"/>
    <n v="6759.5513177630173"/>
    <m/>
    <m/>
    <n v="2.9581422866439876E-4"/>
    <n v="0.49989286479537176"/>
    <n v="0.5312979227659278"/>
    <n v="0"/>
    <n v="0.2778846153846154"/>
    <n v="1.3"/>
    <n v="5"/>
    <x v="0"/>
    <n v="0.158"/>
    <n v="2136.4760000000001"/>
    <n v="8.3000000000000004E-2"/>
    <n v="1217.3900000000001"/>
    <s v="CRITFC"/>
    <n v="1068.0091082065567"/>
    <s v=""/>
    <n v="561.04275937433044"/>
    <n v="1068.0091082065567"/>
    <n v="387.27800000000002"/>
    <n v="0"/>
    <n v="0"/>
    <m/>
  </r>
  <r>
    <x v="0"/>
    <s v="1990s"/>
    <n v="1998"/>
    <n v="1994"/>
    <x v="20"/>
    <n v="13220"/>
    <n v="13522"/>
    <n v="13520"/>
    <n v="4666"/>
    <n v="0.49989286479537176"/>
    <n v="7705"/>
    <n v="6759.5513177630173"/>
    <m/>
    <m/>
    <n v="2.9581422866439876E-4"/>
    <n v="0.49989286479537176"/>
    <n v="0.5312979227659278"/>
    <n v="0"/>
    <n v="0.2778846153846154"/>
    <n v="2.1"/>
    <n v="4.0000000000000009"/>
    <x v="1"/>
    <n v="0"/>
    <n v="0"/>
    <n v="2.3E-2"/>
    <n v="0"/>
    <s v="CRITFC"/>
    <n v="0"/>
    <s v=""/>
    <n v="155.46968030854939"/>
    <n v="0"/>
    <n v="107.318"/>
    <n v="0"/>
    <n v="0"/>
    <m/>
  </r>
  <r>
    <x v="0"/>
    <s v="1990s"/>
    <n v="1998"/>
    <n v="1993"/>
    <x v="19"/>
    <n v="13220"/>
    <n v="13522"/>
    <n v="13520"/>
    <n v="4666"/>
    <n v="0.49989286479537176"/>
    <n v="7705"/>
    <n v="6759.5513177630173"/>
    <m/>
    <m/>
    <n v="2.9581422866439876E-4"/>
    <n v="0.49989286479537176"/>
    <n v="0.5312979227659278"/>
    <n v="0"/>
    <n v="0.2778846153846154"/>
    <n v="2.2000000000000002"/>
    <n v="5.0000000000000018"/>
    <x v="1"/>
    <n v="0"/>
    <n v="0"/>
    <n v="1.6E-2"/>
    <n v="0"/>
    <s v="CRITFC"/>
    <n v="0"/>
    <s v=""/>
    <n v="108.15282108420828"/>
    <n v="0"/>
    <n v="74.656000000000006"/>
    <n v="0"/>
    <n v="0"/>
    <m/>
  </r>
  <r>
    <x v="0"/>
    <s v="1990s"/>
    <n v="1999"/>
    <n v="1996"/>
    <x v="21"/>
    <n v="19094"/>
    <n v="18383"/>
    <n v="18382"/>
    <n v="12388"/>
    <n v="0.7952295264703797"/>
    <n v="16715"/>
    <n v="14618.704385104989"/>
    <m/>
    <m/>
    <n v="8.1597127781102101E-4"/>
    <n v="0.7952295264703797"/>
    <n v="0.74158529929043604"/>
    <n v="0"/>
    <n v="0.11343203110641405"/>
    <n v="1.1000000000000001"/>
    <n v="3.0000000000000009"/>
    <x v="0"/>
    <n v="0.114"/>
    <n v="2095.6620000000003"/>
    <n v="5.1999999999999998E-2"/>
    <n v="1905.51"/>
    <s v="CRITFC"/>
    <n v="1666.5322999019688"/>
    <s v=""/>
    <n v="760.1726280254594"/>
    <n v="1666.5322999019688"/>
    <n v="644.17599999999993"/>
    <n v="0"/>
    <n v="0"/>
    <m/>
  </r>
  <r>
    <x v="0"/>
    <s v="1990s"/>
    <n v="1999"/>
    <n v="1995"/>
    <x v="20"/>
    <n v="19094"/>
    <n v="18383"/>
    <n v="18382"/>
    <n v="12388"/>
    <n v="0.7952295264703797"/>
    <n v="16715"/>
    <n v="14618.704385104989"/>
    <m/>
    <m/>
    <n v="8.1597127781102101E-4"/>
    <n v="0.7952295264703797"/>
    <n v="0.74158529929043604"/>
    <n v="0"/>
    <n v="0.11343203110641405"/>
    <n v="1.2"/>
    <n v="3.9999999999999996"/>
    <x v="0"/>
    <n v="0.84899999999999998"/>
    <n v="15607.166999999999"/>
    <n v="0.82499999999999996"/>
    <n v="14191.035"/>
    <s v="CRITFC"/>
    <n v="12411.280022954135"/>
    <s v=""/>
    <n v="12060.431117711616"/>
    <n v="12411.280022954135"/>
    <n v="10220.099999999999"/>
    <n v="0"/>
    <n v="0"/>
    <m/>
  </r>
  <r>
    <x v="0"/>
    <s v="1990s"/>
    <n v="1999"/>
    <n v="1994"/>
    <x v="19"/>
    <n v="19094"/>
    <n v="18383"/>
    <n v="18382"/>
    <n v="12388"/>
    <n v="0.7952295264703797"/>
    <n v="16715"/>
    <n v="14618.704385104989"/>
    <m/>
    <m/>
    <n v="8.1597127781102101E-4"/>
    <n v="0.7952295264703797"/>
    <n v="0.74158529929043604"/>
    <n v="0"/>
    <n v="0.11343203110641405"/>
    <n v="1.3"/>
    <n v="5"/>
    <x v="0"/>
    <n v="0"/>
    <n v="0"/>
    <n v="8.3000000000000004E-2"/>
    <n v="0"/>
    <s v="CRITFC"/>
    <n v="0"/>
    <s v=""/>
    <n v="1213.3524639637142"/>
    <n v="0"/>
    <n v="1028.204"/>
    <n v="0"/>
    <n v="0"/>
    <m/>
  </r>
  <r>
    <x v="0"/>
    <s v="1990s"/>
    <n v="1999"/>
    <n v="1995"/>
    <x v="21"/>
    <n v="19094"/>
    <n v="18383"/>
    <n v="18382"/>
    <n v="12388"/>
    <n v="0.7952295264703797"/>
    <n v="16715"/>
    <n v="14618.704385104989"/>
    <m/>
    <m/>
    <n v="8.1597127781102101E-4"/>
    <n v="0.7952295264703797"/>
    <n v="0.74158529929043604"/>
    <n v="0"/>
    <n v="0.11343203110641405"/>
    <n v="2.1"/>
    <n v="4.0000000000000009"/>
    <x v="1"/>
    <n v="3.7999999999999999E-2"/>
    <n v="698.55399999999997"/>
    <n v="2.3E-2"/>
    <n v="635.16999999999996"/>
    <s v="CRITFC"/>
    <n v="555.51076663398953"/>
    <s v=""/>
    <n v="336.23020085741473"/>
    <n v="555.51076663398953"/>
    <n v="284.92399999999998"/>
    <n v="0"/>
    <n v="0"/>
    <m/>
  </r>
  <r>
    <x v="0"/>
    <s v="1990s"/>
    <n v="1999"/>
    <n v="1994"/>
    <x v="20"/>
    <n v="19094"/>
    <n v="18383"/>
    <n v="18382"/>
    <n v="12388"/>
    <n v="0.7952295264703797"/>
    <n v="16715"/>
    <n v="14618.704385104989"/>
    <m/>
    <m/>
    <n v="8.1597127781102101E-4"/>
    <n v="0.7952295264703797"/>
    <n v="0.74158529929043604"/>
    <n v="0"/>
    <n v="0.11343203110641405"/>
    <n v="2.2000000000000002"/>
    <n v="5.0000000000000018"/>
    <x v="1"/>
    <n v="0"/>
    <n v="0"/>
    <n v="1.6E-2"/>
    <n v="0"/>
    <s v="CRITFC"/>
    <n v="0"/>
    <s v=""/>
    <n v="233.89927016167982"/>
    <n v="0"/>
    <n v="198.208"/>
    <n v="0"/>
    <n v="0"/>
    <m/>
  </r>
  <r>
    <x v="0"/>
    <s v="1990s"/>
    <n v="2000"/>
    <n v="1997"/>
    <x v="22"/>
    <n v="93764"/>
    <n v="97557"/>
    <n v="97191"/>
    <n v="59944"/>
    <n v="0.78345880384776245"/>
    <n v="73866"/>
    <n v="76431.89052697616"/>
    <n v="59944"/>
    <n v="5847956808"/>
    <n v="3.7414024621503328E-3"/>
    <n v="0.78345880384776245"/>
    <n v="0.75851596902363716"/>
    <n v="0.55000000000000004"/>
    <n v="0.17907007850521139"/>
    <n v="1.1000000000000001"/>
    <n v="3.0000000000000009"/>
    <x v="0"/>
    <n v="0.13"/>
    <n v="12682.41"/>
    <n v="7.1999999999999995E-2"/>
    <n v="9602.58"/>
    <s v="CRITFC"/>
    <n v="9936.1457685069017"/>
    <n v="760234385.04000008"/>
    <n v="5503.0961179422829"/>
    <n v="9936.1457685069017"/>
    <n v="4315.9679999999998"/>
    <n v="3.9600000000000003E-2"/>
    <n v="3.1224349315311525E-6"/>
    <s v="SIRE = Fryer &amp; Kelsey 2001 (CRITFC 01-2), but FRYER may be Sp/Grd? [hs 10/21/2020]"/>
  </r>
  <r>
    <x v="0"/>
    <s v="1990s"/>
    <n v="2000"/>
    <n v="1996"/>
    <x v="21"/>
    <n v="93764"/>
    <n v="97557"/>
    <n v="97191"/>
    <n v="59944"/>
    <n v="0.78345880384776245"/>
    <n v="73866"/>
    <n v="76431.89052697616"/>
    <n v="59944"/>
    <n v="5847956808"/>
    <n v="3.7414024621503328E-3"/>
    <n v="0.78345880384776245"/>
    <n v="0.75851596902363716"/>
    <n v="0.55000000000000004"/>
    <n v="0.17907007850521139"/>
    <n v="1.2"/>
    <n v="3.9999999999999996"/>
    <x v="0"/>
    <n v="0.84"/>
    <n v="81947.87999999999"/>
    <n v="0.874"/>
    <n v="62047.439999999995"/>
    <s v="CRITFC"/>
    <n v="64202.788042659973"/>
    <n v="4912283718.7200003"/>
    <n v="66801.472320577159"/>
    <n v="64202.788042659973"/>
    <n v="52391.055999999997"/>
    <n v="0.48070000000000002"/>
    <n v="5.8659235601946024E-6"/>
    <s v="SIRE = Fryer &amp; Kelsey 2001 (CRITFC 01-2) (Wells Dam, Table 3)"/>
  </r>
  <r>
    <x v="0"/>
    <s v="1990s"/>
    <n v="2000"/>
    <n v="1995"/>
    <x v="20"/>
    <n v="93764"/>
    <n v="97557"/>
    <n v="97191"/>
    <n v="59944"/>
    <n v="0.78345880384776245"/>
    <n v="73866"/>
    <n v="76431.89052697616"/>
    <n v="59944"/>
    <n v="5847956808"/>
    <n v="3.7414024621503328E-3"/>
    <n v="0.78345880384776245"/>
    <n v="0.75851596902363716"/>
    <n v="0.55000000000000004"/>
    <n v="0.17907007850521139"/>
    <n v="1.3"/>
    <n v="5"/>
    <x v="0"/>
    <n v="0.01"/>
    <n v="975.57"/>
    <n v="3.5999999999999997E-2"/>
    <n v="738.66"/>
    <s v="CRITFC"/>
    <n v="764.31890526976167"/>
    <n v="58479568.079999998"/>
    <n v="2751.5480589711415"/>
    <n v="764.31890526976167"/>
    <n v="2157.9839999999999"/>
    <n v="1.9800000000000002E-2"/>
    <n v="2.0295827054952489E-5"/>
    <s v="SIRE = Fryer &amp; Kelsey 2001 (CRITFC 01-2) (Wells Dam, Table 3)"/>
  </r>
  <r>
    <x v="0"/>
    <s v="1990s"/>
    <n v="2000"/>
    <n v="1996"/>
    <x v="22"/>
    <n v="93764"/>
    <n v="97557"/>
    <n v="97191"/>
    <n v="59944"/>
    <n v="0.78345880384776245"/>
    <n v="73866"/>
    <n v="76431.89052697616"/>
    <n v="59944"/>
    <n v="5847956808"/>
    <n v="3.7414024621503328E-3"/>
    <n v="0.78345880384776245"/>
    <n v="0.75851596902363716"/>
    <n v="0.55000000000000004"/>
    <n v="0.17907007850521139"/>
    <n v="2.1"/>
    <n v="4.0000000000000009"/>
    <x v="1"/>
    <n v="0.01"/>
    <n v="975.57"/>
    <n v="1E-3"/>
    <n v="738.66"/>
    <s v="CRITFC"/>
    <n v="764.31890526976167"/>
    <n v="58479568.079999998"/>
    <n v="76.431890526976161"/>
    <n v="764.31890526976167"/>
    <n v="59.944000000000003"/>
    <n v="5.5000000000000003E-4"/>
    <n v="5.6377297374868026E-7"/>
    <s v="SIRE = Fryer &amp; Kelsey 2001 (CRITFC 01-2) (Wells Dam, Table 3)"/>
  </r>
  <r>
    <x v="0"/>
    <s v="1990s"/>
    <n v="2000"/>
    <n v="1995"/>
    <x v="21"/>
    <n v="93764"/>
    <n v="97557"/>
    <n v="97191"/>
    <n v="59944"/>
    <n v="0.78345880384776245"/>
    <n v="73866"/>
    <n v="76431.89052697616"/>
    <n v="59944"/>
    <n v="5847956808"/>
    <n v="3.7414024621503328E-3"/>
    <n v="0.78345880384776245"/>
    <n v="0.75851596902363716"/>
    <n v="0.55000000000000004"/>
    <n v="0.17907007850521139"/>
    <n v="2.2000000000000002"/>
    <n v="5.0000000000000018"/>
    <x v="1"/>
    <n v="0.01"/>
    <n v="975.57"/>
    <n v="1.7000000000000001E-2"/>
    <n v="738.66"/>
    <s v="CRITFC"/>
    <n v="764.31890526976167"/>
    <n v="58479568.079999998"/>
    <n v="1299.3421389585949"/>
    <n v="764.31890526976167"/>
    <n v="1019.0480000000001"/>
    <n v="9.3500000000000007E-3"/>
    <n v="9.5841405537275652E-6"/>
    <s v="SIRE = Fryer &amp; Kelsey 2001 (CRITFC 01-2) (Wells Dam, Table 3)"/>
  </r>
  <r>
    <x v="0"/>
    <s v="2000s"/>
    <n v="2001"/>
    <n v="1998"/>
    <x v="23"/>
    <n v="117879"/>
    <n v="121355"/>
    <n v="119664"/>
    <n v="74486"/>
    <n v="0.7104731018695154"/>
    <n v="83707"/>
    <n v="86219.463277375035"/>
    <n v="74486"/>
    <n v="9039248530"/>
    <n v="3.3785175724115201E-4"/>
    <n v="0.7104731018695154"/>
    <n v="0.63162914917970236"/>
    <n v="0.56000000000000005"/>
    <n v="6.2533426928733787E-2"/>
    <n v="1.1000000000000001"/>
    <n v="3.0000000000000009"/>
    <x v="0"/>
    <n v="2.5999999999999999E-2"/>
    <n v="3155.23"/>
    <n v="3.3000000000000002E-2"/>
    <n v="2762.3310000000001"/>
    <s v="SiRE"/>
    <n v="2241.7060452117507"/>
    <n v="235020461.78"/>
    <n v="2845.2422881533762"/>
    <n v="2845.2422881533762"/>
    <n v="2458.038"/>
    <n v="1.8480000000000003E-2"/>
    <n v="5.8569422831299153E-6"/>
    <s v="SIRE = spawning grounds; Wells = 0.031 CRITFC 02_02 Table 3"/>
  </r>
  <r>
    <x v="0"/>
    <s v="1990s"/>
    <n v="2001"/>
    <n v="1997"/>
    <x v="22"/>
    <n v="117879"/>
    <n v="121355"/>
    <n v="119664"/>
    <n v="74486"/>
    <n v="0.7104731018695154"/>
    <n v="83707"/>
    <n v="86219.463277375035"/>
    <n v="74486"/>
    <n v="9039248530"/>
    <n v="3.3785175724115201E-4"/>
    <n v="0.7104731018695154"/>
    <n v="0.63162914917970236"/>
    <n v="0.56000000000000005"/>
    <n v="6.2533426928733787E-2"/>
    <n v="1.2"/>
    <n v="3.9999999999999996"/>
    <x v="0"/>
    <n v="0.94599999999999995"/>
    <n v="114801.82999999999"/>
    <n v="0.94399999999999995"/>
    <n v="79019.407999999996"/>
    <s v="SiRE"/>
    <n v="81563.612260396781"/>
    <n v="8551129109.3799992"/>
    <n v="81391.173333842031"/>
    <n v="81391.173333842031"/>
    <n v="70314.784"/>
    <n v="0.52864"/>
    <n v="4.604804644664637E-6"/>
    <s v="spawning grounds; Wells = 0.940"/>
  </r>
  <r>
    <x v="0"/>
    <s v="1990s"/>
    <n v="2001"/>
    <n v="1996"/>
    <x v="21"/>
    <n v="117879"/>
    <n v="121355"/>
    <n v="119664"/>
    <n v="74486"/>
    <n v="0.7104731018695154"/>
    <n v="83707"/>
    <n v="86219.463277375035"/>
    <n v="74486"/>
    <n v="9039248530"/>
    <n v="3.3785175724115201E-4"/>
    <n v="0.7104731018695154"/>
    <n v="0.63162914917970236"/>
    <n v="0.56000000000000005"/>
    <n v="6.2533426928733787E-2"/>
    <n v="1.3"/>
    <n v="5"/>
    <x v="0"/>
    <n v="0.02"/>
    <n v="2427.1"/>
    <n v="2.1999999999999999E-2"/>
    <n v="1841.5539999999999"/>
    <s v="SiRE"/>
    <n v="1724.3892655475008"/>
    <n v="180784970.59999999"/>
    <n v="1896.8281921022506"/>
    <n v="1896.8281921022506"/>
    <n v="1638.692"/>
    <n v="1.2320000000000001E-2"/>
    <n v="5.0760166453792602E-6"/>
    <s v="spawning grounds; Wells = 0.020"/>
  </r>
  <r>
    <x v="0"/>
    <s v="2000s"/>
    <n v="2001"/>
    <n v="1997"/>
    <x v="23"/>
    <n v="117879"/>
    <n v="121355"/>
    <n v="119664"/>
    <n v="74486"/>
    <n v="0.7104731018695154"/>
    <n v="83707"/>
    <n v="86219.463277375035"/>
    <n v="74486"/>
    <n v="9039248530"/>
    <n v="3.3785175724115201E-4"/>
    <n v="0.7104731018695154"/>
    <n v="0.63162914917970236"/>
    <n v="0.56000000000000005"/>
    <n v="6.2533426928733787E-2"/>
    <n v="2.1"/>
    <n v="4.0000000000000009"/>
    <x v="1"/>
    <n v="3.0000000000000001E-3"/>
    <n v="364.065"/>
    <n v="4.8999999999999998E-4"/>
    <n v="41.01643"/>
    <s v="SiRE"/>
    <n v="258.65838983212512"/>
    <n v="27117745.59"/>
    <n v="42.247537005913763"/>
    <n v="42.247537005913763"/>
    <n v="36.498139999999999"/>
    <n v="2.744E-4"/>
    <n v="7.5371156249570824E-7"/>
    <s v="spawning grounds; Wells = 0.006"/>
  </r>
  <r>
    <x v="0"/>
    <s v="1990s"/>
    <n v="2001"/>
    <n v="1996"/>
    <x v="22"/>
    <n v="117879"/>
    <n v="121355"/>
    <n v="119664"/>
    <n v="74486"/>
    <n v="0.7104731018695154"/>
    <n v="83707"/>
    <n v="86219.463277375035"/>
    <n v="74486"/>
    <n v="9039248530"/>
    <n v="3.3785175724115201E-4"/>
    <n v="0.7104731018695154"/>
    <n v="0.63162914917970236"/>
    <n v="0.56000000000000005"/>
    <n v="6.2533426928733787E-2"/>
    <n v="2.2000000000000002"/>
    <n v="5.0000000000000018"/>
    <x v="1"/>
    <n v="3.0000000000000001E-3"/>
    <n v="364.065"/>
    <n v="4.8999999999999998E-4"/>
    <n v="41.01643"/>
    <s v="SiRE"/>
    <n v="258.65838983212512"/>
    <n v="27117745.59"/>
    <n v="42.247537005913763"/>
    <n v="42.247537005913763"/>
    <n v="36.498139999999999"/>
    <n v="2.744E-4"/>
    <n v="7.5371156249570824E-7"/>
    <s v="spawning grounds; Wells = 0.003"/>
  </r>
  <r>
    <x v="0"/>
    <s v="2000s"/>
    <n v="2002"/>
    <n v="1999"/>
    <x v="24"/>
    <n v="50557"/>
    <n v="51515"/>
    <n v="51496"/>
    <n v="10659"/>
    <n v="0.24050090252707582"/>
    <n v="14406"/>
    <n v="12389.40399368231"/>
    <n v="10659"/>
    <n v="549098385"/>
    <n v="1.2423565951664563E-3"/>
    <n v="0.24050090252707582"/>
    <n v="0.25014670328380628"/>
    <n v="0.27"/>
    <n v="8.8317539226347677E-2"/>
    <n v="1.1000000000000001"/>
    <n v="3.0000000000000009"/>
    <x v="0"/>
    <n v="0.02"/>
    <n v="1030.3"/>
    <n v="9.0999999999999998E-2"/>
    <n v="288.12"/>
    <s v="CRITFC"/>
    <n v="247.78807987364621"/>
    <n v="10981967.700000001"/>
    <n v="1127.4357634250903"/>
    <n v="247.78807987364621"/>
    <n v="969.96899999999994"/>
    <n v="2.4570000000000002E-2"/>
    <n v="2.3847423080656121E-5"/>
    <s v="Use Fryer; SIRE = spawning grounds no 53s; Wells = 0.015"/>
  </r>
  <r>
    <x v="0"/>
    <s v="2000s"/>
    <n v="2002"/>
    <n v="1998"/>
    <x v="23"/>
    <n v="50557"/>
    <n v="51515"/>
    <n v="51496"/>
    <n v="10659"/>
    <n v="0.24050090252707582"/>
    <n v="14406"/>
    <n v="12389.40399368231"/>
    <n v="10659"/>
    <n v="549098385"/>
    <n v="1.2423565951664563E-3"/>
    <n v="0.24050090252707582"/>
    <n v="0.25014670328380628"/>
    <n v="0.27"/>
    <n v="8.8317539226347677E-2"/>
    <n v="1.2"/>
    <n v="3.9999999999999996"/>
    <x v="0"/>
    <n v="0.497"/>
    <n v="25602.954999999998"/>
    <n v="0.55400000000000005"/>
    <n v="7159.7820000000002"/>
    <s v="CRITFC"/>
    <n v="6157.5337848601084"/>
    <n v="272901897.34499997"/>
    <n v="6863.7298125000007"/>
    <n v="6157.5337848601084"/>
    <n v="5905.0860000000002"/>
    <n v="0.14958000000000002"/>
    <n v="5.8422943757859208E-6"/>
    <s v="Use Fryer; SIRE = spawning grounds no 53s; Wells = 0.441"/>
  </r>
  <r>
    <x v="0"/>
    <s v="1990s"/>
    <n v="2002"/>
    <n v="1997"/>
    <x v="22"/>
    <n v="50557"/>
    <n v="51515"/>
    <n v="51496"/>
    <n v="10659"/>
    <n v="0.24050090252707582"/>
    <n v="14406"/>
    <n v="12389.40399368231"/>
    <n v="10659"/>
    <n v="549098385"/>
    <n v="1.2423565951664563E-3"/>
    <n v="0.24050090252707582"/>
    <n v="0.25014670328380628"/>
    <n v="0.27"/>
    <n v="8.8317539226347677E-2"/>
    <n v="1.3"/>
    <n v="5"/>
    <x v="0"/>
    <n v="0.14799999999999999"/>
    <n v="7624.2199999999993"/>
    <n v="0.35399999999999998"/>
    <n v="2132.0879999999997"/>
    <s v="CRITFC"/>
    <n v="1833.6317910649818"/>
    <n v="81266560.979999989"/>
    <n v="4385.8490137635372"/>
    <n v="1833.6317910649818"/>
    <n v="3773.2859999999996"/>
    <n v="9.5579999999999998E-2"/>
    <n v="1.2536364375634491E-5"/>
    <s v="Use Fryer; SIRE = spawning grounds no 53s; Wells = 0.160"/>
  </r>
  <r>
    <x v="0"/>
    <s v="2000s"/>
    <n v="2002"/>
    <n v="1998"/>
    <x v="24"/>
    <n v="50557"/>
    <n v="51515"/>
    <n v="51496"/>
    <n v="10659"/>
    <n v="0.24050090252707582"/>
    <n v="14406"/>
    <n v="12389.40399368231"/>
    <n v="10659"/>
    <n v="549098385"/>
    <n v="1.2423565951664563E-3"/>
    <n v="0.24050090252707582"/>
    <n v="0.25014670328380628"/>
    <n v="0.27"/>
    <n v="8.8317539226347677E-2"/>
    <n v="2.1"/>
    <n v="4.0000000000000009"/>
    <x v="1"/>
    <n v="1.2999999999999999E-2"/>
    <n v="669.69499999999994"/>
    <n v="0"/>
    <n v="187.27799999999999"/>
    <s v="CRITFC"/>
    <n v="161.06225191787001"/>
    <n v="7138279.0049999999"/>
    <n v="0"/>
    <n v="161.06225191787001"/>
    <n v="0"/>
    <n v="0"/>
    <n v="0"/>
    <s v="Use Fryer; SIRE = spawning grounds no 53s; Wells = 0.015"/>
  </r>
  <r>
    <x v="0"/>
    <s v="2000s"/>
    <n v="2002"/>
    <n v="1997"/>
    <x v="23"/>
    <n v="50557"/>
    <n v="51515"/>
    <n v="51496"/>
    <n v="10659"/>
    <n v="0.24050090252707582"/>
    <n v="14406"/>
    <n v="12389.40399368231"/>
    <n v="10659"/>
    <n v="549098385"/>
    <n v="1.2423565951664563E-3"/>
    <n v="0.24050090252707582"/>
    <n v="0.25014670328380628"/>
    <n v="0.27"/>
    <n v="8.8317539226347677E-2"/>
    <n v="2.2000000000000002"/>
    <n v="5.0000000000000018"/>
    <x v="1"/>
    <n v="0.221"/>
    <n v="11384.815000000001"/>
    <n v="0"/>
    <n v="3183.7260000000001"/>
    <s v="CRITFC"/>
    <n v="2738.0582826037908"/>
    <n v="121350743.08500001"/>
    <n v="0"/>
    <n v="2738.0582826037908"/>
    <n v="0"/>
    <n v="0"/>
    <n v="0"/>
    <s v="Use Fryer; SIRE = spawning grounds no 53s; Wells = 0.236"/>
  </r>
  <r>
    <x v="0"/>
    <s v="1990s"/>
    <n v="2002"/>
    <n v="1996"/>
    <x v="22"/>
    <n v="50557"/>
    <n v="51515"/>
    <n v="51496"/>
    <n v="10659"/>
    <n v="0.24050090252707582"/>
    <n v="14406"/>
    <n v="12389.40399368231"/>
    <n v="10659"/>
    <n v="549098385"/>
    <n v="1.2423565951664563E-3"/>
    <n v="0.24050090252707582"/>
    <n v="0.25014670328380628"/>
    <n v="0.27"/>
    <n v="8.8317539226347677E-2"/>
    <n v="2.2999999999999998"/>
    <n v="5.9999999999999982"/>
    <x v="1"/>
    <n v="0.10100000000000001"/>
    <n v="5203.0150000000003"/>
    <m/>
    <n v="1455.0060000000001"/>
    <s v="CRITFC"/>
    <n v="1251.3298033619135"/>
    <n v="55458936.885000005"/>
    <n v="0"/>
    <n v="1251.3298033619135"/>
    <m/>
    <m/>
    <m/>
    <m/>
  </r>
  <r>
    <x v="0"/>
    <s v="2000s"/>
    <n v="2003"/>
    <n v="2000"/>
    <x v="25"/>
    <n v="39291"/>
    <n v="40728"/>
    <n v="40728"/>
    <n v="29374"/>
    <n v="0.84459012622559593"/>
    <n v="34992"/>
    <n v="34398.46666091607"/>
    <n v="29374"/>
    <n v="1196344272"/>
    <n v="9.8212531919072868E-4"/>
    <n v="0.84459012622559593"/>
    <n v="0.87278693528693529"/>
    <n v="0.84000000000000008"/>
    <n v="0.11832154782950305"/>
    <n v="1.1000000000000001"/>
    <n v="3.0000000000000009"/>
    <x v="0"/>
    <n v="0.27400000000000002"/>
    <n v="11159.472000000002"/>
    <n v="0.27"/>
    <n v="9587.8080000000009"/>
    <s v="CRITFC"/>
    <n v="9425.1798650910041"/>
    <n v="327798330.528"/>
    <n v="9287.5859984473391"/>
    <n v="9425.1798650910041"/>
    <n v="7930.9800000000005"/>
    <n v="0.22680000000000003"/>
    <n v="2.0323542189092819E-5"/>
    <s v="SIRE = Broodstock (hatchery highgrading?), use Fryer"/>
  </r>
  <r>
    <x v="0"/>
    <s v="2000s"/>
    <n v="2003"/>
    <n v="1999"/>
    <x v="24"/>
    <n v="39291"/>
    <n v="40728"/>
    <n v="40728"/>
    <n v="29374"/>
    <n v="0.84459012622559593"/>
    <n v="34992"/>
    <n v="34398.46666091607"/>
    <n v="29374"/>
    <n v="1196344272"/>
    <n v="9.8212531919072868E-4"/>
    <n v="0.84459012622559593"/>
    <n v="0.87278693528693529"/>
    <n v="0.84000000000000008"/>
    <n v="0.11832154782950305"/>
    <n v="1.2"/>
    <n v="3.9999999999999996"/>
    <x v="0"/>
    <n v="0.49"/>
    <n v="19956.72"/>
    <n v="0.51700000000000002"/>
    <n v="17146.079999999998"/>
    <s v="CRITFC"/>
    <n v="16855.248663848874"/>
    <n v="586208693.27999997"/>
    <n v="17784.007263693609"/>
    <n v="16855.248663848874"/>
    <n v="15186.358"/>
    <n v="0.43428000000000005"/>
    <n v="2.1761091000926006E-5"/>
    <m/>
  </r>
  <r>
    <x v="0"/>
    <s v="2000s"/>
    <n v="2003"/>
    <n v="1998"/>
    <x v="23"/>
    <n v="39291"/>
    <n v="40728"/>
    <n v="40728"/>
    <n v="29374"/>
    <n v="0.84459012622559593"/>
    <n v="34992"/>
    <n v="34398.46666091607"/>
    <n v="29374"/>
    <n v="1196344272"/>
    <n v="9.8212531919072868E-4"/>
    <n v="0.84459012622559593"/>
    <n v="0.87278693528693529"/>
    <n v="0.84000000000000008"/>
    <n v="0.11832154782950305"/>
    <n v="1.3"/>
    <n v="5"/>
    <x v="0"/>
    <n v="1.9E-2"/>
    <n v="773.83199999999999"/>
    <n v="0.125"/>
    <n v="664.84799999999996"/>
    <s v="CRITFC"/>
    <n v="653.57086655740534"/>
    <n v="22730541.167999998"/>
    <n v="4299.8083326145088"/>
    <n v="653.57086655740534"/>
    <n v="3671.75"/>
    <n v="0.10500000000000001"/>
    <n v="1.3568836646714018E-4"/>
    <s v="Fryer age 1.3 comp (0.4%) is quite low relative to spawning ground data; Fryer age comp only adds up to 98.5%, so adding 1.5% to age 1.3 composition [2022-10-30]"/>
  </r>
  <r>
    <x v="0"/>
    <s v="2000s"/>
    <n v="2003"/>
    <n v="1999"/>
    <x v="25"/>
    <n v="39291"/>
    <n v="40728"/>
    <n v="40728"/>
    <n v="29374"/>
    <n v="0.84459012622559593"/>
    <n v="34992"/>
    <n v="34398.46666091607"/>
    <n v="29374"/>
    <n v="1196344272"/>
    <n v="9.8212531919072868E-4"/>
    <n v="0.84459012622559593"/>
    <n v="0.87278693528693529"/>
    <n v="0.84000000000000008"/>
    <n v="0.11832154782950305"/>
    <n v="2.1"/>
    <n v="4.0000000000000009"/>
    <x v="1"/>
    <n v="5.2999999999999999E-2"/>
    <n v="2158.5839999999998"/>
    <n v="5.0999999999999997E-2"/>
    <n v="1854.576"/>
    <s v="CRITFC"/>
    <n v="1823.1187330285518"/>
    <n v="63406246.416000001"/>
    <n v="1754.3217997067195"/>
    <n v="1823.1187330285518"/>
    <n v="1498.0739999999998"/>
    <n v="4.2840000000000003E-2"/>
    <n v="1.9846343714212653E-5"/>
    <m/>
  </r>
  <r>
    <x v="0"/>
    <s v="2000s"/>
    <n v="2003"/>
    <n v="1998"/>
    <x v="24"/>
    <n v="39291"/>
    <n v="40728"/>
    <n v="40728"/>
    <n v="29374"/>
    <n v="0.84459012622559593"/>
    <n v="34992"/>
    <n v="34398.46666091607"/>
    <n v="29374"/>
    <n v="1196344272"/>
    <n v="9.8212531919072868E-4"/>
    <n v="0.84459012622559593"/>
    <n v="0.87278693528693529"/>
    <n v="0.84000000000000008"/>
    <n v="0.11832154782950305"/>
    <n v="2.2000000000000002"/>
    <n v="5.0000000000000018"/>
    <x v="1"/>
    <n v="8.0000000000000002E-3"/>
    <n v="325.82400000000001"/>
    <n v="0"/>
    <n v="279.93599999999998"/>
    <s v="CRITFC"/>
    <n v="275.18773328732857"/>
    <n v="9570754.1760000009"/>
    <n v="0"/>
    <n v="275.18773328732857"/>
    <n v="0"/>
    <n v="0"/>
    <n v="0"/>
    <m/>
  </r>
  <r>
    <x v="0"/>
    <s v="2000s"/>
    <n v="2003"/>
    <n v="1997"/>
    <x v="23"/>
    <n v="39291"/>
    <n v="40728"/>
    <n v="40728"/>
    <n v="29374"/>
    <n v="0.84459012622559593"/>
    <n v="34992"/>
    <n v="34398.46666091607"/>
    <n v="29374"/>
    <n v="1196344272"/>
    <n v="9.8212531919072868E-4"/>
    <n v="0.84459012622559593"/>
    <n v="0.87278693528693529"/>
    <n v="0.84000000000000008"/>
    <n v="0.11832154782950305"/>
    <n v="2.2999999999999998"/>
    <n v="5.9999999999999982"/>
    <x v="1"/>
    <n v="8.9999999999999993E-3"/>
    <n v="366.55199999999996"/>
    <m/>
    <n v="314.928"/>
    <s v="CRITFC"/>
    <n v="309.5861999482446"/>
    <n v="10767098.447999999"/>
    <n v="0"/>
    <n v="309.5861999482446"/>
    <n v="0"/>
    <n v="0"/>
    <n v="0"/>
    <s v="check age comp for 2003 with Jeff? DONE [10/21/2020]"/>
  </r>
  <r>
    <x v="0"/>
    <s v="2000s"/>
    <n v="2003"/>
    <n v="1998"/>
    <x v="25"/>
    <n v="39291"/>
    <n v="40728"/>
    <n v="40728"/>
    <n v="29374"/>
    <n v="0.84459012622559593"/>
    <n v="34992"/>
    <n v="34398.46666091607"/>
    <n v="29374"/>
    <n v="1196344272"/>
    <n v="9.8212531919072868E-4"/>
    <n v="0.84459012622559593"/>
    <n v="0.87278693528693529"/>
    <n v="0.84000000000000008"/>
    <n v="0.11832154782950305"/>
    <n v="3.1"/>
    <n v="5.0000000000000009"/>
    <x v="2"/>
    <n v="6.9999999999999993E-2"/>
    <n v="2850.9599999999996"/>
    <m/>
    <n v="2449.4399999999996"/>
    <s v="CRITFC"/>
    <n v="2407.8926662641247"/>
    <n v="83744099.039999992"/>
    <n v="0"/>
    <n v="2407.8926662641247"/>
    <n v="0"/>
    <n v="0"/>
    <n v="0"/>
    <m/>
  </r>
  <r>
    <x v="0"/>
    <s v="2000s"/>
    <n v="2003"/>
    <n v="1997"/>
    <x v="24"/>
    <n v="39291"/>
    <n v="40728"/>
    <n v="40728"/>
    <n v="29374"/>
    <n v="0.84459012622559593"/>
    <n v="34992"/>
    <n v="34398.46666091607"/>
    <n v="29374"/>
    <n v="1196344272"/>
    <n v="9.8212531919072868E-4"/>
    <n v="0.84459012622559593"/>
    <n v="0.87278693528693529"/>
    <n v="0.84000000000000008"/>
    <n v="0.11832154782950305"/>
    <n v="3.2"/>
    <n v="6.0000000000000018"/>
    <x v="2"/>
    <n v="2.8000000000000001E-2"/>
    <n v="1140.384"/>
    <m/>
    <n v="979.77600000000007"/>
    <s v="CRITFC"/>
    <n v="963.15706650564994"/>
    <n v="33497639.616"/>
    <n v="0"/>
    <n v="963.15706650564994"/>
    <m/>
    <n v="0"/>
    <m/>
    <s v="a lot of older fish"/>
  </r>
  <r>
    <x v="0"/>
    <s v="2000s"/>
    <n v="2003"/>
    <n v="1996"/>
    <x v="23"/>
    <n v="39291"/>
    <n v="40728"/>
    <n v="40728"/>
    <n v="29374"/>
    <n v="0.84459012622559593"/>
    <n v="34992"/>
    <n v="34398.46666091607"/>
    <n v="29374"/>
    <n v="1196344272"/>
    <n v="9.8212531919072868E-4"/>
    <n v="0.84459012622559593"/>
    <n v="0.87278693528693529"/>
    <n v="0.84000000000000008"/>
    <n v="0.11832154782950305"/>
    <n v="3.3"/>
    <n v="6.9999999999999982"/>
    <x v="2"/>
    <n v="1E-3"/>
    <n v="40.728000000000002"/>
    <m/>
    <n v="34.991999999999997"/>
    <s v="CRITFC"/>
    <n v="34.398466660916071"/>
    <n v="1196344.2720000001"/>
    <n v="0"/>
    <n v="34.398466660916071"/>
    <m/>
    <n v="0"/>
    <m/>
    <m/>
  </r>
  <r>
    <x v="0"/>
    <s v="2000s"/>
    <n v="2003"/>
    <n v="1997"/>
    <x v="25"/>
    <n v="39291"/>
    <n v="40728"/>
    <n v="40728"/>
    <n v="29374"/>
    <n v="0.84459012622559593"/>
    <n v="34992"/>
    <n v="34398.46666091607"/>
    <n v="29374"/>
    <n v="1196344272"/>
    <n v="9.8212531919072868E-4"/>
    <n v="0.84459012622559593"/>
    <n v="0.87278693528693529"/>
    <n v="0.84000000000000008"/>
    <n v="0.11832154782950305"/>
    <n v="4.0999999999999996"/>
    <n v="5.9999999999999964"/>
    <x v="3"/>
    <n v="4.8000000000000001E-2"/>
    <n v="1954.944"/>
    <m/>
    <n v="1679.616"/>
    <s v="CRITFC"/>
    <n v="1651.1263997239714"/>
    <n v="57424525.056000002"/>
    <n v="0"/>
    <n v="1651.1263997239714"/>
    <m/>
    <n v="0"/>
    <m/>
    <m/>
  </r>
  <r>
    <x v="0"/>
    <s v="2000s"/>
    <n v="2004"/>
    <n v="2001"/>
    <x v="26"/>
    <n v="130231"/>
    <n v="129057"/>
    <n v="128385"/>
    <n v="78053"/>
    <n v="0.73175144844655282"/>
    <n v="91547"/>
    <n v="94437.646682166771"/>
    <n v="78053"/>
    <n v="10073286021"/>
    <n v="9.1432467824294694E-4"/>
    <n v="0.73175144844655282"/>
    <n v="0.75366728328952071"/>
    <n v="0.77000000000000013"/>
    <n v="0.13462631927405849"/>
    <n v="1.1000000000000001"/>
    <n v="3.0000000000000009"/>
    <x v="0"/>
    <n v="3.1E-2"/>
    <n v="4000.7669999999998"/>
    <n v="2.6365348399246705E-2"/>
    <n v="2837.9569999999999"/>
    <s v="CRITFC"/>
    <n v="2927.5670471471699"/>
    <n v="312271866.65100002"/>
    <n v="2489.8814567802915"/>
    <n v="2927.5670471471699"/>
    <n v="2057.8945386064029"/>
    <n v="2.0301318267419967E-2"/>
    <n v="5.0743565589848065E-6"/>
    <s v="SIRE = broodstock?  Wells = 0.016, Use Fryer"/>
  </r>
  <r>
    <x v="0"/>
    <s v="2000s"/>
    <n v="2004"/>
    <n v="2000"/>
    <x v="25"/>
    <n v="130231"/>
    <n v="129057"/>
    <n v="128385"/>
    <n v="78053"/>
    <n v="0.73175144844655282"/>
    <n v="91547"/>
    <n v="94437.646682166771"/>
    <n v="78053"/>
    <n v="10073286021"/>
    <n v="9.1432467824294694E-4"/>
    <n v="0.73175144844655282"/>
    <n v="0.75366728328952071"/>
    <n v="0.77000000000000013"/>
    <n v="0.13462631927405849"/>
    <n v="1.2"/>
    <n v="3.9999999999999996"/>
    <x v="0"/>
    <n v="0.93400000000000005"/>
    <n v="120539.23800000001"/>
    <n v="0.95291902071563084"/>
    <n v="85504.898000000001"/>
    <s v="CRITFC"/>
    <n v="88204.762001143768"/>
    <n v="9408449143.6140003"/>
    <n v="89991.429795059099"/>
    <n v="88204.762001143768"/>
    <n v="74378.188323917129"/>
    <n v="0.73374764595103592"/>
    <n v="6.0872099253774593E-6"/>
    <s v="broodstock; Wells = 0.951"/>
  </r>
  <r>
    <x v="0"/>
    <s v="2000s"/>
    <n v="2004"/>
    <n v="1999"/>
    <x v="24"/>
    <n v="130231"/>
    <n v="129057"/>
    <n v="128385"/>
    <n v="78053"/>
    <n v="0.73175144844655282"/>
    <n v="91547"/>
    <n v="94437.646682166771"/>
    <n v="78053"/>
    <n v="10073286021"/>
    <n v="9.1432467824294694E-4"/>
    <n v="0.73175144844655282"/>
    <n v="0.75366728328952071"/>
    <n v="0.77000000000000013"/>
    <n v="0.13462631927405849"/>
    <n v="1.3"/>
    <n v="5"/>
    <x v="0"/>
    <n v="0"/>
    <n v="0"/>
    <n v="1.8832391713747645E-2"/>
    <n v="0"/>
    <s v="CRITFC"/>
    <n v="0"/>
    <n v="0"/>
    <n v="1778.4867548430652"/>
    <n v="0"/>
    <n v="1469.9246704331449"/>
    <n v="1.4500941619585688E-2"/>
    <n v="0"/>
    <s v="broodstock; Wells = na"/>
  </r>
  <r>
    <x v="0"/>
    <s v="2000s"/>
    <n v="2004"/>
    <n v="2000"/>
    <x v="26"/>
    <n v="130231"/>
    <n v="129057"/>
    <n v="128385"/>
    <n v="78053"/>
    <n v="0.73175144844655282"/>
    <n v="91547"/>
    <n v="94437.646682166771"/>
    <n v="78053"/>
    <n v="10073286021"/>
    <n v="9.1432467824294694E-4"/>
    <n v="0.73175144844655282"/>
    <n v="0.75366728328952071"/>
    <n v="0.77000000000000013"/>
    <n v="0.13462631927405849"/>
    <n v="2.1"/>
    <n v="4.0000000000000009"/>
    <x v="1"/>
    <n v="3.0000000000000001E-3"/>
    <n v="387.17099999999999"/>
    <n v="0"/>
    <n v="274.64100000000002"/>
    <s v="CRITFC"/>
    <n v="283.31294004650033"/>
    <n v="30219858.063000001"/>
    <n v="0"/>
    <n v="283.31294004650033"/>
    <n v="0"/>
    <n v="0"/>
    <n v="0"/>
    <s v="broodstock; Wells = 0.001"/>
  </r>
  <r>
    <x v="0"/>
    <s v="2000s"/>
    <n v="2004"/>
    <n v="1999"/>
    <x v="25"/>
    <n v="130231"/>
    <n v="129057"/>
    <n v="128385"/>
    <n v="78053"/>
    <n v="0.73175144844655282"/>
    <n v="91547"/>
    <n v="94437.646682166771"/>
    <n v="78053"/>
    <n v="10073286021"/>
    <n v="9.1432467824294694E-4"/>
    <n v="0.73175144844655282"/>
    <n v="0.75366728328952071"/>
    <n v="0.77000000000000013"/>
    <n v="0.13462631927405849"/>
    <n v="2.2000000000000002"/>
    <n v="5.0000000000000018"/>
    <x v="1"/>
    <n v="1.4999999999999999E-2"/>
    <n v="1935.855"/>
    <n v="1.8832391713747645E-3"/>
    <n v="1373.2049999999999"/>
    <s v="CRITFC"/>
    <n v="1416.5647002325015"/>
    <n v="151099290.315"/>
    <n v="177.84867548430654"/>
    <n v="1416.5647002325015"/>
    <n v="146.99246704331449"/>
    <n v="1.4500941619585688E-3"/>
    <n v="7.4907168251680459E-7"/>
    <s v="broodstock; Wells = 0.017"/>
  </r>
  <r>
    <x v="0"/>
    <s v="2000s"/>
    <n v="2004"/>
    <n v="1998"/>
    <x v="24"/>
    <n v="130231"/>
    <n v="129057"/>
    <n v="128385"/>
    <n v="78053"/>
    <n v="0.73175144844655282"/>
    <n v="91547"/>
    <n v="94437.646682166771"/>
    <n v="78053"/>
    <n v="10073286021"/>
    <n v="9.1432467824294694E-4"/>
    <n v="0.73175144844655282"/>
    <n v="0.75366728328952071"/>
    <n v="0.77000000000000013"/>
    <n v="0.13462631927405849"/>
    <n v="2.2999999999999998"/>
    <n v="5.9999999999999982"/>
    <x v="1"/>
    <n v="0"/>
    <n v="0"/>
    <m/>
    <n v="0"/>
    <s v="CRITFC"/>
    <n v="0"/>
    <n v="0"/>
    <n v="0"/>
    <n v="0"/>
    <m/>
    <m/>
    <m/>
    <m/>
  </r>
  <r>
    <x v="0"/>
    <s v="2000s"/>
    <n v="2004"/>
    <n v="1999"/>
    <x v="26"/>
    <n v="130231"/>
    <n v="129057"/>
    <n v="128385"/>
    <n v="78053"/>
    <n v="0.73175144844655282"/>
    <n v="91547"/>
    <n v="94437.646682166771"/>
    <n v="78053"/>
    <n v="10073286021"/>
    <n v="9.1432467824294694E-4"/>
    <n v="0.73175144844655282"/>
    <n v="0.75366728328952071"/>
    <n v="0.77000000000000013"/>
    <n v="0.13462631927405849"/>
    <n v="3.1"/>
    <n v="5.0000000000000009"/>
    <x v="2"/>
    <n v="1.7999999999999999E-2"/>
    <n v="2323.0259999999998"/>
    <m/>
    <n v="1647.8459999999998"/>
    <s v="CRITFC"/>
    <n v="1699.8776402790018"/>
    <n v="181319148.37799999"/>
    <n v="0"/>
    <n v="1699.8776402790018"/>
    <m/>
    <m/>
    <m/>
    <m/>
  </r>
  <r>
    <x v="0"/>
    <s v="2000s"/>
    <n v="2005"/>
    <n v="2002"/>
    <x v="27"/>
    <n v="77399"/>
    <n v="75878"/>
    <n v="75874"/>
    <n v="55559"/>
    <n v="0.78003818830202454"/>
    <n v="59170"/>
    <n v="59187.73765198102"/>
    <n v="55559"/>
    <n v="4215705802"/>
    <n v="2.504019610427265E-4"/>
    <n v="0.78003818830202454"/>
    <n v="0.78290130693413229"/>
    <n v="0.78000000000000014"/>
    <n v="2.4553865619316235E-2"/>
    <n v="1.1000000000000001"/>
    <n v="3.0000000000000009"/>
    <x v="0"/>
    <n v="1.4999999999999999E-2"/>
    <n v="1138.1699999999998"/>
    <n v="1.4999999999999999E-2"/>
    <n v="887.55"/>
    <s v="CRITFC"/>
    <n v="887.81606477971525"/>
    <n v="63235587.030000001"/>
    <n v="887.81606477971525"/>
    <n v="887.81606477971525"/>
    <n v="833.38499999999999"/>
    <n v="1.1700000000000002E-2"/>
    <n v="1.0279659453332986E-5"/>
    <s v="broodstock: Wells = 0.015"/>
  </r>
  <r>
    <x v="0"/>
    <s v="2000s"/>
    <n v="2005"/>
    <n v="2001"/>
    <x v="26"/>
    <n v="77399"/>
    <n v="75878"/>
    <n v="75874"/>
    <n v="55559"/>
    <n v="0.78003818830202454"/>
    <n v="59170"/>
    <n v="59187.73765198102"/>
    <n v="55559"/>
    <n v="4215705802"/>
    <n v="2.504019610427265E-4"/>
    <n v="0.78003818830202454"/>
    <n v="0.78290130693413229"/>
    <n v="0.78000000000000014"/>
    <n v="2.4553865619316235E-2"/>
    <n v="1.2"/>
    <n v="3.9999999999999996"/>
    <x v="0"/>
    <n v="0.89100000000000001"/>
    <n v="67607.297999999995"/>
    <n v="0.88700000000000001"/>
    <n v="52720.47"/>
    <s v="CRITFC"/>
    <n v="52736.274247915091"/>
    <n v="3756193869.5820003"/>
    <n v="52499.523297307169"/>
    <n v="52736.274247915091"/>
    <n v="49280.832999999999"/>
    <n v="0.69186000000000014"/>
    <n v="1.0233510589344957E-5"/>
    <s v="broodstock; Wells = 0.887"/>
  </r>
  <r>
    <x v="0"/>
    <s v="2000s"/>
    <n v="2005"/>
    <n v="2000"/>
    <x v="25"/>
    <n v="77399"/>
    <n v="75878"/>
    <n v="75874"/>
    <n v="55559"/>
    <n v="0.78003818830202454"/>
    <n v="59170"/>
    <n v="59187.73765198102"/>
    <n v="55559"/>
    <n v="4215705802"/>
    <n v="2.504019610427265E-4"/>
    <n v="0.78003818830202454"/>
    <n v="0.78290130693413229"/>
    <n v="0.78000000000000014"/>
    <n v="2.4553865619316235E-2"/>
    <n v="1.3"/>
    <n v="5"/>
    <x v="0"/>
    <n v="3.9E-2"/>
    <n v="2959.2420000000002"/>
    <n v="3.9E-2"/>
    <n v="2307.63"/>
    <s v="CRITFC"/>
    <n v="2308.3217684272599"/>
    <n v="164412526.278"/>
    <n v="2308.3217684272599"/>
    <n v="2308.3217684272599"/>
    <n v="2166.8009999999999"/>
    <n v="3.0420000000000006E-2"/>
    <n v="1.0279659453332984E-5"/>
    <s v="broodstock; Wells = 0.039"/>
  </r>
  <r>
    <x v="0"/>
    <s v="2000s"/>
    <n v="2005"/>
    <n v="2001"/>
    <x v="27"/>
    <n v="77399"/>
    <n v="75878"/>
    <n v="75874"/>
    <n v="55559"/>
    <n v="0.78003818830202454"/>
    <n v="59170"/>
    <n v="59187.73765198102"/>
    <n v="55559"/>
    <n v="4215705802"/>
    <n v="2.504019610427265E-4"/>
    <n v="0.78003818830202454"/>
    <n v="0.78290130693413229"/>
    <n v="0.78000000000000014"/>
    <n v="2.4553865619316235E-2"/>
    <n v="2.1"/>
    <n v="4.0000000000000009"/>
    <x v="1"/>
    <n v="2.3E-2"/>
    <n v="1745.194"/>
    <n v="2.3E-2"/>
    <n v="1360.91"/>
    <s v="CRITFC"/>
    <n v="1361.3179659955636"/>
    <n v="96961233.445999995"/>
    <n v="1361.3179659955636"/>
    <n v="1361.3179659955636"/>
    <n v="1277.857"/>
    <n v="1.7940000000000005E-2"/>
    <n v="1.0279659453332984E-5"/>
    <s v="broodstock; Wells = 0.023"/>
  </r>
  <r>
    <x v="0"/>
    <s v="2000s"/>
    <n v="2005"/>
    <n v="2000"/>
    <x v="26"/>
    <n v="77399"/>
    <n v="75878"/>
    <n v="75874"/>
    <n v="55559"/>
    <n v="0.78003818830202454"/>
    <n v="59170"/>
    <n v="59187.73765198102"/>
    <n v="55559"/>
    <n v="4215705802"/>
    <n v="2.504019610427265E-4"/>
    <n v="0.78003818830202454"/>
    <n v="0.78290130693413229"/>
    <n v="0.78000000000000014"/>
    <n v="2.4553865619316235E-2"/>
    <n v="2.2000000000000002"/>
    <n v="5.0000000000000018"/>
    <x v="1"/>
    <n v="1.9E-2"/>
    <n v="1441.682"/>
    <n v="2.3E-2"/>
    <n v="1124.23"/>
    <s v="CRITFC"/>
    <n v="1124.5670153876395"/>
    <n v="80098410.237999991"/>
    <n v="1361.3179659955636"/>
    <n v="1124.5670153876395"/>
    <n v="1277.857"/>
    <n v="1.7940000000000005E-2"/>
    <n v="1.2443798285613613E-5"/>
    <s v="broodstock; Wells = 0.023"/>
  </r>
  <r>
    <x v="0"/>
    <s v="2000s"/>
    <n v="2005"/>
    <n v="1999"/>
    <x v="25"/>
    <n v="77399"/>
    <n v="75878"/>
    <n v="75874"/>
    <n v="55559"/>
    <n v="0.78003818830202454"/>
    <n v="59170"/>
    <n v="59187.73765198102"/>
    <n v="55559"/>
    <n v="4215705802"/>
    <n v="2.504019610427265E-4"/>
    <n v="0.78003818830202454"/>
    <n v="0.78290130693413229"/>
    <n v="0.78000000000000014"/>
    <n v="2.4553865619316235E-2"/>
    <n v="2.2999999999999998"/>
    <n v="5.9999999999999982"/>
    <x v="1"/>
    <n v="1.4E-2"/>
    <n v="1062.2919999999999"/>
    <m/>
    <n v="828.38"/>
    <s v="CRITFC"/>
    <n v="828.62832712773434"/>
    <n v="59019881.228"/>
    <n v="0"/>
    <n v="828.62832712773434"/>
    <n v="0"/>
    <n v="0"/>
    <n v="0"/>
    <m/>
  </r>
  <r>
    <x v="0"/>
    <s v="2000s"/>
    <n v="2006"/>
    <n v="2003"/>
    <x v="28"/>
    <n v="37067"/>
    <n v="38407"/>
    <n v="38406"/>
    <n v="22075"/>
    <n v="0.62834452920414441"/>
    <n v="27616"/>
    <n v="24132.828333143574"/>
    <n v="22075"/>
    <n v="847834525"/>
    <n v="1.3278829380060926E-3"/>
    <n v="0.62834452920414441"/>
    <n v="0.72233291586018444"/>
    <n v="0.72799999999999987"/>
    <n v="4.2363172420975891E-2"/>
    <n v="1.1000000000000001"/>
    <n v="3.0000000000000009"/>
    <x v="0"/>
    <n v="8.0000000000000002E-3"/>
    <n v="307.25600000000003"/>
    <n v="2.3809523809523812E-3"/>
    <n v="65.75238095238096"/>
    <s v="SiRE"/>
    <n v="193.0626266651486"/>
    <n v="6782676.2000000002"/>
    <n v="57.459115078913278"/>
    <n v="57.459115078913278"/>
    <n v="52.559523809523817"/>
    <n v="1.7333333333333333E-3"/>
    <n v="5.6413327431631381E-6"/>
    <s v="CNAT - deadpitch ages &lt;-- use"/>
  </r>
  <r>
    <x v="0"/>
    <s v="2000s"/>
    <n v="2006"/>
    <n v="2002"/>
    <x v="27"/>
    <n v="37067"/>
    <n v="38407"/>
    <n v="38406"/>
    <n v="22075"/>
    <n v="0.62834452920414441"/>
    <n v="27616"/>
    <n v="24132.828333143574"/>
    <n v="22075"/>
    <n v="847834525"/>
    <n v="1.3278829380060926E-3"/>
    <n v="0.62834452920414441"/>
    <n v="0.72233291586018444"/>
    <n v="0.72799999999999987"/>
    <n v="4.2363172420975891E-2"/>
    <n v="1.2"/>
    <n v="3.9999999999999996"/>
    <x v="0"/>
    <n v="0.72399999999999998"/>
    <n v="27806.667999999998"/>
    <n v="0.8833333333333333"/>
    <n v="24394.133333333331"/>
    <s v="SiRE"/>
    <n v="17472.167713195948"/>
    <n v="613832196.10000002"/>
    <n v="21317.331694276822"/>
    <n v="21317.331694276822"/>
    <n v="19499.583333333332"/>
    <n v="0.64306666666666656"/>
    <n v="2.3126347488547229E-5"/>
    <s v="CNAT - deadpitch ages"/>
  </r>
  <r>
    <x v="0"/>
    <s v="2000s"/>
    <n v="2006"/>
    <n v="2001"/>
    <x v="26"/>
    <n v="37067"/>
    <n v="38407"/>
    <n v="38406"/>
    <n v="22075"/>
    <n v="0.62834452920414441"/>
    <n v="27616"/>
    <n v="24132.828333143574"/>
    <n v="22075"/>
    <n v="847834525"/>
    <n v="1.3278829380060926E-3"/>
    <n v="0.62834452920414441"/>
    <n v="0.72233291586018444"/>
    <n v="0.72799999999999987"/>
    <n v="4.2363172420975891E-2"/>
    <n v="1.3"/>
    <n v="5"/>
    <x v="0"/>
    <n v="8.4000000000000005E-2"/>
    <n v="3226.1880000000001"/>
    <n v="0.10952380952380952"/>
    <n v="3024.6095238095236"/>
    <s v="SiRE"/>
    <n v="2027.1575799840602"/>
    <n v="71218100.100000009"/>
    <n v="2643.1192936300104"/>
    <n v="2643.1192936300104"/>
    <n v="2417.7380952380954"/>
    <n v="7.9733333333333323E-2"/>
    <n v="2.4714410112905174E-5"/>
    <s v="CNAT - deadpitch ages"/>
  </r>
  <r>
    <x v="0"/>
    <s v="2000s"/>
    <n v="2006"/>
    <n v="2002"/>
    <x v="28"/>
    <n v="37067"/>
    <n v="38407"/>
    <n v="38406"/>
    <n v="22075"/>
    <n v="0.62834452920414441"/>
    <n v="27616"/>
    <n v="24132.828333143574"/>
    <n v="22075"/>
    <n v="847834525"/>
    <n v="1.3278829380060926E-3"/>
    <n v="0.62834452920414441"/>
    <n v="0.72233291586018444"/>
    <n v="0.72799999999999987"/>
    <n v="4.2363172420975891E-2"/>
    <n v="2.1"/>
    <n v="4.0000000000000009"/>
    <x v="1"/>
    <n v="1.7000000000000001E-2"/>
    <n v="652.9190000000001"/>
    <n v="0"/>
    <n v="0"/>
    <s v="SiRE"/>
    <n v="410.25808166344081"/>
    <n v="14413186.925000001"/>
    <n v="0"/>
    <n v="0"/>
    <n v="0"/>
    <n v="0"/>
    <n v="0"/>
    <s v="CNAT - deadpitch ages"/>
  </r>
  <r>
    <x v="0"/>
    <s v="2000s"/>
    <n v="2006"/>
    <n v="2001"/>
    <x v="27"/>
    <n v="37067"/>
    <n v="38407"/>
    <n v="38406"/>
    <n v="22075"/>
    <n v="0.62834452920414441"/>
    <n v="27616"/>
    <n v="24132.828333143574"/>
    <n v="22075"/>
    <n v="847834525"/>
    <n v="1.3278829380060926E-3"/>
    <n v="0.62834452920414441"/>
    <n v="0.72233291586018444"/>
    <n v="0.72799999999999987"/>
    <n v="4.2363172420975891E-2"/>
    <n v="2.2000000000000002"/>
    <n v="5.0000000000000018"/>
    <x v="1"/>
    <n v="0.14799999999999999"/>
    <n v="5684.2359999999999"/>
    <n v="4.7619047619047623E-3"/>
    <n v="131.50476190476192"/>
    <s v="SiRE"/>
    <n v="3571.6585933052488"/>
    <n v="125479509.69999999"/>
    <n v="114.91823015782656"/>
    <n v="114.91823015782656"/>
    <n v="105.11904761904763"/>
    <n v="3.4666666666666665E-3"/>
    <n v="6.098738100716907E-7"/>
    <s v="CNAT - deadpitch ages"/>
  </r>
  <r>
    <x v="0"/>
    <s v="2000s"/>
    <n v="2006"/>
    <n v="2000"/>
    <x v="26"/>
    <n v="37067"/>
    <n v="38407"/>
    <n v="38406"/>
    <n v="22075"/>
    <n v="0.62834452920414441"/>
    <n v="27616"/>
    <n v="24132.828333143574"/>
    <n v="22075"/>
    <n v="847834525"/>
    <n v="1.3278829380060926E-3"/>
    <n v="0.62834452920414441"/>
    <n v="0.72233291586018444"/>
    <n v="0.72799999999999987"/>
    <n v="4.2363172420975891E-2"/>
    <n v="2.2999999999999998"/>
    <n v="5.9999999999999982"/>
    <x v="1"/>
    <n v="2E-3"/>
    <n v="76.814000000000007"/>
    <m/>
    <n v="0"/>
    <s v="SiRE"/>
    <n v="48.26565666628715"/>
    <n v="1695669.05"/>
    <n v="0"/>
    <n v="0"/>
    <m/>
    <m/>
    <m/>
    <m/>
  </r>
  <r>
    <x v="0"/>
    <s v="2000s"/>
    <n v="2007"/>
    <n v="2004"/>
    <x v="29"/>
    <n v="26604"/>
    <n v="25164"/>
    <n v="25164"/>
    <n v="22273"/>
    <n v="0.95953691802619823"/>
    <n v="22344"/>
    <n v="24145.787005211252"/>
    <n v="22273"/>
    <n v="560477772"/>
    <n v="2.3048799872834209E-3"/>
    <n v="0.95953691802619823"/>
    <n v="0.82300000000000006"/>
    <n v="0.85299999999999987"/>
    <n v="1.9065382369907159E-2"/>
    <n v="1.1000000000000001"/>
    <n v="3.0000000000000009"/>
    <x v="0"/>
    <n v="0.42399999999999999"/>
    <n v="10669.536"/>
    <n v="0.2831168831168831"/>
    <n v="6325.9636363636364"/>
    <s v="SiRE"/>
    <n v="10237.81369020957"/>
    <n v="237642575.32799998"/>
    <n v="6836.0799573195491"/>
    <n v="6836.0799573195491"/>
    <n v="6305.8623376623373"/>
    <n v="0.24149870129870124"/>
    <n v="2.2634414589228739E-5"/>
    <s v="CNAT - deadpitch ages &lt;-- use"/>
  </r>
  <r>
    <x v="0"/>
    <s v="2000s"/>
    <n v="2007"/>
    <n v="2003"/>
    <x v="28"/>
    <n v="26604"/>
    <n v="25164"/>
    <n v="25164"/>
    <n v="22273"/>
    <n v="0.95953691802619823"/>
    <n v="22344"/>
    <n v="24145.787005211252"/>
    <n v="22273"/>
    <n v="560477772"/>
    <n v="2.3048799872834209E-3"/>
    <n v="0.95953691802619823"/>
    <n v="0.82300000000000006"/>
    <n v="0.85299999999999987"/>
    <n v="1.9065382369907159E-2"/>
    <n v="1.2"/>
    <n v="3.9999999999999996"/>
    <x v="0"/>
    <n v="0.38200000000000001"/>
    <n v="9612.648000000001"/>
    <n v="0.51168831168831164"/>
    <n v="11433.163636363635"/>
    <s v="SiRE"/>
    <n v="9223.6906359906989"/>
    <n v="214102508.90400001"/>
    <n v="12355.11698708212"/>
    <n v="12355.11698708212"/>
    <n v="11396.833766233765"/>
    <n v="0.43647012987012979"/>
    <n v="4.5405816365077525E-5"/>
    <s v="CNAT - deadpitch ages"/>
  </r>
  <r>
    <x v="0"/>
    <s v="2000s"/>
    <n v="2007"/>
    <n v="2002"/>
    <x v="27"/>
    <n v="26604"/>
    <n v="25164"/>
    <n v="25164"/>
    <n v="22273"/>
    <n v="0.95953691802619823"/>
    <n v="22344"/>
    <n v="24145.787005211252"/>
    <n v="22273"/>
    <n v="560477772"/>
    <n v="2.3048799872834209E-3"/>
    <n v="0.95953691802619823"/>
    <n v="0.82300000000000006"/>
    <n v="0.85299999999999987"/>
    <n v="1.9065382369907159E-2"/>
    <n v="1.3"/>
    <n v="5"/>
    <x v="0"/>
    <n v="3.2000000000000001E-2"/>
    <n v="805.24800000000005"/>
    <n v="0.12987012987012986"/>
    <n v="2901.8181818181815"/>
    <s v="SiRE"/>
    <n v="772.66518416676013"/>
    <n v="17935288.704"/>
    <n v="3135.8164941832792"/>
    <n v="3135.8164941832792"/>
    <n v="2892.5974025974024"/>
    <n v="0.11077922077922076"/>
    <n v="1.3757155656297283E-4"/>
    <s v="CNAT - deadpitch ages"/>
  </r>
  <r>
    <x v="0"/>
    <s v="2000s"/>
    <n v="2007"/>
    <n v="2003"/>
    <x v="29"/>
    <n v="26604"/>
    <n v="25164"/>
    <n v="25164"/>
    <n v="22273"/>
    <n v="0.95953691802619823"/>
    <n v="22344"/>
    <n v="24145.787005211252"/>
    <n v="22273"/>
    <n v="560477772"/>
    <n v="2.3048799872834209E-3"/>
    <n v="0.95953691802619823"/>
    <n v="0.82300000000000006"/>
    <n v="0.85299999999999987"/>
    <n v="1.9065382369907159E-2"/>
    <n v="2.1"/>
    <n v="4.0000000000000009"/>
    <x v="1"/>
    <n v="5.8000000000000003E-2"/>
    <n v="1459.5120000000002"/>
    <n v="6.4935064935064901E-2"/>
    <n v="1450.9090909090901"/>
    <s v="SiRE"/>
    <n v="1400.4556463022527"/>
    <n v="32507710.776000001"/>
    <n v="1567.9082470916389"/>
    <n v="1567.9082470916389"/>
    <n v="1446.2987012987005"/>
    <n v="5.538961038961035E-2"/>
    <n v="3.7950774224268349E-5"/>
    <s v="CNAT - deadpitch ages"/>
  </r>
  <r>
    <x v="0"/>
    <s v="2000s"/>
    <n v="2007"/>
    <n v="2002"/>
    <x v="28"/>
    <n v="26604"/>
    <n v="25164"/>
    <n v="25164"/>
    <n v="22273"/>
    <n v="0.95953691802619823"/>
    <n v="22344"/>
    <n v="24145.787005211252"/>
    <n v="22273"/>
    <n v="560477772"/>
    <n v="2.3048799872834209E-3"/>
    <n v="0.95953691802619823"/>
    <n v="0.82300000000000006"/>
    <n v="0.85299999999999987"/>
    <n v="1.9065382369907159E-2"/>
    <n v="2.2000000000000002"/>
    <n v="5.0000000000000018"/>
    <x v="1"/>
    <n v="9.2999999999999999E-2"/>
    <n v="2340.252"/>
    <n v="1.038961038961039E-2"/>
    <n v="232.14545454545456"/>
    <s v="SiRE"/>
    <n v="2245.5581914846466"/>
    <n v="52124432.795999996"/>
    <n v="250.86531953466235"/>
    <n v="250.86531953466235"/>
    <n v="231.4077922077922"/>
    <n v="8.8623376623376618E-3"/>
    <n v="3.7869159656044142E-6"/>
    <s v="CNAT - deadpitch ages"/>
  </r>
  <r>
    <x v="0"/>
    <s v="2000s"/>
    <n v="2007"/>
    <n v="2001"/>
    <x v="27"/>
    <n v="26604"/>
    <n v="25164"/>
    <n v="25164"/>
    <n v="22273"/>
    <n v="0.95953691802619823"/>
    <n v="22344"/>
    <n v="24145.787005211252"/>
    <n v="22273"/>
    <n v="560477772"/>
    <n v="2.3048799872834209E-3"/>
    <n v="0.95953691802619823"/>
    <n v="0.82300000000000006"/>
    <n v="0.85299999999999987"/>
    <n v="1.9065382369907159E-2"/>
    <n v="2.2999999999999998"/>
    <n v="5.9999999999999982"/>
    <x v="1"/>
    <n v="1.0999999999999999E-2"/>
    <n v="276.80399999999997"/>
    <m/>
    <n v="0"/>
    <s v="SiRE"/>
    <n v="265.60365705732374"/>
    <n v="6165255.4919999996"/>
    <n v="0"/>
    <n v="0"/>
    <m/>
    <m/>
    <m/>
    <m/>
  </r>
  <r>
    <x v="0"/>
    <s v="2000s"/>
    <n v="2008"/>
    <n v="2005"/>
    <x v="30"/>
    <n v="214465"/>
    <n v="225383"/>
    <n v="224525"/>
    <n v="165334"/>
    <n v="0.85338522445145271"/>
    <n v="190819"/>
    <n v="192338.52204254176"/>
    <n v="165334"/>
    <n v="37263472922"/>
    <n v="3.9488337629723629E-3"/>
    <n v="0.85338522445145271"/>
    <n v="0.87662988966900701"/>
    <n v="0.83299999999999996"/>
    <n v="9.2991871729206102E-2"/>
    <n v="1.1000000000000001"/>
    <n v="3.0000000000000009"/>
    <x v="0"/>
    <n v="7.3999999999999996E-2"/>
    <n v="16678.342000000001"/>
    <n v="4.6382189239332093E-2"/>
    <n v="8850.6029684601108"/>
    <s v="SiRE"/>
    <n v="14233.050631148089"/>
    <n v="2757496996.2279997"/>
    <n v="8921.0817273906196"/>
    <n v="8921.0817273906196"/>
    <n v="7668.5528756957319"/>
    <n v="3.8636363636363628E-2"/>
    <n v="2.3165590222555471E-6"/>
    <s v="CNAT - deadpitch ages"/>
  </r>
  <r>
    <x v="0"/>
    <s v="2000s"/>
    <n v="2008"/>
    <n v="2004"/>
    <x v="29"/>
    <n v="214465"/>
    <n v="225383"/>
    <n v="224525"/>
    <n v="165334"/>
    <n v="0.85338522445145271"/>
    <n v="190819"/>
    <n v="192338.52204254176"/>
    <n v="165334"/>
    <n v="37263472922"/>
    <n v="3.9488337629723629E-3"/>
    <n v="0.85338522445145271"/>
    <n v="0.87662988966900701"/>
    <n v="0.83299999999999996"/>
    <n v="9.2991871729206102E-2"/>
    <n v="1.2"/>
    <n v="3.9999999999999996"/>
    <x v="0"/>
    <n v="0.86399999999999999"/>
    <n v="194730.91200000001"/>
    <n v="0.94063079777365488"/>
    <n v="179490.22820037106"/>
    <s v="SiRE"/>
    <n v="166180.48304475608"/>
    <n v="32195640604.607998"/>
    <n v="180919.53743148176"/>
    <n v="180919.53743148176"/>
    <n v="155518.25231910945"/>
    <n v="0.78354545454545443"/>
    <n v="4.0237343239344266E-6"/>
    <s v="CNAT - deadpitch ages"/>
  </r>
  <r>
    <x v="0"/>
    <s v="2000s"/>
    <n v="2008"/>
    <n v="2003"/>
    <x v="28"/>
    <n v="214465"/>
    <n v="225383"/>
    <n v="224525"/>
    <n v="165334"/>
    <n v="0.85338522445145271"/>
    <n v="190819"/>
    <n v="192338.52204254176"/>
    <n v="165334"/>
    <n v="37263472922"/>
    <n v="3.9488337629723629E-3"/>
    <n v="0.85338522445145271"/>
    <n v="0.87662988966900701"/>
    <n v="0.83299999999999996"/>
    <n v="9.2991871729206102E-2"/>
    <n v="1.3"/>
    <n v="5"/>
    <x v="0"/>
    <n v="7.0000000000000001E-3"/>
    <n v="1577.681"/>
    <n v="9.2764378478664197E-3"/>
    <n v="1770.1205936920223"/>
    <s v="SiRE"/>
    <n v="1346.3696542977923"/>
    <n v="260844310.454"/>
    <n v="1784.2163454781241"/>
    <n v="1784.2163454781241"/>
    <n v="1533.7105751391466"/>
    <n v="7.7272727272727276E-3"/>
    <n v="4.8978676470545864E-6"/>
    <s v="CNAT - deadpitch ages"/>
  </r>
  <r>
    <x v="0"/>
    <s v="2000s"/>
    <n v="2008"/>
    <n v="2004"/>
    <x v="30"/>
    <n v="214465"/>
    <n v="225383"/>
    <n v="224525"/>
    <n v="165334"/>
    <n v="0.85338522445145271"/>
    <n v="190819"/>
    <n v="192338.52204254176"/>
    <n v="165334"/>
    <n v="37263472922"/>
    <n v="3.9488337629723629E-3"/>
    <n v="0.85338522445145271"/>
    <n v="0.87662988966900701"/>
    <n v="0.83299999999999996"/>
    <n v="9.2991871729206102E-2"/>
    <n v="2.1"/>
    <n v="4.0000000000000009"/>
    <x v="1"/>
    <n v="2.3E-2"/>
    <n v="5183.8090000000002"/>
    <n v="0"/>
    <n v="0"/>
    <s v="SiRE"/>
    <n v="4423.7860069784601"/>
    <n v="857059877.20599997"/>
    <n v="0"/>
    <n v="0"/>
    <n v="0"/>
    <n v="0"/>
    <n v="0"/>
    <s v="CNAT - deadpitch ages"/>
  </r>
  <r>
    <x v="0"/>
    <s v="2000s"/>
    <n v="2008"/>
    <n v="2003"/>
    <x v="29"/>
    <n v="214465"/>
    <n v="225383"/>
    <n v="224525"/>
    <n v="165334"/>
    <n v="0.85338522445145271"/>
    <n v="190819"/>
    <n v="192338.52204254176"/>
    <n v="165334"/>
    <n v="37263472922"/>
    <n v="3.9488337629723629E-3"/>
    <n v="0.85338522445145271"/>
    <n v="0.87662988966900701"/>
    <n v="0.83299999999999996"/>
    <n v="9.2991871729206102E-2"/>
    <n v="2.2000000000000002"/>
    <n v="5.0000000000000018"/>
    <x v="1"/>
    <n v="3.2000000000000001E-2"/>
    <n v="7212.2560000000003"/>
    <n v="3.7105751391465678E-3"/>
    <n v="708.04823747680894"/>
    <s v="SiRE"/>
    <n v="6154.8327053613366"/>
    <n v="1192431133.5039999"/>
    <n v="713.68653819124961"/>
    <n v="713.68653819124961"/>
    <n v="613.4842300556586"/>
    <n v="3.0909090909090908E-3"/>
    <n v="4.285634191172763E-7"/>
    <s v="CNAT - deadpitch ages"/>
  </r>
  <r>
    <x v="0"/>
    <s v="2000s"/>
    <n v="2009"/>
    <n v="2006"/>
    <x v="31"/>
    <n v="179732"/>
    <n v="187614"/>
    <n v="186485"/>
    <n v="134937"/>
    <n v="0.82869864275624883"/>
    <n v="154546"/>
    <n v="155475.46716207085"/>
    <n v="134937"/>
    <n v="25316070318"/>
    <n v="7.5367509887321838E-3"/>
    <n v="0.82869864275624883"/>
    <n v="0.84521802685402403"/>
    <n v="0.82599999999999996"/>
    <n v="6.7083143416360569E-2"/>
    <n v="1.1000000000000001"/>
    <n v="3.0000000000000009"/>
    <x v="0"/>
    <n v="0.125"/>
    <n v="23451.75"/>
    <n v="3.4979423868312758E-2"/>
    <n v="5405.9300411522636"/>
    <s v="SiRE"/>
    <n v="19434.433395258857"/>
    <n v="3164508789.75"/>
    <n v="5438.4422669860178"/>
    <n v="5438.4422669860178"/>
    <n v="4720.0185185185182"/>
    <n v="2.8893004115226335E-2"/>
    <n v="1.2320191079653473E-6"/>
    <s v="CNAT - deadpitch ages"/>
  </r>
  <r>
    <x v="0"/>
    <s v="2000s"/>
    <n v="2009"/>
    <n v="2005"/>
    <x v="30"/>
    <n v="179732"/>
    <n v="187614"/>
    <n v="186485"/>
    <n v="134937"/>
    <n v="0.82869864275624883"/>
    <n v="154546"/>
    <n v="155475.46716207085"/>
    <n v="134937"/>
    <n v="25316070318"/>
    <n v="7.5367509887321838E-3"/>
    <n v="0.82869864275624883"/>
    <n v="0.84521802685402403"/>
    <n v="0.82599999999999996"/>
    <n v="6.7083143416360569E-2"/>
    <n v="1.2"/>
    <n v="3.9999999999999996"/>
    <x v="0"/>
    <n v="0.79200000000000004"/>
    <n v="148590.288"/>
    <n v="0.87860082304526754"/>
    <n v="135784.24279835392"/>
    <s v="SiRE"/>
    <n v="123136.56999236012"/>
    <n v="20050327691.856003"/>
    <n v="136600.87341194291"/>
    <n v="136600.87341194291"/>
    <n v="118555.75925925927"/>
    <n v="0.72572427983539101"/>
    <n v="4.8840626773358905E-6"/>
    <s v="CNAT - deadpitch ages"/>
  </r>
  <r>
    <x v="0"/>
    <s v="2000s"/>
    <n v="2009"/>
    <n v="2004"/>
    <x v="29"/>
    <n v="179732"/>
    <n v="187614"/>
    <n v="186485"/>
    <n v="134937"/>
    <n v="0.82869864275624883"/>
    <n v="154546"/>
    <n v="155475.46716207085"/>
    <n v="134937"/>
    <n v="25316070318"/>
    <n v="7.5367509887321838E-3"/>
    <n v="0.82869864275624883"/>
    <n v="0.84521802685402403"/>
    <n v="0.82599999999999996"/>
    <n v="6.7083143416360569E-2"/>
    <n v="1.3"/>
    <n v="5"/>
    <x v="0"/>
    <n v="2.5999999999999999E-2"/>
    <n v="4877.9639999999999"/>
    <n v="5.3497942386831275E-2"/>
    <n v="8267.8930041152271"/>
    <s v="SiRE"/>
    <n v="4042.3621462138422"/>
    <n v="658217828.26800001"/>
    <n v="8317.6175848021448"/>
    <n v="8317.6175848021448"/>
    <n v="7218.8518518518522"/>
    <n v="4.4189300411522629E-2"/>
    <n v="9.0589640291569652E-6"/>
    <s v="CNAT - deadpitch ages"/>
  </r>
  <r>
    <x v="0"/>
    <s v="2000s"/>
    <n v="2009"/>
    <n v="2005"/>
    <x v="31"/>
    <n v="179732"/>
    <n v="187614"/>
    <n v="186485"/>
    <n v="134937"/>
    <n v="0.82869864275624883"/>
    <n v="154546"/>
    <n v="155475.46716207085"/>
    <n v="134937"/>
    <n v="25316070318"/>
    <n v="7.5367509887321838E-3"/>
    <n v="0.82869864275624883"/>
    <n v="0.84521802685402403"/>
    <n v="0.82599999999999996"/>
    <n v="6.7083143416360569E-2"/>
    <n v="2.1"/>
    <n v="4.0000000000000009"/>
    <x v="1"/>
    <n v="0.01"/>
    <n v="1876.14"/>
    <n v="0"/>
    <n v="0"/>
    <s v="SiRE"/>
    <n v="1554.7546716207087"/>
    <n v="253160703.18000001"/>
    <n v="0"/>
    <n v="0"/>
    <n v="0"/>
    <n v="0"/>
    <n v="0"/>
    <s v="CNAT - deadpitch ages"/>
  </r>
  <r>
    <x v="0"/>
    <s v="2000s"/>
    <n v="2009"/>
    <n v="2004"/>
    <x v="30"/>
    <n v="179732"/>
    <n v="187614"/>
    <n v="186485"/>
    <n v="134937"/>
    <n v="0.82869864275624883"/>
    <n v="154546"/>
    <n v="155475.46716207085"/>
    <n v="134937"/>
    <n v="25316070318"/>
    <n v="7.5367509887321838E-3"/>
    <n v="0.82869864275624883"/>
    <n v="0.84521802685402403"/>
    <n v="0.82599999999999996"/>
    <n v="6.7083143416360569E-2"/>
    <n v="2.2000000000000002"/>
    <n v="5.0000000000000018"/>
    <x v="1"/>
    <n v="4.5999999999999999E-2"/>
    <n v="8630.2440000000006"/>
    <n v="3.292181069958848E-2"/>
    <n v="5087.9341563786011"/>
    <s v="SiRE"/>
    <n v="7151.8714894552595"/>
    <n v="1164539234.628"/>
    <n v="5118.5338983397814"/>
    <n v="5118.5338983397814"/>
    <n v="4442.3703703703704"/>
    <n v="2.7193415637860083E-2"/>
    <n v="3.1509440101415536E-6"/>
    <s v="CNAT - deadpitch ages"/>
  </r>
  <r>
    <x v="0"/>
    <s v="2000s"/>
    <n v="2009"/>
    <n v="2003"/>
    <x v="29"/>
    <n v="179732"/>
    <n v="187614"/>
    <n v="186485"/>
    <n v="134937"/>
    <n v="0.82869864275624883"/>
    <n v="154546"/>
    <n v="155475.46716207085"/>
    <n v="134937"/>
    <n v="25316070318"/>
    <n v="7.5367509887321838E-3"/>
    <n v="0.82869864275624883"/>
    <n v="0.84521802685402403"/>
    <n v="0.82599999999999996"/>
    <n v="6.7083143416360569E-2"/>
    <n v="2.2999999999999998"/>
    <n v="5.9999999999999982"/>
    <x v="1"/>
    <n v="1E-3"/>
    <n v="187.614"/>
    <n v="0"/>
    <n v="0"/>
    <s v="SiRE"/>
    <n v="155.47546716207086"/>
    <n v="25316070.318"/>
    <n v="0"/>
    <n v="0"/>
    <n v="0"/>
    <n v="0"/>
    <n v="0"/>
    <m/>
  </r>
  <r>
    <x v="0"/>
    <s v="2000s"/>
    <n v="2010"/>
    <n v="2007"/>
    <x v="32"/>
    <n v="392193"/>
    <n v="409950"/>
    <n v="408346"/>
    <n v="291764"/>
    <n v="0.86241612722059646"/>
    <n v="355037"/>
    <n v="353547.49135408353"/>
    <n v="291764"/>
    <n v="119608651800"/>
    <n v="4.539577997316746E-3"/>
    <n v="0.86241612722059646"/>
    <n v="0.87268949753590441"/>
    <n v="0.81799999999999995"/>
    <n v="0.10297639746685409"/>
    <n v="1.1000000000000001"/>
    <n v="3.0000000000000009"/>
    <x v="0"/>
    <n v="1.7999999999999999E-2"/>
    <n v="7379.0999999999995"/>
    <n v="8.8183421516754845E-3"/>
    <n v="3130.8377425044091"/>
    <s v="SiRE"/>
    <n v="6363.8548443735026"/>
    <n v="2152955732.3999996"/>
    <n v="3117.7027456268388"/>
    <n v="3117.7027456268388"/>
    <n v="2572.8747795414461"/>
    <n v="7.2134038800705461E-3"/>
    <n v="9.7754521284039333E-7"/>
    <s v="CNAT - deadpitch ages"/>
  </r>
  <r>
    <x v="0"/>
    <s v="2000s"/>
    <n v="2010"/>
    <n v="2006"/>
    <x v="31"/>
    <n v="392193"/>
    <n v="409950"/>
    <n v="408346"/>
    <n v="291764"/>
    <n v="0.86241612722059646"/>
    <n v="355037"/>
    <n v="353547.49135408353"/>
    <n v="291764"/>
    <n v="119608651800"/>
    <n v="4.539577997316746E-3"/>
    <n v="0.86241612722059646"/>
    <n v="0.87268949753590441"/>
    <n v="0.81799999999999995"/>
    <n v="0.10297639746685409"/>
    <n v="1.2"/>
    <n v="3.9999999999999996"/>
    <x v="0"/>
    <n v="0.95399999999999996"/>
    <n v="391092.3"/>
    <n v="0.89400000000000002"/>
    <n v="317403.07799999998"/>
    <s v="SiRE"/>
    <n v="337284.3067517957"/>
    <n v="114106653817.2"/>
    <n v="316071.45727055066"/>
    <n v="316071.45727055066"/>
    <n v="260837.016"/>
    <n v="0.73129199999999994"/>
    <n v="1.8698706162202631E-6"/>
    <s v="CNAT - deadpitch ages"/>
  </r>
  <r>
    <x v="0"/>
    <s v="2000s"/>
    <n v="2010"/>
    <n v="2005"/>
    <x v="30"/>
    <n v="392193"/>
    <n v="409950"/>
    <n v="408346"/>
    <n v="291764"/>
    <n v="0.86241612722059646"/>
    <n v="355037"/>
    <n v="353547.49135408353"/>
    <n v="291764"/>
    <n v="119608651800"/>
    <n v="4.539577997316746E-3"/>
    <n v="0.86241612722059646"/>
    <n v="0.87268949753590441"/>
    <n v="0.81799999999999995"/>
    <n v="0.10297639746685409"/>
    <n v="1.3"/>
    <n v="5"/>
    <x v="0"/>
    <n v="5.0000000000000001E-3"/>
    <n v="2049.75"/>
    <n v="7.3999999999999996E-2"/>
    <n v="26272.737999999998"/>
    <s v="SiRE"/>
    <n v="1767.7374567704176"/>
    <n v="598043259"/>
    <n v="26162.514360202178"/>
    <n v="26162.514360202178"/>
    <n v="21590.536"/>
    <n v="6.0531999999999996E-2"/>
    <n v="2.95314062690572E-5"/>
    <s v="CNAT - deadpitch ages"/>
  </r>
  <r>
    <x v="0"/>
    <s v="2000s"/>
    <n v="2010"/>
    <n v="2006"/>
    <x v="32"/>
    <n v="392193"/>
    <n v="409950"/>
    <n v="408346"/>
    <n v="291764"/>
    <n v="0.86241612722059646"/>
    <n v="355037"/>
    <n v="353547.49135408353"/>
    <n v="291764"/>
    <n v="119608651800"/>
    <n v="4.539577997316746E-3"/>
    <n v="0.86241612722059646"/>
    <n v="0.87268949753590441"/>
    <n v="0.81799999999999995"/>
    <n v="0.10297639746685409"/>
    <n v="2.1"/>
    <n v="4.0000000000000009"/>
    <x v="1"/>
    <n v="6.0000000000000001E-3"/>
    <n v="2459.7000000000003"/>
    <n v="1.7000000000000001E-2"/>
    <n v="6035.6290000000008"/>
    <s v="SiRE"/>
    <n v="2121.2849481245012"/>
    <n v="717651910.80000007"/>
    <n v="6010.3073530194206"/>
    <n v="6010.3073530194206"/>
    <n v="4959.9880000000003"/>
    <n v="1.3906E-2"/>
    <n v="5.6535349839411304E-6"/>
    <s v="CNAT - deadpitch ages"/>
  </r>
  <r>
    <x v="0"/>
    <s v="2000s"/>
    <n v="2010"/>
    <n v="2005"/>
    <x v="31"/>
    <n v="392193"/>
    <n v="409950"/>
    <n v="408346"/>
    <n v="291764"/>
    <n v="0.86241612722059646"/>
    <n v="355037"/>
    <n v="353547.49135408353"/>
    <n v="291764"/>
    <n v="119608651800"/>
    <n v="4.539577997316746E-3"/>
    <n v="0.86241612722059646"/>
    <n v="0.87268949753590441"/>
    <n v="0.81799999999999995"/>
    <n v="0.10297639746685409"/>
    <n v="2.2000000000000002"/>
    <n v="5.0000000000000018"/>
    <x v="1"/>
    <n v="1.6E-2"/>
    <n v="6559.2"/>
    <n v="6.0000000000000001E-3"/>
    <n v="2130.2220000000002"/>
    <s v="SiRE"/>
    <n v="5656.7598616653368"/>
    <n v="1913738428.8"/>
    <n v="2121.2849481245012"/>
    <n v="2121.2849481245012"/>
    <n v="1750.5840000000001"/>
    <n v="4.908E-3"/>
    <n v="7.4826198316867915E-7"/>
    <s v="CNAT - deadpitch ages"/>
  </r>
  <r>
    <x v="0"/>
    <s v="2010s"/>
    <n v="2011"/>
    <n v="2008"/>
    <x v="33"/>
    <n v="187365"/>
    <n v="196529"/>
    <n v="194960"/>
    <n v="111508"/>
    <n v="0.76317320393399535"/>
    <n v="171572"/>
    <n v="149985.66659594417"/>
    <n v="111508"/>
    <n v="21914555732"/>
    <n v="7.9428481292837198E-3"/>
    <n v="0.76317320393399535"/>
    <n v="0.85363401434282982"/>
    <n v="0.7679999999999999"/>
    <n v="0.17662597455888387"/>
    <n v="1.1000000000000001"/>
    <n v="3.0000000000000009"/>
    <x v="0"/>
    <n v="0.26100000000000001"/>
    <n v="51294.069000000003"/>
    <n v="0.182"/>
    <n v="31226.103999999999"/>
    <s v="SiRE"/>
    <n v="39146.258981541432"/>
    <n v="5719699046.052"/>
    <n v="27297.39132046184"/>
    <n v="27297.39132046184"/>
    <n v="20294.455999999998"/>
    <n v="0.13977599999999998"/>
    <n v="2.724993410056823E-6"/>
    <s v="CNAT - deadpitch ages"/>
  </r>
  <r>
    <x v="0"/>
    <s v="2000s"/>
    <n v="2011"/>
    <n v="2007"/>
    <x v="32"/>
    <n v="187365"/>
    <n v="196529"/>
    <n v="194960"/>
    <n v="111508"/>
    <n v="0.76317320393399535"/>
    <n v="171572"/>
    <n v="149985.66659594417"/>
    <n v="111508"/>
    <n v="21914555732"/>
    <n v="7.9428481292837198E-3"/>
    <n v="0.76317320393399535"/>
    <n v="0.85363401434282982"/>
    <n v="0.7679999999999999"/>
    <n v="0.17662597455888387"/>
    <n v="1.2"/>
    <n v="3.9999999999999996"/>
    <x v="0"/>
    <n v="0.59199999999999997"/>
    <n v="116345.16799999999"/>
    <n v="0.66400000000000003"/>
    <n v="113923.808"/>
    <s v="SiRE"/>
    <n v="88791.514624798947"/>
    <n v="12973416993.344"/>
    <n v="99590.482619706934"/>
    <n v="99590.482619706934"/>
    <n v="74041.312000000005"/>
    <n v="0.50995199999999996"/>
    <n v="4.3830956520686786E-6"/>
    <s v="CNAT - deadpitch ages"/>
  </r>
  <r>
    <x v="0"/>
    <s v="2000s"/>
    <n v="2011"/>
    <n v="2006"/>
    <x v="31"/>
    <n v="187365"/>
    <n v="196529"/>
    <n v="194960"/>
    <n v="111508"/>
    <n v="0.76317320393399535"/>
    <n v="171572"/>
    <n v="149985.66659594417"/>
    <n v="111508"/>
    <n v="21914555732"/>
    <n v="7.9428481292837198E-3"/>
    <n v="0.76317320393399535"/>
    <n v="0.85363401434282982"/>
    <n v="0.7679999999999999"/>
    <n v="0.17662597455888387"/>
    <n v="1.3"/>
    <n v="5"/>
    <x v="0"/>
    <n v="7.6999999999999999E-2"/>
    <n v="15132.733"/>
    <n v="7.0999999999999994E-2"/>
    <n v="12181.611999999999"/>
    <s v="SiRE"/>
    <n v="11548.896327887702"/>
    <n v="1687420791.3640001"/>
    <n v="10648.982328312035"/>
    <n v="10648.982328312035"/>
    <n v="7917.0679999999993"/>
    <n v="5.4527999999999986E-2"/>
    <n v="3.6033147482348352E-6"/>
    <s v="CNAT - deadpitch ages"/>
  </r>
  <r>
    <x v="0"/>
    <s v="2010s"/>
    <n v="2011"/>
    <n v="2007"/>
    <x v="33"/>
    <n v="187365"/>
    <n v="196529"/>
    <n v="194960"/>
    <n v="111508"/>
    <n v="0.76317320393399535"/>
    <n v="171572"/>
    <n v="149985.66659594417"/>
    <n v="111508"/>
    <n v="21914555732"/>
    <n v="7.9428481292837198E-3"/>
    <n v="0.76317320393399535"/>
    <n v="0.85363401434282982"/>
    <n v="0.7679999999999999"/>
    <n v="0.17662597455888387"/>
    <n v="2.1"/>
    <n v="4.0000000000000009"/>
    <x v="1"/>
    <n v="3.1E-2"/>
    <n v="6092.3990000000003"/>
    <n v="4.2999999999999997E-2"/>
    <n v="7377.5959999999995"/>
    <s v="SiRE"/>
    <n v="4649.5556644742692"/>
    <n v="679351227.69200003"/>
    <n v="6449.3836636255992"/>
    <n v="6449.3836636255992"/>
    <n v="4794.8440000000001"/>
    <n v="3.3023999999999991E-2"/>
    <n v="5.4205248211747109E-6"/>
    <s v="CNAT - deadpitch ages"/>
  </r>
  <r>
    <x v="0"/>
    <s v="2000s"/>
    <n v="2011"/>
    <n v="2006"/>
    <x v="32"/>
    <n v="187365"/>
    <n v="196529"/>
    <n v="194960"/>
    <n v="111508"/>
    <n v="0.76317320393399535"/>
    <n v="171572"/>
    <n v="149985.66659594417"/>
    <n v="111508"/>
    <n v="21914555732"/>
    <n v="7.9428481292837198E-3"/>
    <n v="0.76317320393399535"/>
    <n v="0.85363401434282982"/>
    <n v="0.7679999999999999"/>
    <n v="0.17662597455888387"/>
    <n v="2.2000000000000002"/>
    <n v="5.0000000000000018"/>
    <x v="1"/>
    <n v="3.6999999999999998E-2"/>
    <n v="7271.5729999999994"/>
    <n v="0.04"/>
    <n v="6862.88"/>
    <s v="SiRE"/>
    <n v="5549.4696640499342"/>
    <n v="810838562.08399999"/>
    <n v="5999.4266638377667"/>
    <n v="5999.4266638377667"/>
    <n v="4460.32"/>
    <n v="3.0719999999999997E-2"/>
    <n v="4.2246705080180034E-6"/>
    <s v="CNAT - deadpitch ages"/>
  </r>
  <r>
    <x v="0"/>
    <s v="2000s"/>
    <n v="2011"/>
    <n v="2005"/>
    <x v="31"/>
    <n v="187365"/>
    <n v="196529"/>
    <n v="194960"/>
    <n v="111508"/>
    <n v="0.76317320393399535"/>
    <n v="171572"/>
    <n v="149985.66659594417"/>
    <n v="111508"/>
    <n v="21914555732"/>
    <n v="7.9428481292837198E-3"/>
    <n v="0.76317320393399535"/>
    <n v="0.85363401434282982"/>
    <n v="0.7679999999999999"/>
    <n v="0.17662597455888387"/>
    <n v="2.2999999999999998"/>
    <n v="5.9999999999999982"/>
    <x v="1"/>
    <n v="2E-3"/>
    <n v="393.05799999999999"/>
    <n v="0"/>
    <n v="0"/>
    <s v="SiRE"/>
    <n v="299.97133319188833"/>
    <n v="43829111.464000002"/>
    <n v="0"/>
    <n v="0"/>
    <n v="0"/>
    <n v="0"/>
    <n v="0"/>
    <m/>
  </r>
  <r>
    <x v="0"/>
    <s v="2010s"/>
    <n v="2012"/>
    <n v="2009"/>
    <x v="34"/>
    <n v="521159"/>
    <n v="550232"/>
    <n v="545637"/>
    <n v="326107"/>
    <n v="0.79418196873021285"/>
    <n v="461765"/>
    <n v="436984.33301836246"/>
    <n v="326107"/>
    <n v="179434506824"/>
    <n v="9.3051658209627943E-4"/>
    <n v="0.79418196873021285"/>
    <n v="0.88812599785679791"/>
    <n v="0.82400000000000007"/>
    <n v="0.16339251187144566"/>
    <n v="1.1000000000000001"/>
    <n v="3.0000000000000009"/>
    <x v="0"/>
    <n v="1.7000000000000001E-2"/>
    <n v="9353.9440000000013"/>
    <n v="3.0000000000000001E-3"/>
    <n v="1385.2950000000001"/>
    <s v="SiRE"/>
    <n v="7428.7336613121624"/>
    <n v="3050386616.0080004"/>
    <n v="1310.9529990550875"/>
    <n v="1310.9529990550875"/>
    <n v="978.32100000000003"/>
    <n v="2.4720000000000002E-3"/>
    <n v="2.6427355134903521E-7"/>
    <s v="CNAT - deadpitch ages"/>
  </r>
  <r>
    <x v="0"/>
    <s v="2010s"/>
    <n v="2012"/>
    <n v="2008"/>
    <x v="33"/>
    <n v="521159"/>
    <n v="550232"/>
    <n v="545637"/>
    <n v="326107"/>
    <n v="0.79418196873021285"/>
    <n v="461765"/>
    <n v="436984.33301836246"/>
    <n v="326107"/>
    <n v="179434506824"/>
    <n v="9.3051658209627943E-4"/>
    <n v="0.79418196873021285"/>
    <n v="0.88812599785679791"/>
    <n v="0.82400000000000007"/>
    <n v="0.16339251187144566"/>
    <n v="1.2"/>
    <n v="3.9999999999999996"/>
    <x v="0"/>
    <n v="0.96"/>
    <n v="528222.71999999997"/>
    <n v="0.97099999999999997"/>
    <n v="448373.815"/>
    <s v="SiRE"/>
    <n v="419504.95969762793"/>
    <n v="172257126551.04001"/>
    <n v="424311.78736082994"/>
    <n v="424311.78736082994"/>
    <n v="316649.897"/>
    <n v="0.80010400000000004"/>
    <n v="1.5147095528189322E-6"/>
    <s v="CNAT - deadpitch ages"/>
  </r>
  <r>
    <x v="0"/>
    <s v="2000s"/>
    <n v="2012"/>
    <n v="2007"/>
    <x v="32"/>
    <n v="521159"/>
    <n v="550232"/>
    <n v="545637"/>
    <n v="326107"/>
    <n v="0.79418196873021285"/>
    <n v="461765"/>
    <n v="436984.33301836246"/>
    <n v="326107"/>
    <n v="179434506824"/>
    <n v="9.3051658209627943E-4"/>
    <n v="0.79418196873021285"/>
    <n v="0.88812599785679791"/>
    <n v="0.82400000000000007"/>
    <n v="0.16339251187144566"/>
    <n v="1.3"/>
    <n v="5"/>
    <x v="0"/>
    <n v="1.7000000000000001E-2"/>
    <n v="9353.9440000000013"/>
    <n v="7.0000000000000001E-3"/>
    <n v="3232.355"/>
    <s v="SiRE"/>
    <n v="7428.7336613121624"/>
    <n v="3050386616.0080004"/>
    <n v="3058.8903311285371"/>
    <n v="3058.8903311285371"/>
    <n v="2282.7490000000003"/>
    <n v="5.7680000000000006E-3"/>
    <n v="6.1663828648108213E-7"/>
    <s v="CNAT - deadpitch ages"/>
  </r>
  <r>
    <x v="0"/>
    <s v="2010s"/>
    <n v="2012"/>
    <n v="2008"/>
    <x v="34"/>
    <n v="521159"/>
    <n v="550232"/>
    <n v="545637"/>
    <n v="326107"/>
    <n v="0.79418196873021285"/>
    <n v="461765"/>
    <n v="436984.33301836246"/>
    <n v="326107"/>
    <n v="179434506824"/>
    <n v="9.3051658209627943E-4"/>
    <n v="0.79418196873021285"/>
    <n v="0.88812599785679791"/>
    <n v="0.82400000000000007"/>
    <n v="0.16339251187144566"/>
    <n v="2.1"/>
    <n v="4.0000000000000009"/>
    <x v="1"/>
    <n v="1E-3"/>
    <n v="550.23199999999997"/>
    <n v="7.0000000000000001E-3"/>
    <n v="3232.355"/>
    <s v="SiRE"/>
    <n v="436.98433301836246"/>
    <n v="179434506.824"/>
    <n v="3058.8903311285371"/>
    <n v="3058.8903311285371"/>
    <n v="2282.7490000000003"/>
    <n v="5.7680000000000006E-3"/>
    <n v="1.0482850870178399E-5"/>
    <s v="CNAT - deadpitch ages"/>
  </r>
  <r>
    <x v="0"/>
    <s v="2010s"/>
    <n v="2012"/>
    <n v="2007"/>
    <x v="33"/>
    <n v="521159"/>
    <n v="550232"/>
    <n v="545637"/>
    <n v="326107"/>
    <n v="0.79418196873021285"/>
    <n v="461765"/>
    <n v="436984.33301836246"/>
    <n v="326107"/>
    <n v="179434506824"/>
    <n v="9.3051658209627943E-4"/>
    <n v="0.79418196873021285"/>
    <n v="0.88812599785679791"/>
    <n v="0.82400000000000007"/>
    <n v="0.16339251187144566"/>
    <n v="2.2000000000000002"/>
    <n v="5.0000000000000018"/>
    <x v="1"/>
    <n v="6.0000000000000001E-3"/>
    <n v="3301.3920000000003"/>
    <n v="1.2E-2"/>
    <n v="5541.18"/>
    <s v="SiRE"/>
    <n v="2621.905998110175"/>
    <n v="1076607040.944"/>
    <n v="5243.81199622035"/>
    <n v="5243.81199622035"/>
    <n v="3913.2840000000001"/>
    <n v="9.888000000000001E-3"/>
    <n v="2.9951002486223994E-6"/>
    <s v="CNAT - deadpitch ages"/>
  </r>
  <r>
    <x v="0"/>
    <s v="2010s"/>
    <n v="2013"/>
    <n v="2010"/>
    <x v="35"/>
    <n v="186191"/>
    <n v="195327"/>
    <n v="194651"/>
    <n v="129993"/>
    <n v="0.81644150509675351"/>
    <n v="159339"/>
    <n v="159473.06986603356"/>
    <n v="129993"/>
    <n v="25391142711"/>
    <n v="5.1759357385307717E-3"/>
    <n v="0.81644150509675351"/>
    <n v="0.83868307496053995"/>
    <n v="0.7"/>
    <n v="0.13549891857735125"/>
    <n v="1.1000000000000001"/>
    <n v="3.0000000000000009"/>
    <x v="0"/>
    <n v="0.23499999999999999"/>
    <n v="45901.844999999994"/>
    <n v="0.17100000000000001"/>
    <n v="37444.665000000001"/>
    <s v="CRITFC"/>
    <n v="37476.171418517886"/>
    <n v="5966918537.085"/>
    <n v="27269.89494709174"/>
    <n v="27269.89494709174"/>
    <n v="22228.803"/>
    <n v="0.1197"/>
    <n v="2.607738316401008E-6"/>
    <s v="Using Fryer, since SIRE age comp does not add up to 100%"/>
  </r>
  <r>
    <x v="0"/>
    <s v="2010s"/>
    <n v="2013"/>
    <n v="2009"/>
    <x v="34"/>
    <n v="186191"/>
    <n v="195327"/>
    <n v="194651"/>
    <n v="129993"/>
    <n v="0.81644150509675351"/>
    <n v="159339"/>
    <n v="159473.06986603356"/>
    <n v="129993"/>
    <n v="25391142711"/>
    <n v="5.1759357385307717E-3"/>
    <n v="0.81644150509675351"/>
    <n v="0.83868307496053995"/>
    <n v="0.7"/>
    <n v="0.13549891857735125"/>
    <n v="1.2"/>
    <n v="3.9999999999999996"/>
    <x v="0"/>
    <n v="0.63400000000000001"/>
    <n v="123837.318"/>
    <n v="0.57299999999999995"/>
    <n v="101020.92600000001"/>
    <s v="CRITFC"/>
    <n v="101105.92629506528"/>
    <n v="16097984478.774"/>
    <n v="91378.069033237218"/>
    <n v="91378.069033237218"/>
    <n v="74485.988999999987"/>
    <n v="0.40109999999999996"/>
    <n v="3.2389267345082518E-6"/>
    <s v="Using Fryer, since SIRE age comp does not add up to 100%"/>
  </r>
  <r>
    <x v="0"/>
    <s v="2010s"/>
    <n v="2013"/>
    <n v="2008"/>
    <x v="33"/>
    <n v="186191"/>
    <n v="195327"/>
    <n v="194651"/>
    <n v="129993"/>
    <n v="0.81644150509675351"/>
    <n v="159339"/>
    <n v="159473.06986603356"/>
    <n v="129993"/>
    <n v="25391142711"/>
    <n v="5.1759357385307717E-3"/>
    <n v="0.81644150509675351"/>
    <n v="0.83868307496053995"/>
    <n v="0.7"/>
    <n v="0.13549891857735125"/>
    <n v="1.3"/>
    <n v="5"/>
    <x v="0"/>
    <n v="8.1000000000000003E-2"/>
    <n v="15821.487000000001"/>
    <n v="2.4E-2"/>
    <n v="12906.459000000001"/>
    <s v="CRITFC"/>
    <n v="12917.318659148719"/>
    <n v="2056682559.5910001"/>
    <n v="3827.3536767848054"/>
    <n v="3827.3536767848054"/>
    <n v="3119.8319999999999"/>
    <n v="1.6799999999999999E-2"/>
    <n v="1.0618470943976378E-6"/>
    <s v="Using Fryer, since SIRE age comp does not add up to 100%"/>
  </r>
  <r>
    <x v="0"/>
    <s v="2010s"/>
    <n v="2013"/>
    <n v="2009"/>
    <x v="35"/>
    <n v="186191"/>
    <n v="195327"/>
    <n v="194651"/>
    <n v="129993"/>
    <n v="0.81644150509675351"/>
    <n v="159339"/>
    <n v="159473.06986603356"/>
    <n v="129993"/>
    <n v="25391142711"/>
    <n v="5.1759357385307717E-3"/>
    <n v="0.81644150509675351"/>
    <n v="0.83868307496053995"/>
    <n v="0.7"/>
    <n v="0.13549891857735125"/>
    <n v="2.1"/>
    <n v="4.0000000000000009"/>
    <x v="1"/>
    <n v="0"/>
    <n v="0"/>
    <n v="1.2E-2"/>
    <n v="0"/>
    <s v="CRITFC"/>
    <n v="0"/>
    <n v="0"/>
    <n v="1913.6768383924027"/>
    <n v="1913.6768383924027"/>
    <n v="1559.9159999999999"/>
    <n v="8.3999999999999995E-3"/>
    <n v="0"/>
    <s v="Using Fryer, since SIRE age comp does not add up to 100%"/>
  </r>
  <r>
    <x v="0"/>
    <s v="2010s"/>
    <n v="2013"/>
    <n v="2008"/>
    <x v="34"/>
    <n v="186191"/>
    <n v="195327"/>
    <n v="194651"/>
    <n v="129993"/>
    <n v="0.81644150509675351"/>
    <n v="159339"/>
    <n v="159473.06986603356"/>
    <n v="129993"/>
    <n v="25391142711"/>
    <n v="5.1759357385307717E-3"/>
    <n v="0.81644150509675351"/>
    <n v="0.83868307496053995"/>
    <n v="0.7"/>
    <n v="0.13549891857735125"/>
    <n v="2.2000000000000002"/>
    <n v="5.0000000000000018"/>
    <x v="1"/>
    <n v="0.05"/>
    <n v="9766.35"/>
    <n v="0.11"/>
    <n v="7966.9500000000007"/>
    <s v="CRITFC"/>
    <n v="7973.6534933016783"/>
    <n v="1269557135.55"/>
    <n v="17542.037685263691"/>
    <n v="17542.037685263691"/>
    <n v="14299.23"/>
    <n v="7.6999999999999999E-2"/>
    <n v="7.8842146759024609E-6"/>
    <s v="Using Fryer, since SIRE age comp does not add up to 100%"/>
  </r>
  <r>
    <x v="0"/>
    <s v="2010s"/>
    <n v="2014"/>
    <n v="2011"/>
    <x v="36"/>
    <n v="651146"/>
    <n v="651702"/>
    <n v="650354"/>
    <n v="490804"/>
    <n v="0.84458142108097967"/>
    <n v="538819"/>
    <n v="550415.40128131665"/>
    <n v="490804"/>
    <n v="319857948408"/>
    <n v="3.8714013460139757E-3"/>
    <n v="0.84458142108097967"/>
    <n v="0.84608240013574598"/>
    <n v="0.81100000000000017"/>
    <n v="5.5366769482466473E-2"/>
    <n v="1.1000000000000001"/>
    <n v="3.0000000000000009"/>
    <x v="0"/>
    <n v="0.17499999999999999"/>
    <n v="114047.84999999999"/>
    <n v="8.2199999999999995E-2"/>
    <n v="44290.921799999996"/>
    <s v="SiRE"/>
    <n v="96322.695224230411"/>
    <n v="55975140971.399994"/>
    <n v="45244.145985324227"/>
    <n v="45244.145985324227"/>
    <n v="40344.088799999998"/>
    <n v="6.6664200000000007E-2"/>
    <n v="5.8452833613259703E-7"/>
    <s v="CNAT - deadpitch ages"/>
  </r>
  <r>
    <x v="0"/>
    <s v="2010s"/>
    <n v="2014"/>
    <n v="2010"/>
    <x v="35"/>
    <n v="651146"/>
    <n v="651702"/>
    <n v="650354"/>
    <n v="490804"/>
    <n v="0.84458142108097967"/>
    <n v="538819"/>
    <n v="550415.40128131665"/>
    <n v="490804"/>
    <n v="319857948408"/>
    <n v="3.8714013460139757E-3"/>
    <n v="0.84458142108097967"/>
    <n v="0.84608240013574598"/>
    <n v="0.81100000000000017"/>
    <n v="5.5366769482466473E-2"/>
    <n v="1.2"/>
    <n v="3.9999999999999996"/>
    <x v="0"/>
    <n v="0.81899999999999995"/>
    <n v="533743.93799999997"/>
    <n v="0.88400000000000001"/>
    <n v="476315.99599999998"/>
    <s v="SiRE"/>
    <n v="450790.2136493983"/>
    <n v="261963659746.15198"/>
    <n v="486567.2147326839"/>
    <n v="486567.2147326839"/>
    <n v="433870.73599999998"/>
    <n v="0.71692400000000012"/>
    <n v="1.3431983933839078E-6"/>
    <s v="CNAT - deadpitch ages"/>
  </r>
  <r>
    <x v="0"/>
    <s v="2010s"/>
    <n v="2014"/>
    <n v="2009"/>
    <x v="34"/>
    <n v="651146"/>
    <n v="651702"/>
    <n v="650354"/>
    <n v="490804"/>
    <n v="0.84458142108097967"/>
    <n v="538819"/>
    <n v="550415.40128131665"/>
    <n v="490804"/>
    <n v="319857948408"/>
    <n v="3.8714013460139757E-3"/>
    <n v="0.84458142108097967"/>
    <n v="0.84608240013574598"/>
    <n v="0.81100000000000017"/>
    <n v="5.5366769482466473E-2"/>
    <n v="1.3"/>
    <n v="5"/>
    <x v="0"/>
    <n v="1E-3"/>
    <n v="651.702"/>
    <n v="0.03"/>
    <n v="16164.57"/>
    <s v="SiRE"/>
    <n v="550.41540128131669"/>
    <n v="319857948.40799999"/>
    <n v="16512.462038439498"/>
    <n v="16512.462038439498"/>
    <n v="14724.119999999999"/>
    <n v="2.4330000000000004E-2"/>
    <n v="3.7333014169052734E-5"/>
    <s v="CNAT - deadpitch ages"/>
  </r>
  <r>
    <x v="0"/>
    <s v="2010s"/>
    <n v="2014"/>
    <n v="2010"/>
    <x v="36"/>
    <n v="651146"/>
    <n v="651702"/>
    <n v="650354"/>
    <n v="490804"/>
    <n v="0.84458142108097967"/>
    <n v="538819"/>
    <n v="550415.40128131665"/>
    <n v="490804"/>
    <n v="319857948408"/>
    <n v="3.8714013460139757E-3"/>
    <n v="0.84458142108097967"/>
    <n v="0.84608240013574598"/>
    <n v="0.81100000000000017"/>
    <n v="5.5366769482466473E-2"/>
    <n v="2.1"/>
    <n v="4.0000000000000009"/>
    <x v="1"/>
    <n v="1E-3"/>
    <n v="651.702"/>
    <n v="0"/>
    <n v="0"/>
    <s v="SiRE"/>
    <n v="550.41540128131669"/>
    <n v="319857948.40799999"/>
    <n v="0"/>
    <n v="0"/>
    <n v="0"/>
    <n v="0"/>
    <n v="0"/>
    <s v="CNAT - deadpitch ages"/>
  </r>
  <r>
    <x v="0"/>
    <s v="2010s"/>
    <n v="2014"/>
    <n v="2009"/>
    <x v="35"/>
    <n v="651146"/>
    <n v="651702"/>
    <n v="650354"/>
    <n v="490804"/>
    <n v="0.84458142108097967"/>
    <n v="538819"/>
    <n v="550415.40128131665"/>
    <n v="490804"/>
    <n v="319857948408"/>
    <n v="3.8714013460139757E-3"/>
    <n v="0.84458142108097967"/>
    <n v="0.84608240013574598"/>
    <n v="0.81100000000000017"/>
    <n v="5.5366769482466473E-2"/>
    <n v="2.2000000000000002"/>
    <n v="5.0000000000000018"/>
    <x v="1"/>
    <n v="4.0000000000000001E-3"/>
    <n v="2606.808"/>
    <n v="4.0000000000000001E-3"/>
    <n v="2155.2759999999998"/>
    <s v="SiRE"/>
    <n v="2201.6616051252668"/>
    <n v="1279431793.632"/>
    <n v="2201.6616051252668"/>
    <n v="2201.6616051252668"/>
    <n v="1963.2160000000001"/>
    <n v="3.2440000000000008E-3"/>
    <n v="1.2444338056350911E-6"/>
    <s v="CNAT - deadpitch ages"/>
  </r>
  <r>
    <x v="0"/>
    <s v="2010s"/>
    <n v="2015"/>
    <n v="2012"/>
    <x v="37"/>
    <n v="512455"/>
    <n v="542103"/>
    <n v="540357"/>
    <n v="187055"/>
    <n v="0.70672666409750717"/>
    <n v="437687"/>
    <n v="383118.64478725096"/>
    <n v="187055"/>
    <n v="101403076665"/>
    <n v="3.2263241487318832E-3"/>
    <n v="0.70672666409750717"/>
    <n v="0.72614743814231109"/>
    <n v="0.78400000000000003"/>
    <n v="0.45124797124863747"/>
    <n v="1.1000000000000001"/>
    <n v="3.0000000000000009"/>
    <x v="0"/>
    <n v="1E-3"/>
    <n v="542.10300000000007"/>
    <n v="2E-3"/>
    <n v="437.68700000000001"/>
    <s v="CRITFC"/>
    <n v="383.11864478725096"/>
    <n v="101403076.66500001"/>
    <n v="766.23728957450192"/>
    <n v="766.23728957450192"/>
    <n v="374.11"/>
    <n v="1.5680000000000002E-3"/>
    <n v="2.8924392596978804E-6"/>
    <s v="NB: 2015 was DEATH year for Columbia sox because of high temps"/>
  </r>
  <r>
    <x v="0"/>
    <s v="2010s"/>
    <n v="2015"/>
    <n v="2011"/>
    <x v="36"/>
    <n v="512455"/>
    <n v="542103"/>
    <n v="540357"/>
    <n v="187055"/>
    <n v="0.70672666409750717"/>
    <n v="437687"/>
    <n v="383118.64478725096"/>
    <n v="187055"/>
    <n v="101403076665"/>
    <n v="3.2263241487318832E-3"/>
    <n v="0.70672666409750717"/>
    <n v="0.72614743814231109"/>
    <n v="0.78400000000000003"/>
    <n v="0.45124797124863747"/>
    <n v="1.2"/>
    <n v="3.9999999999999996"/>
    <x v="0"/>
    <n v="0.97499999999999998"/>
    <n v="528550.42499999993"/>
    <n v="0.94699999999999995"/>
    <n v="426744.82500000001"/>
    <s v="CRITFC"/>
    <n v="373540.67866756965"/>
    <n v="98867999748.375"/>
    <n v="362813.35661352664"/>
    <n v="362813.35661352664"/>
    <n v="177141.08499999999"/>
    <n v="0.742448"/>
    <n v="1.4046871686840476E-6"/>
    <s v="mortalities between BON and Wells unknown"/>
  </r>
  <r>
    <x v="0"/>
    <s v="2010s"/>
    <n v="2015"/>
    <n v="2010"/>
    <x v="35"/>
    <n v="512455"/>
    <n v="542103"/>
    <n v="540357"/>
    <n v="187055"/>
    <n v="0.70672666409750717"/>
    <n v="437687"/>
    <n v="383118.64478725096"/>
    <n v="187055"/>
    <n v="101403076665"/>
    <n v="3.2263241487318832E-3"/>
    <n v="0.70672666409750717"/>
    <n v="0.72614743814231109"/>
    <n v="0.78400000000000003"/>
    <n v="0.45124797124863747"/>
    <n v="1.3"/>
    <n v="5"/>
    <x v="0"/>
    <n v="1E-3"/>
    <n v="542.10300000000007"/>
    <n v="0.03"/>
    <n v="437.68700000000001"/>
    <s v="CRITFC"/>
    <n v="383.11864478725096"/>
    <n v="101403076.66500001"/>
    <n v="11493.559343617528"/>
    <n v="11493.559343617528"/>
    <n v="5611.65"/>
    <n v="2.3519999999999999E-2"/>
    <n v="4.3386588895468198E-5"/>
    <m/>
  </r>
  <r>
    <x v="0"/>
    <s v="2010s"/>
    <n v="2015"/>
    <n v="2011"/>
    <x v="37"/>
    <n v="512455"/>
    <n v="542103"/>
    <n v="540357"/>
    <n v="187055"/>
    <n v="0.70672666409750717"/>
    <n v="437687"/>
    <n v="383118.64478725096"/>
    <n v="187055"/>
    <n v="101403076665"/>
    <n v="3.2263241487318832E-3"/>
    <n v="0.70672666409750717"/>
    <n v="0.72614743814231109"/>
    <n v="0.78400000000000003"/>
    <n v="0.45124797124863747"/>
    <n v="2.1"/>
    <n v="4.0000000000000009"/>
    <x v="1"/>
    <n v="0"/>
    <n v="0"/>
    <n v="3.0000000000000001E-3"/>
    <n v="0"/>
    <s v="CRITFC"/>
    <n v="0"/>
    <n v="0"/>
    <n v="1149.3559343617528"/>
    <n v="1149.3559343617528"/>
    <n v="561.16499999999996"/>
    <n v="2.3519999999999999E-3"/>
    <n v="0"/>
    <s v="~10% of Ok Sox returned to spawning grounds"/>
  </r>
  <r>
    <x v="0"/>
    <s v="2010s"/>
    <n v="2015"/>
    <n v="2010"/>
    <x v="36"/>
    <n v="512455"/>
    <n v="542103"/>
    <n v="540357"/>
    <n v="187055"/>
    <n v="0.70672666409750717"/>
    <n v="437687"/>
    <n v="383118.64478725096"/>
    <n v="187055"/>
    <n v="101403076665"/>
    <n v="3.2263241487318832E-3"/>
    <n v="0.70672666409750717"/>
    <n v="0.72614743814231109"/>
    <n v="0.78400000000000003"/>
    <n v="0.45124797124863747"/>
    <n v="2.2000000000000002"/>
    <n v="5.0000000000000018"/>
    <x v="1"/>
    <n v="2.1999999999999999E-2"/>
    <n v="11926.266"/>
    <n v="1E-3"/>
    <n v="9629.1139999999996"/>
    <s v="CRITFC"/>
    <n v="8428.6101853195214"/>
    <n v="2230867686.6299996"/>
    <n v="383.11864478725096"/>
    <n v="383.11864478725096"/>
    <n v="187.05500000000001"/>
    <n v="7.8400000000000008E-4"/>
    <n v="6.5737255902224555E-8"/>
    <s v="* sample sizes for ages extremely small - use Fryer age comp"/>
  </r>
  <r>
    <x v="0"/>
    <s v="2010s"/>
    <n v="2016"/>
    <n v="2013"/>
    <x v="38"/>
    <n v="356606"/>
    <n v="363350"/>
    <n v="361543"/>
    <n v="216036"/>
    <n v="0.69612458553655499"/>
    <n v="275427"/>
    <n v="252936.86815470725"/>
    <n v="216036"/>
    <n v="78496680600"/>
    <n v="2.6035502958579883E-3"/>
    <n v="0.69612458553655499"/>
    <n v="0.73560301084842705"/>
    <n v="0.70099999999999996"/>
    <n v="9.2860323668277359E-2"/>
    <n v="1.1000000000000001"/>
    <n v="3.0000000000000009"/>
    <x v="0"/>
    <n v="8.9999999999999993E-3"/>
    <n v="3270.1499999999996"/>
    <n v="0.01"/>
    <n v="2754.27"/>
    <s v="SiRE"/>
    <n v="2276.4318133923653"/>
    <n v="706470125.39999998"/>
    <n v="2529.3686815470724"/>
    <n v="2529.3686815470724"/>
    <n v="2160.36"/>
    <n v="7.0099999999999997E-3"/>
    <n v="2.1436325550815715E-6"/>
    <m/>
  </r>
  <r>
    <x v="0"/>
    <s v="2010s"/>
    <n v="2016"/>
    <n v="2012"/>
    <x v="37"/>
    <n v="356606"/>
    <n v="363350"/>
    <n v="361543"/>
    <n v="216036"/>
    <n v="0.69612458553655499"/>
    <n v="275427"/>
    <n v="252936.86815470725"/>
    <n v="216036"/>
    <n v="78496680600"/>
    <n v="2.6035502958579883E-3"/>
    <n v="0.69612458553655499"/>
    <n v="0.73560301084842705"/>
    <n v="0.70099999999999996"/>
    <n v="9.2860323668277359E-2"/>
    <n v="1.2"/>
    <n v="3.9999999999999996"/>
    <x v="0"/>
    <n v="0.96"/>
    <n v="348816"/>
    <n v="0.95699999999999996"/>
    <n v="263583.63899999997"/>
    <s v="SiRE"/>
    <n v="242819.39342851896"/>
    <n v="75356813376"/>
    <n v="242060.58282405481"/>
    <n v="242060.58282405481"/>
    <n v="206746.45199999999"/>
    <n v="0.67085699999999993"/>
    <n v="1.923240333012247E-6"/>
    <s v="presuming SIRE age comp from Sp Grds in 2016"/>
  </r>
  <r>
    <x v="0"/>
    <s v="2010s"/>
    <n v="2016"/>
    <n v="2011"/>
    <x v="36"/>
    <n v="356606"/>
    <n v="363350"/>
    <n v="361543"/>
    <n v="216036"/>
    <n v="0.69612458553655499"/>
    <n v="275427"/>
    <n v="252936.86815470725"/>
    <n v="216036"/>
    <n v="78496680600"/>
    <n v="2.6035502958579883E-3"/>
    <n v="0.69612458553655499"/>
    <n v="0.73560301084842705"/>
    <n v="0.70099999999999996"/>
    <n v="9.2860323668277359E-2"/>
    <n v="1.3"/>
    <n v="5"/>
    <x v="0"/>
    <n v="7.0000000000000001E-3"/>
    <n v="2543.4500000000003"/>
    <n v="2.5000000000000001E-2"/>
    <n v="6885.6750000000002"/>
    <s v="SiRE"/>
    <n v="1770.5580770829508"/>
    <n v="549476764.20000005"/>
    <n v="6323.4217038676816"/>
    <n v="6323.4217038676816"/>
    <n v="5400.9000000000005"/>
    <n v="1.7524999999999999E-2"/>
    <n v="6.8902474984764779E-6"/>
    <m/>
  </r>
  <r>
    <x v="0"/>
    <s v="2010s"/>
    <n v="2016"/>
    <n v="2012"/>
    <x v="38"/>
    <n v="356606"/>
    <n v="363350"/>
    <n v="361543"/>
    <n v="216036"/>
    <n v="0.69612458553655499"/>
    <n v="275427"/>
    <n v="252936.86815470725"/>
    <n v="216036"/>
    <n v="78496680600"/>
    <n v="2.6035502958579883E-3"/>
    <n v="0.69612458553655499"/>
    <n v="0.73560301084842705"/>
    <n v="0.70099999999999996"/>
    <n v="9.2860323668277359E-2"/>
    <n v="2.1"/>
    <n v="4.0000000000000009"/>
    <x v="1"/>
    <n v="0"/>
    <n v="0"/>
    <n v="3.0000000000000001E-3"/>
    <n v="826.28100000000006"/>
    <s v="SiRE"/>
    <n v="0"/>
    <n v="0"/>
    <n v="758.81060446412175"/>
    <n v="758.81060446412175"/>
    <n v="648.10800000000006"/>
    <n v="2.1029999999999998E-3"/>
    <n v="0"/>
    <m/>
  </r>
  <r>
    <x v="0"/>
    <s v="2010s"/>
    <n v="2016"/>
    <n v="2011"/>
    <x v="37"/>
    <n v="356606"/>
    <n v="363350"/>
    <n v="361543"/>
    <n v="216036"/>
    <n v="0.69612458553655499"/>
    <n v="275427"/>
    <n v="252936.86815470725"/>
    <n v="216036"/>
    <n v="78496680600"/>
    <n v="2.6035502958579883E-3"/>
    <n v="0.69612458553655499"/>
    <n v="0.73560301084842705"/>
    <n v="0.70099999999999996"/>
    <n v="9.2860323668277359E-2"/>
    <n v="2.2000000000000002"/>
    <n v="5.0000000000000018"/>
    <x v="1"/>
    <n v="2.4E-2"/>
    <n v="8720.4"/>
    <n v="5.0000000000000001E-3"/>
    <n v="1377.135"/>
    <s v="SiRE"/>
    <n v="6070.484835712974"/>
    <n v="1883920334.4000001"/>
    <n v="1264.6843407735362"/>
    <n v="1264.6843407735362"/>
    <n v="1080.18"/>
    <n v="3.5049999999999999E-3"/>
    <n v="4.0193110407779461E-7"/>
    <m/>
  </r>
  <r>
    <x v="0"/>
    <s v="2010s"/>
    <n v="2017"/>
    <n v="2014"/>
    <x v="39"/>
    <n v="88263"/>
    <n v="91242"/>
    <n v="90672"/>
    <n v="42299"/>
    <n v="0.57771313065093288"/>
    <n v="58111"/>
    <n v="52711.701466852421"/>
    <n v="42299"/>
    <n v="3859445358"/>
    <n v="4.8661800486618006E-3"/>
    <n v="0.57771313065093288"/>
    <n v="0"/>
    <n v="0.59199999999999997"/>
    <n v="0.13819040056467266"/>
    <n v="1.1000000000000001"/>
    <n v="3.0000000000000009"/>
    <x v="0"/>
    <n v="0.19"/>
    <n v="17335.98"/>
    <n v="3.7999999999999999E-2"/>
    <n v="2208.2179999999998"/>
    <s v="SiRE"/>
    <n v="10015.22327870196"/>
    <n v="733294618.01999998"/>
    <n v="2003.044655740392"/>
    <n v="2003.044655740392"/>
    <n v="1607.3619999999999"/>
    <n v="2.2495999999999999E-2"/>
    <n v="1.2976480129764801E-6"/>
    <s v="presuming SIRE age comp from Sp Grds in 2017"/>
  </r>
  <r>
    <x v="0"/>
    <s v="2010s"/>
    <n v="2017"/>
    <n v="2013"/>
    <x v="38"/>
    <n v="88263"/>
    <n v="91242"/>
    <n v="90672"/>
    <n v="42299"/>
    <n v="0.57771313065093288"/>
    <n v="58111"/>
    <n v="52711.701466852421"/>
    <n v="42299"/>
    <n v="3859445358"/>
    <n v="4.8661800486618006E-3"/>
    <n v="0.57771313065093288"/>
    <n v="0"/>
    <n v="0.59199999999999997"/>
    <n v="0.13819040056467266"/>
    <n v="1.2"/>
    <n v="3.9999999999999996"/>
    <x v="0"/>
    <n v="0.52700000000000002"/>
    <n v="48084.534"/>
    <n v="0.75900000000000001"/>
    <n v="44106.249000000003"/>
    <s v="SiRE"/>
    <n v="27779.066673031226"/>
    <n v="2033927703.6660001"/>
    <n v="40008.181413340986"/>
    <n v="40008.181413340986"/>
    <n v="32104.940999999999"/>
    <n v="0.44932800000000001"/>
    <n v="9.344543091547898E-6"/>
    <m/>
  </r>
  <r>
    <x v="0"/>
    <s v="2010s"/>
    <n v="2017"/>
    <n v="2012"/>
    <x v="37"/>
    <n v="88263"/>
    <n v="91242"/>
    <n v="90672"/>
    <n v="42299"/>
    <n v="0.57771313065093288"/>
    <n v="58111"/>
    <n v="52711.701466852421"/>
    <n v="42299"/>
    <n v="3859445358"/>
    <n v="4.8661800486618006E-3"/>
    <n v="0.57771313065093288"/>
    <n v="0"/>
    <n v="0.59199999999999997"/>
    <n v="0.13819040056467266"/>
    <n v="1.3"/>
    <n v="5"/>
    <x v="0"/>
    <n v="0.221"/>
    <n v="20164.482"/>
    <n v="0.18099999999999999"/>
    <n v="10518.091"/>
    <s v="SiRE"/>
    <n v="11649.286024174386"/>
    <n v="852937424.11800003"/>
    <n v="9540.8179655002878"/>
    <n v="9540.8179655002878"/>
    <n v="7656.1189999999997"/>
    <n v="0.107152"/>
    <n v="5.3138979716910158E-6"/>
    <m/>
  </r>
  <r>
    <x v="0"/>
    <s v="2010s"/>
    <n v="2017"/>
    <n v="2013"/>
    <x v="39"/>
    <n v="88263"/>
    <n v="91242"/>
    <n v="90672"/>
    <n v="42299"/>
    <n v="0.57771313065093288"/>
    <n v="58111"/>
    <n v="52711.701466852421"/>
    <n v="42299"/>
    <n v="3859445358"/>
    <n v="4.8661800486618006E-3"/>
    <n v="0.57771313065093288"/>
    <n v="0"/>
    <n v="0.59199999999999997"/>
    <n v="0.13819040056467266"/>
    <n v="2.1"/>
    <n v="4.0000000000000009"/>
    <x v="1"/>
    <n v="3.5999999999999997E-2"/>
    <n v="3284.7119999999995"/>
    <n v="1.4999999999999999E-2"/>
    <n v="871.66499999999996"/>
    <s v="SiRE"/>
    <n v="1897.6212528066869"/>
    <n v="138940032.88799998"/>
    <n v="790.67552200278624"/>
    <n v="790.67552200278624"/>
    <n v="634.48500000000001"/>
    <n v="8.879999999999999E-3"/>
    <n v="2.7034333603676671E-6"/>
    <m/>
  </r>
  <r>
    <x v="0"/>
    <s v="2010s"/>
    <n v="2017"/>
    <n v="2012"/>
    <x v="38"/>
    <n v="88263"/>
    <n v="91242"/>
    <n v="90672"/>
    <n v="42299"/>
    <n v="0.57771313065093288"/>
    <n v="58111"/>
    <n v="52711.701466852421"/>
    <n v="42299"/>
    <n v="3859445358"/>
    <n v="4.8661800486618006E-3"/>
    <n v="0.57771313065093288"/>
    <n v="0"/>
    <n v="0.59199999999999997"/>
    <n v="0.13819040056467266"/>
    <n v="2.2000000000000002"/>
    <n v="5.0000000000000018"/>
    <x v="1"/>
    <n v="2.1999999999999999E-2"/>
    <n v="2007.3239999999998"/>
    <n v="7.0000000000000001E-3"/>
    <n v="406.77699999999999"/>
    <s v="SiRE"/>
    <n v="1159.6574322707531"/>
    <n v="84907797.876000002"/>
    <n v="368.98191026796695"/>
    <n v="368.98191026796695"/>
    <n v="296.09300000000002"/>
    <n v="4.1440000000000001E-3"/>
    <n v="2.0644400206444002E-6"/>
    <m/>
  </r>
  <r>
    <x v="0"/>
    <s v="2010s"/>
    <n v="2017"/>
    <n v="2011"/>
    <x v="37"/>
    <n v="88263"/>
    <n v="91242"/>
    <n v="90672"/>
    <n v="42299"/>
    <n v="0.57771313065093288"/>
    <n v="58111"/>
    <n v="52711.701466852421"/>
    <n v="42299"/>
    <n v="3859445358"/>
    <n v="4.8661800486618006E-3"/>
    <n v="0.57771313065093288"/>
    <n v="0"/>
    <n v="0.59199999999999997"/>
    <n v="0.13819040056467266"/>
    <n v="2.2999999999999998"/>
    <n v="5.9999999999999982"/>
    <x v="1"/>
    <n v="4.0000000000000001E-3"/>
    <n v="364.96800000000002"/>
    <n v="0"/>
    <n v="0"/>
    <s v="SiRE"/>
    <n v="210.8468058674097"/>
    <n v="15437781.432"/>
    <n v="0"/>
    <n v="0"/>
    <n v="0"/>
    <n v="0"/>
    <n v="0"/>
    <m/>
  </r>
  <r>
    <x v="0"/>
    <s v="2010s"/>
    <n v="2018"/>
    <n v="2015"/>
    <x v="40"/>
    <n v="210915"/>
    <n v="203637"/>
    <n v="203486"/>
    <n v="153637"/>
    <n v="0.89319163532140755"/>
    <n v="187073"/>
    <n v="181886.86504194548"/>
    <n v="153637"/>
    <n v="31286177769"/>
    <n v="1.4584775851146895E-3"/>
    <n v="0.89319163532140755"/>
    <n v="0"/>
    <n v="0.90199999999999991"/>
    <n v="0.11527082944281179"/>
    <n v="1.1000000000000001"/>
    <n v="3.0000000000000009"/>
    <x v="0"/>
    <n v="4.0000000000000001E-3"/>
    <n v="814.548"/>
    <n v="2.5999999999999999E-3"/>
    <n v="486.38979999999998"/>
    <s v="SiRE"/>
    <n v="727.54746016778188"/>
    <n v="125144711.07600001"/>
    <n v="472.90584910905824"/>
    <n v="472.90584910905824"/>
    <n v="399.45619999999997"/>
    <n v="2.3451999999999995E-3"/>
    <n v="2.8791427883930714E-6"/>
    <s v="based on deadpitch of natural spawners in &quot;2018 Deadpiitch Adult Sockeye BioData.xlsx 10/21/2020"/>
  </r>
  <r>
    <x v="0"/>
    <s v="2010s"/>
    <n v="2018"/>
    <n v="2014"/>
    <x v="39"/>
    <n v="210915"/>
    <n v="203637"/>
    <n v="203486"/>
    <n v="153637"/>
    <n v="0.89319163532140755"/>
    <n v="187073"/>
    <n v="181886.86504194548"/>
    <n v="153637"/>
    <n v="31286177769"/>
    <n v="1.4584775851146895E-3"/>
    <n v="0.89319163532140755"/>
    <n v="0"/>
    <n v="0.90199999999999991"/>
    <n v="0.11527082944281179"/>
    <n v="1.2"/>
    <n v="3.9999999999999996"/>
    <x v="0"/>
    <n v="0.95599999999999996"/>
    <n v="194676.97199999998"/>
    <n v="0.97099999999999997"/>
    <n v="181647.883"/>
    <s v="SiRE"/>
    <n v="173883.84298009987"/>
    <n v="29909585947.163998"/>
    <n v="176612.14595572907"/>
    <n v="176612.14595572907"/>
    <n v="149181.527"/>
    <n v="0.8758419999999999"/>
    <n v="4.4989501891369052E-6"/>
    <s v="based on deadpitch of natural spawners in &quot;2018 Deadpiitch Adult Sockeye BioData.xlsx 10/21/2021"/>
  </r>
  <r>
    <x v="0"/>
    <s v="2010s"/>
    <n v="2018"/>
    <n v="2013"/>
    <x v="38"/>
    <n v="210915"/>
    <n v="203637"/>
    <n v="203486"/>
    <n v="153637"/>
    <n v="0.89319163532140755"/>
    <n v="187073"/>
    <n v="181886.86504194548"/>
    <n v="153637"/>
    <n v="31286177769"/>
    <n v="1.4584775851146895E-3"/>
    <n v="0.89319163532140755"/>
    <n v="0"/>
    <n v="0.90199999999999991"/>
    <n v="0.11527082944281179"/>
    <n v="1.3"/>
    <n v="5"/>
    <x v="0"/>
    <n v="1.0999999999999999E-2"/>
    <n v="2240.0070000000001"/>
    <n v="2.1000000000000001E-2"/>
    <n v="3928.5330000000004"/>
    <s v="SiRE"/>
    <n v="2000.7555154614001"/>
    <n v="344147955.45899999"/>
    <n v="3819.6241658808553"/>
    <n v="3819.6241658808553"/>
    <n v="3226.3770000000004"/>
    <n v="1.8942000000000001E-2"/>
    <n v="8.4562235743013301E-6"/>
    <s v="based on deadpitch of natural spawners in &quot;2018 Deadpiitch Adult Sockeye BioData.xlsx 10/21/2022"/>
  </r>
  <r>
    <x v="0"/>
    <s v="2010s"/>
    <n v="2018"/>
    <n v="2014"/>
    <x v="40"/>
    <n v="210915"/>
    <n v="203637"/>
    <n v="203486"/>
    <n v="153637"/>
    <n v="0.89319163532140755"/>
    <n v="187073"/>
    <n v="181886.86504194548"/>
    <n v="153637"/>
    <n v="31286177769"/>
    <n v="1.4584775851146895E-3"/>
    <n v="0.89319163532140755"/>
    <n v="0"/>
    <n v="0.90199999999999991"/>
    <n v="0.11527082944281179"/>
    <n v="2.1"/>
    <n v="4.0000000000000009"/>
    <x v="1"/>
    <n v="2.1999999999999999E-2"/>
    <n v="4480.0140000000001"/>
    <n v="2.5999999999999999E-3"/>
    <n v="486.38979999999998"/>
    <s v="SiRE"/>
    <n v="4001.5110309228003"/>
    <n v="688295910.91799998"/>
    <n v="472.90584910905824"/>
    <n v="472.90584910905824"/>
    <n v="399.45619999999997"/>
    <n v="2.3451999999999995E-3"/>
    <n v="5.2348050698055844E-7"/>
    <s v="based on deadpitch of natural spawners in &quot;2018 Deadpiitch Adult Sockeye BioData.xlsx 10/21/2023"/>
  </r>
  <r>
    <x v="0"/>
    <s v="2010s"/>
    <n v="2018"/>
    <n v="2013"/>
    <x v="39"/>
    <n v="210915"/>
    <n v="203637"/>
    <n v="203486"/>
    <n v="153637"/>
    <n v="0.89319163532140755"/>
    <n v="187073"/>
    <n v="181886.86504194548"/>
    <n v="153637"/>
    <n v="31286177769"/>
    <n v="1.4584775851146895E-3"/>
    <n v="0.89319163532140755"/>
    <n v="0"/>
    <n v="0.90199999999999991"/>
    <n v="0.11527082944281179"/>
    <n v="2.2000000000000002"/>
    <n v="5.0000000000000018"/>
    <x v="1"/>
    <n v="6.0000000000000001E-3"/>
    <n v="1221.8220000000001"/>
    <n v="2.5999999999999999E-3"/>
    <n v="486.38979999999998"/>
    <s v="SiRE"/>
    <n v="1091.321190251673"/>
    <n v="187717066.61399999"/>
    <n v="472.90584910905824"/>
    <n v="472.90584910905824"/>
    <n v="399.45619999999997"/>
    <n v="2.3451999999999995E-3"/>
    <n v="1.919428525595381E-6"/>
    <s v="based on deadpitch of natural spawners in &quot;2018 Deadpiitch Adult Sockeye BioData.xlsx 10/21/2024"/>
  </r>
  <r>
    <x v="0"/>
    <s v="2010s"/>
    <n v="2019"/>
    <n v="2016"/>
    <x v="41"/>
    <n v="63222"/>
    <n v="64511"/>
    <n v="64470"/>
    <n v="49862"/>
    <n v="0.85143950001707591"/>
    <n v="54550"/>
    <n v="54927.213585601581"/>
    <n v="49862"/>
    <n v="3216647482"/>
    <n v="5.1929128365705074E-3"/>
    <n v="0.85143950001707591"/>
    <n v="0"/>
    <n v="0.85500000000000009"/>
    <n v="6.9101907864122847E-2"/>
    <n v="1.1000000000000001"/>
    <n v="3.0000000000000009"/>
    <x v="0"/>
    <n v="0.54300000000000004"/>
    <n v="35029.473000000005"/>
    <n v="0.185"/>
    <n v="10091.75"/>
    <s v="SiRE"/>
    <n v="29825.476976981659"/>
    <n v="1746639582.7260001"/>
    <n v="10161.534513336292"/>
    <n v="10161.534513336292"/>
    <n v="9224.4699999999993"/>
    <n v="0.15817500000000001"/>
    <n v="4.5154832903138447E-6"/>
    <s v="Mean %OK = 85.7% from CNAT_Escapement Units _2020.xlsx!%Okanagan - avg of Wells/RIS &amp; RRH/RIS estimates [HS July 2020]"/>
  </r>
  <r>
    <x v="0"/>
    <s v="2010s"/>
    <n v="2019"/>
    <n v="2015"/>
    <x v="40"/>
    <n v="63222"/>
    <n v="64511"/>
    <n v="64470"/>
    <n v="49862"/>
    <n v="0.85143950001707591"/>
    <n v="54550"/>
    <n v="54927.213585601581"/>
    <n v="49862"/>
    <n v="3216647482"/>
    <n v="5.1929128365705074E-3"/>
    <n v="0.85143950001707591"/>
    <n v="0"/>
    <n v="0.85500000000000009"/>
    <n v="6.9101907864122847E-2"/>
    <n v="1.2"/>
    <n v="3.9999999999999996"/>
    <x v="0"/>
    <n v="0.17199999999999999"/>
    <n v="11095.892"/>
    <n v="0.54200000000000004"/>
    <n v="29566.100000000002"/>
    <s v="SiRE"/>
    <n v="9447.4807367234716"/>
    <n v="553263366.90399992"/>
    <n v="29770.549763396059"/>
    <n v="29770.549763396059"/>
    <n v="27025.204000000002"/>
    <n v="0.4634100000000001"/>
    <n v="4.1764105130078784E-5"/>
    <s v="Fryer's sampling at BON -- 85% OK; 11% Wenatchee; 4% other [prelim. 14/09/2020]"/>
  </r>
  <r>
    <x v="0"/>
    <s v="2010s"/>
    <n v="2019"/>
    <n v="2014"/>
    <x v="39"/>
    <n v="63222"/>
    <n v="64511"/>
    <n v="64470"/>
    <n v="49862"/>
    <n v="0.85143950001707591"/>
    <n v="54550"/>
    <n v="54927.213585601581"/>
    <n v="49862"/>
    <n v="3216647482"/>
    <n v="5.1929128365705074E-3"/>
    <n v="0.85143950001707591"/>
    <n v="0"/>
    <n v="0.85500000000000009"/>
    <n v="6.9101907864122847E-2"/>
    <n v="1.3"/>
    <n v="5"/>
    <x v="0"/>
    <n v="0.224"/>
    <n v="14450.464"/>
    <n v="0.26700000000000002"/>
    <n v="14564.85"/>
    <s v="SiRE"/>
    <n v="12303.695843174755"/>
    <n v="720529035.96800005"/>
    <n v="14665.566027355622"/>
    <n v="14665.566027355622"/>
    <n v="13313.154"/>
    <n v="0.22828500000000004"/>
    <n v="1.5797762618556749E-5"/>
    <m/>
  </r>
  <r>
    <x v="0"/>
    <s v="2010s"/>
    <n v="2019"/>
    <n v="2015"/>
    <x v="41"/>
    <n v="63222"/>
    <n v="64511"/>
    <n v="64470"/>
    <n v="49862"/>
    <n v="0.85143950001707591"/>
    <n v="54550"/>
    <n v="54927.213585601581"/>
    <n v="49862"/>
    <n v="3216647482"/>
    <n v="5.1929128365705074E-3"/>
    <n v="0.85143950001707591"/>
    <n v="0"/>
    <n v="0.85500000000000009"/>
    <n v="6.9101907864122847E-2"/>
    <n v="2.1"/>
    <n v="4.0000000000000009"/>
    <x v="1"/>
    <n v="1.2E-2"/>
    <n v="774.13200000000006"/>
    <n v="2E-3"/>
    <n v="109.10000000000001"/>
    <s v="SiRE"/>
    <n v="659.12656302721894"/>
    <n v="38599769.784000002"/>
    <n v="109.85442717120317"/>
    <n v="109.85442717120317"/>
    <n v="99.724000000000004"/>
    <n v="1.7100000000000001E-3"/>
    <n v="2.2089256095859619E-6"/>
    <s v="Ages for 2019 Return year are from Fryer's sampling at BON [prelim, report not finalized, 14/09/2020]"/>
  </r>
  <r>
    <x v="0"/>
    <s v="2010s"/>
    <n v="2019"/>
    <n v="2014"/>
    <x v="40"/>
    <n v="63222"/>
    <n v="64511"/>
    <n v="64470"/>
    <n v="49862"/>
    <n v="0.85143950001707591"/>
    <n v="54550"/>
    <n v="54927.213585601581"/>
    <n v="49862"/>
    <n v="3216647482"/>
    <n v="5.1929128365705074E-3"/>
    <n v="0.85143950001707591"/>
    <n v="0"/>
    <n v="0.85500000000000009"/>
    <n v="6.9101907864122847E-2"/>
    <n v="2.2000000000000002"/>
    <n v="5.0000000000000018"/>
    <x v="1"/>
    <n v="4.8000000000000001E-2"/>
    <n v="3096.5280000000002"/>
    <n v="4.0000000000000001E-3"/>
    <n v="218.20000000000002"/>
    <s v="SiRE"/>
    <n v="2636.5062521088757"/>
    <n v="154399079.13600001"/>
    <n v="219.70885434240634"/>
    <n v="219.70885434240634"/>
    <n v="199.44800000000001"/>
    <n v="3.4200000000000003E-3"/>
    <n v="1.104462804792981E-6"/>
    <s v="Ages for 2019 now from deadpitch [11/3/2020]"/>
  </r>
  <r>
    <x v="0"/>
    <s v="2010s"/>
    <n v="2019"/>
    <n v="2013"/>
    <x v="39"/>
    <n v="63222"/>
    <n v="64511"/>
    <n v="64470"/>
    <n v="49862"/>
    <n v="0.85143950001707591"/>
    <n v="54550"/>
    <n v="54927.213585601581"/>
    <n v="49862"/>
    <n v="3216647482"/>
    <n v="5.1929128365705074E-3"/>
    <n v="0.85143950001707591"/>
    <n v="0"/>
    <n v="0.85500000000000009"/>
    <n v="6.9101907864122847E-2"/>
    <n v="2.2999999999999998"/>
    <n v="5.9999999999999982"/>
    <x v="1"/>
    <n v="1E-3"/>
    <n v="64.510999999999996"/>
    <n v="0"/>
    <n v="0"/>
    <s v="SiRE"/>
    <n v="54.927213585601585"/>
    <n v="3216647.4819999998"/>
    <s v=""/>
    <n v="0"/>
    <n v="0"/>
    <n v="0"/>
    <n v="0"/>
    <m/>
  </r>
  <r>
    <x v="0"/>
    <s v="2010s"/>
    <n v="2020"/>
    <n v="2017"/>
    <x v="42"/>
    <n v="345018"/>
    <n v="364015"/>
    <n v="360736"/>
    <n v="226107"/>
    <n v="0.80625802310654682"/>
    <n v="308775"/>
    <n v="293490.01428112964"/>
    <n v="226107"/>
    <n v="82306339605"/>
    <n v="2.0603546557147372E-3"/>
    <n v="0.80625802310654682"/>
    <n v="0"/>
    <n v="0.80700000000000005"/>
    <n v="0.17821343032023418"/>
    <n v="1.1000000000000001"/>
    <n v="3.0000000000000009"/>
    <x v="0"/>
    <n v="8.9999999999999993E-3"/>
    <n v="3276.1349999999998"/>
    <n v="1.0999999999999999E-2"/>
    <n v="3396.5249999999996"/>
    <s v="SiRE"/>
    <n v="2641.4101285301667"/>
    <n v="740757056.44499993"/>
    <n v="3228.3901570924259"/>
    <n v="3228.3901570924259"/>
    <n v="2487.1769999999997"/>
    <n v="8.8769999999999995E-3"/>
    <n v="2.7095953005599588E-6"/>
    <s v="Deadpitch age comp from ONA to AO [2024-03-23]"/>
  </r>
  <r>
    <x v="0"/>
    <s v="2010s"/>
    <n v="2020"/>
    <n v="2016"/>
    <x v="41"/>
    <n v="345018"/>
    <n v="364015"/>
    <n v="360736"/>
    <n v="226107"/>
    <n v="0.80625802310654682"/>
    <n v="308775"/>
    <n v="293490.01428112964"/>
    <n v="226107"/>
    <n v="82306339605"/>
    <n v="2.0603546557147372E-3"/>
    <n v="0.80625802310654682"/>
    <n v="0"/>
    <n v="0.80700000000000005"/>
    <n v="0.17821343032023418"/>
    <n v="1.2"/>
    <n v="3.9999999999999996"/>
    <x v="0"/>
    <n v="0.98599999999999999"/>
    <n v="358918.79"/>
    <n v="0.97099999999999997"/>
    <n v="299820.52499999997"/>
    <s v="SiRE"/>
    <n v="289381.15408119385"/>
    <n v="81154050850.529999"/>
    <n v="284978.80386697687"/>
    <n v="284978.80386697687"/>
    <n v="219549.897"/>
    <n v="0.78359699999999999"/>
    <n v="2.1832153173145382E-6"/>
    <n v="275.5298105584082"/>
  </r>
  <r>
    <x v="0"/>
    <s v="2010s"/>
    <n v="2020"/>
    <n v="2015"/>
    <x v="40"/>
    <n v="345018"/>
    <n v="364015"/>
    <n v="360736"/>
    <n v="226107"/>
    <n v="0.80625802310654682"/>
    <n v="308775"/>
    <n v="293490.01428112964"/>
    <n v="226107"/>
    <n v="82306339605"/>
    <n v="2.0603546557147372E-3"/>
    <n v="0.80625802310654682"/>
    <n v="0"/>
    <n v="0.80700000000000005"/>
    <n v="0.17821343032023418"/>
    <n v="1.3"/>
    <n v="5"/>
    <x v="0"/>
    <n v="2E-3"/>
    <n v="728.03"/>
    <n v="1.7999999999999999E-2"/>
    <n v="5557.95"/>
    <s v="SiRE"/>
    <n v="586.98002856225924"/>
    <n v="164612679.21000001"/>
    <n v="5282.8202570603335"/>
    <n v="5282.8202570603335"/>
    <n v="4069.9259999999995"/>
    <n v="1.4525999999999999E-2"/>
    <n v="1.9952474485941512E-5"/>
    <n v="271396.8634000321"/>
  </r>
  <r>
    <x v="0"/>
    <s v="2010s"/>
    <n v="2020"/>
    <n v="2016"/>
    <x v="42"/>
    <n v="345018"/>
    <n v="364015"/>
    <n v="360736"/>
    <n v="226107"/>
    <n v="0.80625802310654682"/>
    <n v="308775"/>
    <n v="293490.01428112964"/>
    <n v="226107"/>
    <n v="82306339605"/>
    <n v="2.0603546557147372E-3"/>
    <n v="0.80625802310654682"/>
    <n v="0"/>
    <n v="0.80700000000000005"/>
    <n v="0.17821343032023418"/>
    <n v="2.1"/>
    <n v="4.0000000000000009"/>
    <x v="1"/>
    <n v="1E-3"/>
    <n v="364.01499999999999"/>
    <m/>
    <n v="0"/>
    <s v="SiRE"/>
    <n v="293.49001428112962"/>
    <n v="82306339.605000004"/>
    <s v=""/>
    <n v="293.49001428112962"/>
    <n v="0"/>
    <n v="0"/>
    <n v="0"/>
    <n v="0"/>
  </r>
  <r>
    <x v="0"/>
    <s v="2010s"/>
    <n v="2020"/>
    <n v="2015"/>
    <x v="41"/>
    <n v="345018"/>
    <n v="364015"/>
    <n v="360736"/>
    <n v="226107"/>
    <n v="0.80625802310654682"/>
    <n v="308775"/>
    <n v="293490.01428112964"/>
    <n v="226107"/>
    <n v="82306339605"/>
    <n v="2.0603546557147372E-3"/>
    <n v="0.80625802310654682"/>
    <n v="0"/>
    <n v="0.80700000000000005"/>
    <n v="0.17821343032023418"/>
    <n v="2.2000000000000002"/>
    <n v="5.0000000000000018"/>
    <x v="1"/>
    <n v="2E-3"/>
    <n v="728.03"/>
    <m/>
    <n v="0"/>
    <s v="SiRE"/>
    <n v="586.98002856225924"/>
    <n v="164612679.21000001"/>
    <s v=""/>
    <n v="586.98002856225924"/>
    <n v="0"/>
    <n v="0"/>
    <n v="0"/>
    <n v="275.5298105584082"/>
  </r>
  <r>
    <x v="0"/>
    <s v="2010s"/>
    <n v="2020"/>
    <n v="2014"/>
    <x v="40"/>
    <n v="345018"/>
    <n v="364015"/>
    <n v="360736"/>
    <n v="226107"/>
    <n v="0.80625802310654682"/>
    <n v="308775"/>
    <n v="293490.01428112964"/>
    <n v="226107"/>
    <n v="82306339605"/>
    <n v="2.0603546557147372E-3"/>
    <n v="0.80625802310654682"/>
    <n v="0"/>
    <n v="0.80700000000000005"/>
    <n v="0.17821343032023418"/>
    <n v="2.2999999999999998"/>
    <n v="5.9999999999999982"/>
    <x v="1"/>
    <n v="0"/>
    <n v="0"/>
    <m/>
    <n v="0"/>
    <s v="SiRE"/>
    <n v="0"/>
    <n v="0"/>
    <s v=""/>
    <n v="0"/>
    <n v="0"/>
    <n v="0"/>
    <n v="0"/>
    <n v="551.0596211168164"/>
  </r>
  <r>
    <x v="0"/>
    <s v="2020s"/>
    <n v="2021"/>
    <n v="2018"/>
    <x v="43"/>
    <n v="152309"/>
    <n v="159340"/>
    <n v="158783"/>
    <n v="76255"/>
    <n v="0.69723956952279942"/>
    <n v="114039"/>
    <n v="111098.15300776286"/>
    <n v="76255"/>
    <n v="12150471700"/>
    <n v="5.9746454123258443E-3"/>
    <n v="0.69723956952279942"/>
    <n v="0"/>
    <n v="0.69262486130169598"/>
    <n v="0.24521516787061587"/>
    <n v="1.1000000000000001"/>
    <n v="3.0000000000000009"/>
    <x v="0"/>
    <n v="0.253"/>
    <n v="40313.019999999997"/>
    <n v="0.17799999999999999"/>
    <n v="20298.941999999999"/>
    <s v="SiRE"/>
    <n v="28107.832710964001"/>
    <n v="3074069340.0999999"/>
    <n v="19775.471235381789"/>
    <n v="19775.471235381789"/>
    <n v="13573.39"/>
    <n v="0.12328722531170187"/>
    <n v="3.0582483106376522E-6"/>
    <s v="Deadpitch age comp from ONA to AO [2024-03-23]"/>
  </r>
  <r>
    <x v="0"/>
    <s v="2010s"/>
    <n v="2021"/>
    <n v="2017"/>
    <x v="42"/>
    <n v="152309"/>
    <n v="159340"/>
    <n v="158783"/>
    <n v="76255"/>
    <n v="0.69723956952279942"/>
    <n v="114039"/>
    <n v="111098.15300776286"/>
    <n v="76255"/>
    <n v="12150471700"/>
    <n v="5.9746454123258443E-3"/>
    <n v="0.69723956952279942"/>
    <n v="0"/>
    <n v="0.69262486130169598"/>
    <n v="0.24521516787061587"/>
    <n v="1.2"/>
    <n v="3.9999999999999996"/>
    <x v="0"/>
    <n v="0.59799999999999998"/>
    <n v="95285.319999999992"/>
    <n v="0.76500000000000001"/>
    <n v="87239.835000000006"/>
    <s v="SiRE"/>
    <n v="66436.695498642192"/>
    <n v="7265982076.5999994"/>
    <n v="84990.087050938586"/>
    <n v="84990.087050938586"/>
    <n v="58335.075000000004"/>
    <n v="0.52985801889579742"/>
    <n v="5.5607518439965089E-6"/>
    <m/>
  </r>
  <r>
    <x v="0"/>
    <s v="2010s"/>
    <n v="2021"/>
    <n v="2016"/>
    <x v="41"/>
    <n v="152309"/>
    <n v="159340"/>
    <n v="158783"/>
    <n v="76255"/>
    <n v="0.69723956952279942"/>
    <n v="114039"/>
    <n v="111098.15300776286"/>
    <n v="76255"/>
    <n v="12150471700"/>
    <n v="5.9746454123258443E-3"/>
    <n v="0.69723956952279942"/>
    <n v="0"/>
    <n v="0.69262486130169598"/>
    <n v="0.24521516787061587"/>
    <n v="1.3"/>
    <n v="5"/>
    <x v="0"/>
    <n v="0.114"/>
    <n v="18164.760000000002"/>
    <n v="5.7000000000000002E-2"/>
    <n v="6500.223"/>
    <s v="SiRE"/>
    <n v="12665.189442884966"/>
    <n v="1385153773.8"/>
    <n v="6332.5947214424832"/>
    <n v="6332.5947214424832"/>
    <n v="4346.5349999999999"/>
    <n v="3.9479617094196673E-2"/>
    <n v="2.1734180409868705E-6"/>
    <m/>
  </r>
  <r>
    <x v="0"/>
    <s v="2020s"/>
    <n v="2021"/>
    <n v="2017"/>
    <x v="43"/>
    <n v="152309"/>
    <n v="159340"/>
    <n v="158783"/>
    <n v="76255"/>
    <n v="0.69723956952279942"/>
    <n v="114039"/>
    <n v="111098.15300776286"/>
    <n v="76255"/>
    <n v="12150471700"/>
    <n v="5.9746454123258443E-3"/>
    <n v="0.69723956952279942"/>
    <n v="0"/>
    <n v="0.69262486130169598"/>
    <n v="0.24521516787061587"/>
    <n v="2.1"/>
    <n v="4.0000000000000009"/>
    <x v="1"/>
    <n v="0.03"/>
    <n v="4780.2"/>
    <m/>
    <n v="0"/>
    <s v="SiRE"/>
    <n v="3332.9445902328857"/>
    <n v="364514151"/>
    <s v=""/>
    <n v="3332.9445902328857"/>
    <n v="0"/>
    <n v="0"/>
    <n v="0"/>
    <m/>
  </r>
  <r>
    <x v="0"/>
    <s v="2010s"/>
    <n v="2021"/>
    <n v="2016"/>
    <x v="42"/>
    <n v="152309"/>
    <n v="159340"/>
    <n v="158783"/>
    <n v="76255"/>
    <n v="0.69723956952279942"/>
    <n v="114039"/>
    <n v="111098.15300776286"/>
    <n v="76255"/>
    <n v="12150471700"/>
    <n v="5.9746454123258443E-3"/>
    <n v="0.69723956952279942"/>
    <n v="0"/>
    <n v="0.69262486130169598"/>
    <n v="0.24521516787061587"/>
    <n v="2.2000000000000002"/>
    <n v="5.0000000000000018"/>
    <x v="1"/>
    <n v="5.0000000000000001E-3"/>
    <n v="796.7"/>
    <m/>
    <n v="0"/>
    <s v="SiRE"/>
    <n v="555.49076503881429"/>
    <n v="60752358.5"/>
    <s v=""/>
    <n v="555.49076503881429"/>
    <n v="0"/>
    <n v="0"/>
    <n v="0"/>
    <m/>
  </r>
  <r>
    <x v="0"/>
    <s v="2010s"/>
    <n v="2021"/>
    <n v="2015"/>
    <x v="41"/>
    <n v="152309"/>
    <n v="159340"/>
    <n v="158783"/>
    <n v="76255"/>
    <n v="0.69723956952279942"/>
    <n v="114039"/>
    <n v="111098.15300776286"/>
    <n v="76255"/>
    <n v="12150471700"/>
    <n v="5.9746454123258443E-3"/>
    <n v="0.69723956952279942"/>
    <n v="0"/>
    <n v="0.69262486130169598"/>
    <n v="0.24521516787061587"/>
    <n v="2.2999999999999998"/>
    <n v="5.9999999999999982"/>
    <x v="1"/>
    <n v="0"/>
    <n v="0"/>
    <m/>
    <n v="0"/>
    <s v="SiRE"/>
    <n v="0"/>
    <n v="0"/>
    <s v=""/>
    <n v="0"/>
    <n v="0"/>
    <n v="0"/>
    <n v="0"/>
    <m/>
  </r>
  <r>
    <x v="0"/>
    <s v="2020s"/>
    <n v="2022"/>
    <n v="2019"/>
    <x v="44"/>
    <n v="663253"/>
    <n v="704203"/>
    <n v="702522"/>
    <n v="478418"/>
    <n v="0.72494935091895696"/>
    <n v="582555"/>
    <n v="510511.50776518224"/>
    <n v="478418"/>
    <n v="336903390854"/>
    <n v="3.3072849732250502E-3"/>
    <n v="0.72494935091895696"/>
    <n v="0"/>
    <n v="0"/>
    <n v="1.671122043153097E-2"/>
    <n v="1.1000000000000001"/>
    <n v="3.0000000000000009"/>
    <x v="0"/>
    <n v="0.02"/>
    <n v="14084.06"/>
    <n v="1.9E-2"/>
    <n v="11068.545"/>
    <s v="SiRE"/>
    <m/>
    <m/>
    <m/>
    <m/>
    <m/>
    <m/>
    <m/>
    <s v="Deadpitch age comp from ONA to AO [2024-03-23]"/>
  </r>
  <r>
    <x v="0"/>
    <s v="2020s"/>
    <n v="2022"/>
    <n v="2018"/>
    <x v="43"/>
    <n v="663253"/>
    <n v="704203"/>
    <n v="702522"/>
    <n v="478418"/>
    <n v="0.72494935091895696"/>
    <n v="582555"/>
    <n v="510511.50776518224"/>
    <n v="478418"/>
    <n v="336903390854"/>
    <n v="3.3072849732250502E-3"/>
    <n v="0.72494935091895696"/>
    <n v="0"/>
    <n v="0"/>
    <n v="1.671122043153097E-2"/>
    <n v="1.2"/>
    <n v="3.9999999999999996"/>
    <x v="0"/>
    <n v="0.94399999999999995"/>
    <n v="664767.63199999998"/>
    <n v="0.86099999999999999"/>
    <n v="501579.85499999998"/>
    <s v="SiRE"/>
    <m/>
    <m/>
    <m/>
    <m/>
    <m/>
    <m/>
    <m/>
    <m/>
  </r>
  <r>
    <x v="0"/>
    <s v="2010s"/>
    <n v="2022"/>
    <n v="2017"/>
    <x v="42"/>
    <n v="663253"/>
    <n v="704203"/>
    <n v="702522"/>
    <n v="478418"/>
    <n v="0.72494935091895696"/>
    <n v="582555"/>
    <n v="510511.50776518224"/>
    <n v="478418"/>
    <n v="336903390854"/>
    <n v="3.3072849732250502E-3"/>
    <n v="0.72494935091895696"/>
    <n v="0"/>
    <n v="0"/>
    <n v="1.671122043153097E-2"/>
    <n v="1.3"/>
    <n v="5"/>
    <x v="0"/>
    <n v="2.3E-2"/>
    <n v="16196.669"/>
    <n v="0.12"/>
    <n v="69906.599999999991"/>
    <s v="SiRE"/>
    <m/>
    <m/>
    <m/>
    <m/>
    <m/>
    <m/>
    <m/>
    <m/>
  </r>
  <r>
    <x v="0"/>
    <s v="2020s"/>
    <n v="2022"/>
    <n v="2018"/>
    <x v="44"/>
    <n v="663253"/>
    <n v="704203"/>
    <n v="702522"/>
    <n v="478418"/>
    <n v="0.72494935091895696"/>
    <n v="582555"/>
    <n v="510511.50776518224"/>
    <n v="478418"/>
    <n v="336903390854"/>
    <n v="3.3072849732250502E-3"/>
    <n v="0.72494935091895696"/>
    <n v="0"/>
    <n v="0"/>
    <n v="1.671122043153097E-2"/>
    <n v="2.1"/>
    <n v="4.0000000000000009"/>
    <x v="1"/>
    <n v="8.0000000000000002E-3"/>
    <n v="5633.6239999999998"/>
    <m/>
    <n v="0"/>
    <s v="SiRE"/>
    <m/>
    <m/>
    <m/>
    <m/>
    <m/>
    <m/>
    <m/>
    <m/>
  </r>
  <r>
    <x v="0"/>
    <s v="2020s"/>
    <n v="2022"/>
    <n v="2017"/>
    <x v="43"/>
    <n v="663253"/>
    <n v="704203"/>
    <n v="702522"/>
    <n v="478418"/>
    <n v="0.72494935091895696"/>
    <n v="582555"/>
    <n v="510511.50776518224"/>
    <n v="478418"/>
    <n v="336903390854"/>
    <n v="3.3072849732250502E-3"/>
    <n v="0.72494935091895696"/>
    <n v="0"/>
    <n v="0"/>
    <n v="1.671122043153097E-2"/>
    <n v="2.2000000000000002"/>
    <n v="5.0000000000000018"/>
    <x v="1"/>
    <n v="4.0000000000000001E-3"/>
    <n v="2816.8119999999999"/>
    <m/>
    <n v="0"/>
    <s v="SiRE"/>
    <m/>
    <m/>
    <m/>
    <m/>
    <m/>
    <m/>
    <m/>
    <m/>
  </r>
  <r>
    <x v="0"/>
    <s v="2010s"/>
    <n v="2022"/>
    <n v="2016"/>
    <x v="42"/>
    <n v="663253"/>
    <n v="704203"/>
    <n v="702522"/>
    <n v="478418"/>
    <n v="0.72494935091895696"/>
    <n v="582555"/>
    <n v="510511.50776518224"/>
    <n v="478418"/>
    <n v="336903390854"/>
    <n v="3.3072849732250502E-3"/>
    <n v="0.72494935091895696"/>
    <n v="0"/>
    <n v="0"/>
    <n v="1.671122043153097E-2"/>
    <n v="2.2999999999999998"/>
    <n v="5.9999999999999982"/>
    <x v="1"/>
    <n v="0"/>
    <n v="0"/>
    <m/>
    <n v="0"/>
    <s v="SiRE"/>
    <m/>
    <m/>
    <m/>
    <m/>
    <m/>
    <m/>
    <m/>
    <m/>
  </r>
  <r>
    <x v="0"/>
    <s v="2020s"/>
    <n v="2023"/>
    <n v="2020"/>
    <x v="45"/>
    <n v="327600"/>
    <n v="347145"/>
    <n v="345705"/>
    <n v="136956"/>
    <n v="0.55275010897115084"/>
    <n v="207088"/>
    <m/>
    <m/>
    <m/>
    <m/>
    <m/>
    <m/>
    <m/>
    <m/>
    <n v="1.1000000000000001"/>
    <n v="3.0000000000000009"/>
    <x v="0"/>
    <n v="0.02"/>
    <m/>
    <n v="8.8999999999999996E-2"/>
    <n v="18430.831999999999"/>
    <s v="SiRE"/>
    <m/>
    <m/>
    <m/>
    <m/>
    <m/>
    <m/>
    <m/>
    <s v="Deadpitch age comp from ONA to AO [2024-03-23]"/>
  </r>
  <r>
    <x v="0"/>
    <s v="2020s"/>
    <n v="2023"/>
    <n v="2019"/>
    <x v="44"/>
    <n v="327600"/>
    <n v="347145"/>
    <n v="345705"/>
    <n v="136956"/>
    <n v="0.55275010897115084"/>
    <n v="207088"/>
    <m/>
    <m/>
    <m/>
    <m/>
    <m/>
    <m/>
    <m/>
    <m/>
    <n v="1.2"/>
    <n v="3.9999999999999996"/>
    <x v="0"/>
    <n v="0.94399999999999995"/>
    <m/>
    <n v="0.81200000000000006"/>
    <n v="168155.45600000001"/>
    <s v="SiRE"/>
    <m/>
    <m/>
    <m/>
    <m/>
    <m/>
    <m/>
    <m/>
    <m/>
  </r>
  <r>
    <x v="0"/>
    <s v="2020s"/>
    <n v="2023"/>
    <n v="2018"/>
    <x v="43"/>
    <n v="327600"/>
    <n v="347145"/>
    <n v="345705"/>
    <n v="136956"/>
    <n v="0.55275010897115084"/>
    <n v="207088"/>
    <m/>
    <m/>
    <m/>
    <m/>
    <m/>
    <m/>
    <m/>
    <m/>
    <n v="1.3"/>
    <n v="5"/>
    <x v="0"/>
    <n v="2.3E-2"/>
    <m/>
    <n v="9.6000000000000002E-2"/>
    <n v="19880.448"/>
    <s v="SiRE"/>
    <m/>
    <m/>
    <m/>
    <m/>
    <m/>
    <m/>
    <m/>
    <m/>
  </r>
  <r>
    <x v="0"/>
    <s v="2020s"/>
    <n v="2023"/>
    <n v="2019"/>
    <x v="45"/>
    <n v="327600"/>
    <n v="347145"/>
    <n v="345705"/>
    <n v="136956"/>
    <n v="0.55275010897115084"/>
    <n v="207088"/>
    <m/>
    <m/>
    <m/>
    <m/>
    <m/>
    <m/>
    <m/>
    <m/>
    <n v="2.1"/>
    <n v="4.0000000000000009"/>
    <x v="1"/>
    <n v="8.0000000000000002E-3"/>
    <m/>
    <n v="3.0000000000000001E-3"/>
    <n v="621.26400000000001"/>
    <s v="SiRE"/>
    <m/>
    <m/>
    <m/>
    <m/>
    <m/>
    <m/>
    <m/>
    <m/>
  </r>
  <r>
    <x v="0"/>
    <s v="2020s"/>
    <n v="2023"/>
    <n v="2018"/>
    <x v="44"/>
    <n v="327600"/>
    <n v="347145"/>
    <n v="345705"/>
    <n v="136956"/>
    <n v="0.55275010897115084"/>
    <n v="207088"/>
    <m/>
    <m/>
    <m/>
    <m/>
    <m/>
    <m/>
    <m/>
    <m/>
    <n v="2.2000000000000002"/>
    <n v="5.0000000000000018"/>
    <x v="1"/>
    <n v="4.0000000000000001E-3"/>
    <m/>
    <m/>
    <n v="0"/>
    <s v="SiRE"/>
    <m/>
    <m/>
    <m/>
    <m/>
    <m/>
    <m/>
    <m/>
    <m/>
  </r>
  <r>
    <x v="0"/>
    <s v="2020s"/>
    <n v="2023"/>
    <n v="2017"/>
    <x v="43"/>
    <n v="327600"/>
    <n v="347145"/>
    <n v="345705"/>
    <n v="136956"/>
    <n v="0.55275010897115084"/>
    <n v="207088"/>
    <m/>
    <m/>
    <m/>
    <m/>
    <m/>
    <m/>
    <m/>
    <m/>
    <n v="2.2999999999999998"/>
    <n v="5.9999999999999982"/>
    <x v="1"/>
    <n v="0"/>
    <m/>
    <m/>
    <n v="0"/>
    <s v="SiRE"/>
    <m/>
    <m/>
    <m/>
    <m/>
    <m/>
    <m/>
    <m/>
    <m/>
  </r>
  <r>
    <x v="1"/>
    <m/>
    <m/>
    <m/>
    <x v="46"/>
    <m/>
    <m/>
    <m/>
    <m/>
    <m/>
    <m/>
    <m/>
    <m/>
    <m/>
    <m/>
    <m/>
    <m/>
    <m/>
    <m/>
    <m/>
    <m/>
    <x v="4"/>
    <m/>
    <m/>
    <m/>
    <m/>
    <m/>
    <m/>
    <m/>
    <m/>
    <m/>
    <m/>
    <m/>
    <m/>
    <m/>
  </r>
  <r>
    <x v="1"/>
    <m/>
    <m/>
    <m/>
    <x v="46"/>
    <m/>
    <m/>
    <m/>
    <m/>
    <m/>
    <m/>
    <m/>
    <m/>
    <m/>
    <m/>
    <m/>
    <m/>
    <m/>
    <m/>
    <m/>
    <m/>
    <x v="4"/>
    <m/>
    <m/>
    <m/>
    <m/>
    <m/>
    <m/>
    <m/>
    <m/>
    <m/>
    <m/>
    <m/>
    <m/>
    <m/>
  </r>
  <r>
    <x v="1"/>
    <m/>
    <m/>
    <m/>
    <x v="46"/>
    <m/>
    <m/>
    <m/>
    <m/>
    <m/>
    <m/>
    <m/>
    <m/>
    <m/>
    <m/>
    <m/>
    <m/>
    <m/>
    <m/>
    <m/>
    <m/>
    <x v="4"/>
    <m/>
    <m/>
    <m/>
    <m/>
    <m/>
    <m/>
    <m/>
    <m/>
    <m/>
    <m/>
    <m/>
    <m/>
    <m/>
  </r>
  <r>
    <x v="1"/>
    <m/>
    <m/>
    <m/>
    <x v="46"/>
    <m/>
    <m/>
    <m/>
    <m/>
    <m/>
    <m/>
    <m/>
    <m/>
    <m/>
    <m/>
    <m/>
    <m/>
    <m/>
    <m/>
    <m/>
    <m/>
    <x v="4"/>
    <m/>
    <m/>
    <m/>
    <m/>
    <m/>
    <m/>
    <m/>
    <m/>
    <m/>
    <m/>
    <m/>
    <m/>
    <m/>
  </r>
  <r>
    <x v="1"/>
    <m/>
    <m/>
    <m/>
    <x v="46"/>
    <m/>
    <m/>
    <m/>
    <m/>
    <m/>
    <m/>
    <m/>
    <m/>
    <m/>
    <m/>
    <m/>
    <m/>
    <m/>
    <m/>
    <m/>
    <m/>
    <x v="4"/>
    <m/>
    <m/>
    <m/>
    <m/>
    <m/>
    <m/>
    <m/>
    <m/>
    <m/>
    <m/>
    <m/>
    <m/>
    <m/>
  </r>
  <r>
    <x v="1"/>
    <m/>
    <m/>
    <m/>
    <x v="46"/>
    <m/>
    <m/>
    <m/>
    <m/>
    <m/>
    <m/>
    <m/>
    <m/>
    <m/>
    <m/>
    <m/>
    <m/>
    <m/>
    <m/>
    <m/>
    <m/>
    <x v="4"/>
    <m/>
    <m/>
    <m/>
    <m/>
    <m/>
    <m/>
    <m/>
    <m/>
    <m/>
    <m/>
    <m/>
    <m/>
    <m/>
  </r>
  <r>
    <x v="1"/>
    <m/>
    <m/>
    <m/>
    <x v="46"/>
    <m/>
    <m/>
    <m/>
    <m/>
    <m/>
    <m/>
    <m/>
    <m/>
    <m/>
    <m/>
    <m/>
    <m/>
    <m/>
    <m/>
    <m/>
    <m/>
    <x v="4"/>
    <m/>
    <m/>
    <m/>
    <m/>
    <m/>
    <m/>
    <m/>
    <m/>
    <m/>
    <m/>
    <m/>
    <m/>
    <m/>
  </r>
  <r>
    <x v="1"/>
    <m/>
    <m/>
    <m/>
    <x v="46"/>
    <m/>
    <m/>
    <m/>
    <m/>
    <m/>
    <m/>
    <m/>
    <m/>
    <m/>
    <m/>
    <m/>
    <m/>
    <m/>
    <m/>
    <m/>
    <m/>
    <x v="4"/>
    <m/>
    <m/>
    <m/>
    <m/>
    <m/>
    <m/>
    <m/>
    <m/>
    <m/>
    <m/>
    <m/>
    <m/>
    <m/>
  </r>
  <r>
    <x v="1"/>
    <m/>
    <m/>
    <m/>
    <x v="46"/>
    <m/>
    <m/>
    <m/>
    <m/>
    <m/>
    <m/>
    <m/>
    <m/>
    <m/>
    <m/>
    <m/>
    <m/>
    <m/>
    <m/>
    <m/>
    <m/>
    <x v="4"/>
    <m/>
    <m/>
    <m/>
    <m/>
    <m/>
    <m/>
    <m/>
    <m/>
    <m/>
    <m/>
    <m/>
    <m/>
    <m/>
  </r>
  <r>
    <x v="1"/>
    <m/>
    <m/>
    <m/>
    <x v="46"/>
    <m/>
    <m/>
    <m/>
    <m/>
    <m/>
    <m/>
    <m/>
    <m/>
    <m/>
    <m/>
    <m/>
    <m/>
    <m/>
    <m/>
    <m/>
    <m/>
    <x v="4"/>
    <m/>
    <m/>
    <m/>
    <m/>
    <m/>
    <m/>
    <m/>
    <m/>
    <m/>
    <m/>
    <m/>
    <m/>
    <m/>
  </r>
  <r>
    <x v="1"/>
    <m/>
    <m/>
    <m/>
    <x v="46"/>
    <m/>
    <m/>
    <m/>
    <m/>
    <m/>
    <m/>
    <m/>
    <m/>
    <m/>
    <m/>
    <m/>
    <m/>
    <m/>
    <m/>
    <m/>
    <m/>
    <x v="4"/>
    <m/>
    <m/>
    <m/>
    <m/>
    <m/>
    <m/>
    <m/>
    <m/>
    <m/>
    <m/>
    <m/>
    <m/>
    <m/>
  </r>
  <r>
    <x v="1"/>
    <m/>
    <m/>
    <m/>
    <x v="46"/>
    <m/>
    <m/>
    <m/>
    <m/>
    <m/>
    <m/>
    <m/>
    <m/>
    <m/>
    <m/>
    <m/>
    <m/>
    <m/>
    <m/>
    <m/>
    <m/>
    <x v="4"/>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612D4FE-A342-47B2-BF0D-A67AF22425F5}" name="PivotTable8" cacheId="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rowHeaderCaption="Smolt Year" colHeaderCaption="FW Age">
  <location ref="A3:K51" firstHeaderRow="1" firstDataRow="3" firstDataCol="1" rowPageCount="1" colPageCount="1"/>
  <pivotFields count="35">
    <pivotField axis="axisPage" showAll="0">
      <items count="3">
        <item x="0"/>
        <item x="1"/>
        <item t="default"/>
      </items>
    </pivotField>
    <pivotField showAll="0"/>
    <pivotField showAll="0"/>
    <pivotField showAll="0"/>
    <pivotField axis="axisRow" showAll="0">
      <items count="48">
        <item x="2"/>
        <item x="1"/>
        <item x="0"/>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 numFmtId="3" showAll="0"/>
    <pivotField numFmtId="3" showAll="0"/>
    <pivotField numFmtId="3" showAll="0"/>
    <pivotField numFmtId="3" showAll="0"/>
    <pivotField numFmtId="9" showAll="0"/>
    <pivotField numFmtId="3" showAll="0"/>
    <pivotField numFmtId="3" showAll="0"/>
    <pivotField showAll="0"/>
    <pivotField showAll="0"/>
    <pivotField numFmtId="9" showAll="0"/>
    <pivotField numFmtId="3" showAll="0"/>
    <pivotField numFmtId="9" showAll="0"/>
    <pivotField numFmtId="3" showAll="0"/>
    <pivotField numFmtId="9" showAll="0"/>
    <pivotField showAll="0"/>
    <pivotField showAll="0"/>
    <pivotField axis="axisCol" numFmtId="3" showAll="0">
      <items count="6">
        <item x="0"/>
        <item x="1"/>
        <item x="2"/>
        <item x="3"/>
        <item x="4"/>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s>
  <rowFields count="1">
    <field x="4"/>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rowItems>
  <colFields count="2">
    <field x="21"/>
    <field x="-2"/>
  </colFields>
  <colItems count="10">
    <i>
      <x/>
      <x/>
    </i>
    <i r="1" i="1">
      <x v="1"/>
    </i>
    <i>
      <x v="1"/>
      <x/>
    </i>
    <i r="1" i="1">
      <x v="1"/>
    </i>
    <i>
      <x v="2"/>
      <x/>
    </i>
    <i r="1" i="1">
      <x v="1"/>
    </i>
    <i>
      <x v="3"/>
      <x/>
    </i>
    <i r="1" i="1">
      <x v="1"/>
    </i>
    <i t="grand">
      <x/>
    </i>
    <i t="grand" i="1">
      <x/>
    </i>
  </colItems>
  <pageFields count="1">
    <pageField fld="0" item="0" hier="-1"/>
  </pageFields>
  <dataFields count="2">
    <dataField name="At Age" fld="25" baseField="4" baseItem="6" numFmtId="3"/>
    <dataField name="%" fld="25" showDataAs="percentOfRow" baseField="2" baseItem="10" numFmtId="177"/>
  </dataFields>
  <formats count="24">
    <format dxfId="737">
      <pivotArea field="21" dataOnly="0" labelOnly="1" grandCol="1" outline="0" axis="axisCol" fieldPosition="0">
        <references count="1">
          <reference field="4294967294" count="1" selected="0">
            <x v="0"/>
          </reference>
        </references>
      </pivotArea>
    </format>
    <format dxfId="736">
      <pivotArea field="21" dataOnly="0" labelOnly="1" grandCol="1" outline="0" axis="axisCol" fieldPosition="0">
        <references count="1">
          <reference field="4294967294" count="1" selected="0">
            <x v="1"/>
          </reference>
        </references>
      </pivotArea>
    </format>
    <format dxfId="735">
      <pivotArea dataOnly="0" labelOnly="1" fieldPosition="0">
        <references count="1">
          <reference field="21" count="0"/>
        </references>
      </pivotArea>
    </format>
    <format dxfId="734">
      <pivotArea dataOnly="0" labelOnly="1" outline="0" fieldPosition="0">
        <references count="2">
          <reference field="4294967294" count="2">
            <x v="0"/>
            <x v="1"/>
          </reference>
          <reference field="21" count="1" selected="0">
            <x v="0"/>
          </reference>
        </references>
      </pivotArea>
    </format>
    <format dxfId="733">
      <pivotArea dataOnly="0" labelOnly="1" outline="0" fieldPosition="0">
        <references count="2">
          <reference field="4294967294" count="2">
            <x v="0"/>
            <x v="1"/>
          </reference>
          <reference field="21" count="1" selected="0">
            <x v="1"/>
          </reference>
        </references>
      </pivotArea>
    </format>
    <format dxfId="732">
      <pivotArea dataOnly="0" labelOnly="1" outline="0" fieldPosition="0">
        <references count="2">
          <reference field="4294967294" count="2">
            <x v="0"/>
            <x v="1"/>
          </reference>
          <reference field="21" count="1" selected="0">
            <x v="2"/>
          </reference>
        </references>
      </pivotArea>
    </format>
    <format dxfId="731">
      <pivotArea dataOnly="0" labelOnly="1" outline="0" fieldPosition="0">
        <references count="2">
          <reference field="4294967294" count="2">
            <x v="0"/>
            <x v="1"/>
          </reference>
          <reference field="21" count="1" selected="0">
            <x v="3"/>
          </reference>
        </references>
      </pivotArea>
    </format>
    <format dxfId="730">
      <pivotArea outline="0" collapsedLevelsAreSubtotals="1" fieldPosition="0">
        <references count="2">
          <reference field="4294967294" count="2" selected="0">
            <x v="0"/>
            <x v="1"/>
          </reference>
          <reference field="21" count="4" selected="0">
            <x v="0"/>
            <x v="1"/>
            <x v="2"/>
            <x v="3"/>
          </reference>
        </references>
      </pivotArea>
    </format>
    <format dxfId="729">
      <pivotArea field="4" type="button" dataOnly="0" labelOnly="1" outline="0" axis="axisRow" fieldPosition="0"/>
    </format>
    <format dxfId="728">
      <pivotArea dataOnly="0" labelOnly="1" fieldPosition="0">
        <references count="1">
          <reference field="4" count="46">
            <x v="0"/>
            <x v="1"/>
            <x v="2"/>
            <x v="3"/>
            <x v="4"/>
            <x v="5"/>
            <x v="6"/>
            <x v="7"/>
            <x v="8"/>
            <x v="9"/>
            <x v="10"/>
            <x v="11"/>
            <x v="12"/>
            <x v="13"/>
            <x v="14"/>
            <x v="15"/>
            <x v="16"/>
            <x v="17"/>
            <x v="18"/>
            <x v="19"/>
            <x v="20"/>
            <x v="21"/>
            <x v="22"/>
            <x v="23"/>
            <x v="24"/>
            <x v="25"/>
            <x v="26"/>
            <x v="27"/>
            <x v="28"/>
            <x v="29"/>
            <x v="30"/>
            <x v="31"/>
            <x v="32"/>
            <x v="33"/>
            <x v="34"/>
            <x v="35"/>
            <x v="36"/>
            <x v="37"/>
            <x v="38"/>
            <x v="39"/>
            <x v="40"/>
            <x v="41"/>
            <x v="42"/>
            <x v="43"/>
            <x v="44"/>
            <x v="45"/>
          </reference>
        </references>
      </pivotArea>
    </format>
    <format dxfId="727">
      <pivotArea dataOnly="0" labelOnly="1" outline="0" fieldPosition="0">
        <references count="2">
          <reference field="4294967294" count="2">
            <x v="0"/>
            <x v="1"/>
          </reference>
          <reference field="21" count="1" selected="0">
            <x v="0"/>
          </reference>
        </references>
      </pivotArea>
    </format>
    <format dxfId="726">
      <pivotArea dataOnly="0" labelOnly="1" outline="0" fieldPosition="0">
        <references count="2">
          <reference field="4294967294" count="2">
            <x v="0"/>
            <x v="1"/>
          </reference>
          <reference field="21" count="1" selected="0">
            <x v="1"/>
          </reference>
        </references>
      </pivotArea>
    </format>
    <format dxfId="725">
      <pivotArea dataOnly="0" labelOnly="1" outline="0" fieldPosition="0">
        <references count="2">
          <reference field="4294967294" count="2">
            <x v="0"/>
            <x v="1"/>
          </reference>
          <reference field="21" count="1" selected="0">
            <x v="2"/>
          </reference>
        </references>
      </pivotArea>
    </format>
    <format dxfId="724">
      <pivotArea dataOnly="0" labelOnly="1" outline="0" fieldPosition="0">
        <references count="2">
          <reference field="4294967294" count="2">
            <x v="0"/>
            <x v="1"/>
          </reference>
          <reference field="21" count="1" selected="0">
            <x v="3"/>
          </reference>
        </references>
      </pivotArea>
    </format>
    <format dxfId="723">
      <pivotArea field="21" dataOnly="0" labelOnly="1" grandCol="1" outline="0" axis="axisCol" fieldPosition="0">
        <references count="1">
          <reference field="4294967294" count="1" selected="0">
            <x v="0"/>
          </reference>
        </references>
      </pivotArea>
    </format>
    <format dxfId="722">
      <pivotArea field="21" dataOnly="0" labelOnly="1" grandCol="1" outline="0" axis="axisCol" fieldPosition="0">
        <references count="1">
          <reference field="4294967294" count="1" selected="0">
            <x v="1"/>
          </reference>
        </references>
      </pivotArea>
    </format>
    <format dxfId="721">
      <pivotArea field="21" grandCol="1" outline="0" collapsedLevelsAreSubtotals="1" axis="axisCol" fieldPosition="0">
        <references count="1">
          <reference field="4294967294" count="2" selected="0">
            <x v="0"/>
            <x v="1"/>
          </reference>
        </references>
      </pivotArea>
    </format>
    <format dxfId="720">
      <pivotArea dataOnly="0" labelOnly="1" fieldPosition="0">
        <references count="1">
          <reference field="21" count="4">
            <x v="0"/>
            <x v="1"/>
            <x v="2"/>
            <x v="3"/>
          </reference>
        </references>
      </pivotArea>
    </format>
    <format dxfId="719">
      <pivotArea dataOnly="0" labelOnly="1" fieldPosition="0">
        <references count="1">
          <reference field="21" count="1">
            <x v="1"/>
          </reference>
        </references>
      </pivotArea>
    </format>
    <format dxfId="718">
      <pivotArea dataOnly="0" labelOnly="1" fieldPosition="0">
        <references count="1">
          <reference field="21" count="1">
            <x v="2"/>
          </reference>
        </references>
      </pivotArea>
    </format>
    <format dxfId="717">
      <pivotArea field="0" type="button" dataOnly="0" labelOnly="1" outline="0" axis="axisPage" fieldPosition="0"/>
    </format>
    <format dxfId="716">
      <pivotArea type="origin" dataOnly="0" labelOnly="1" outline="0" fieldPosition="0"/>
    </format>
    <format dxfId="715">
      <pivotArea field="4" type="button" dataOnly="0" labelOnly="1" outline="0" axis="axisRow" fieldPosition="0"/>
    </format>
    <format dxfId="714">
      <pivotArea dataOnly="0" labelOnly="1" fieldPosition="0">
        <references count="1">
          <reference field="4" count="46">
            <x v="0"/>
            <x v="1"/>
            <x v="2"/>
            <x v="3"/>
            <x v="4"/>
            <x v="5"/>
            <x v="6"/>
            <x v="7"/>
            <x v="8"/>
            <x v="9"/>
            <x v="10"/>
            <x v="11"/>
            <x v="12"/>
            <x v="13"/>
            <x v="14"/>
            <x v="15"/>
            <x v="16"/>
            <x v="17"/>
            <x v="18"/>
            <x v="19"/>
            <x v="20"/>
            <x v="21"/>
            <x v="22"/>
            <x v="23"/>
            <x v="24"/>
            <x v="25"/>
            <x v="26"/>
            <x v="27"/>
            <x v="28"/>
            <x v="29"/>
            <x v="30"/>
            <x v="31"/>
            <x v="32"/>
            <x v="33"/>
            <x v="34"/>
            <x v="35"/>
            <x v="36"/>
            <x v="37"/>
            <x v="38"/>
            <x v="39"/>
            <x v="40"/>
            <x v="41"/>
            <x v="42"/>
            <x v="43"/>
            <x v="44"/>
            <x v="45"/>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551878A-B2E5-43EE-95EE-61C40E12B70D}" name="PivotTable2" cacheId="3" applyNumberFormats="0" applyBorderFormats="0" applyFontFormats="0" applyPatternFormats="0" applyAlignmentFormats="0" applyWidthHeightFormats="1" dataCaption="Values" grandTotalCaption="Total" updatedVersion="8" minRefreshableVersion="3" itemPrintTitles="1" createdVersion="7" indent="0" compact="0" compactData="0" multipleFieldFilters="0" chartFormat="2">
  <location ref="A3:AB32" firstHeaderRow="1" firstDataRow="4" firstDataCol="1"/>
  <pivotFields count="16">
    <pivotField axis="axisCol" compact="0" outline="0" showAll="0">
      <items count="4">
        <item x="0"/>
        <item x="1"/>
        <item x="2"/>
        <item t="default"/>
      </items>
    </pivotField>
    <pivotField axis="axisCol" compact="0" outline="0" showAll="0">
      <items count="6">
        <item x="0"/>
        <item x="1"/>
        <item x="2"/>
        <item x="3"/>
        <item x="4"/>
        <item t="default"/>
      </items>
    </pivotField>
    <pivotField axis="axisRow" compact="0" outline="0" showAll="0" sortType="ascending">
      <items count="26">
        <item x="0"/>
        <item x="1"/>
        <item x="2"/>
        <item x="3"/>
        <item x="4"/>
        <item x="5"/>
        <item x="6"/>
        <item x="7"/>
        <item x="8"/>
        <item x="9"/>
        <item x="10"/>
        <item x="11"/>
        <item x="12"/>
        <item x="13"/>
        <item x="14"/>
        <item x="15"/>
        <item x="16"/>
        <item x="17"/>
        <item x="18"/>
        <item x="19"/>
        <item x="20"/>
        <item x="21"/>
        <item x="22"/>
        <item x="23"/>
        <item x="24"/>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dataField="1" compact="0" outline="0" showAll="0"/>
    <pivotField dataField="1" compact="0" outline="0" showAll="0"/>
    <pivotField compact="0" outline="0" showAll="0"/>
  </pivotFields>
  <rowFields count="1">
    <field x="2"/>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Fields count="3">
    <field x="0"/>
    <field x="1"/>
    <field x="-2"/>
  </colFields>
  <colItems count="27">
    <i>
      <x/>
      <x/>
      <x/>
    </i>
    <i r="2" i="1">
      <x v="1"/>
    </i>
    <i r="2" i="2">
      <x v="2"/>
    </i>
    <i r="1">
      <x v="1"/>
      <x/>
    </i>
    <i r="2" i="1">
      <x v="1"/>
    </i>
    <i r="2" i="2">
      <x v="2"/>
    </i>
    <i t="default">
      <x/>
    </i>
    <i t="default" i="1">
      <x/>
    </i>
    <i t="default" i="2">
      <x/>
    </i>
    <i>
      <x v="1"/>
      <x v="2"/>
      <x/>
    </i>
    <i r="2" i="1">
      <x v="1"/>
    </i>
    <i r="2" i="2">
      <x v="2"/>
    </i>
    <i r="1">
      <x v="3"/>
      <x/>
    </i>
    <i r="2" i="1">
      <x v="1"/>
    </i>
    <i r="2" i="2">
      <x v="2"/>
    </i>
    <i t="default">
      <x v="1"/>
    </i>
    <i t="default" i="1">
      <x v="1"/>
    </i>
    <i t="default" i="2">
      <x v="1"/>
    </i>
    <i>
      <x v="2"/>
      <x v="4"/>
      <x/>
    </i>
    <i r="2" i="1">
      <x v="1"/>
    </i>
    <i r="2" i="2">
      <x v="2"/>
    </i>
    <i t="default">
      <x v="2"/>
    </i>
    <i t="default" i="1">
      <x v="2"/>
    </i>
    <i t="default" i="2">
      <x v="2"/>
    </i>
    <i t="grand">
      <x/>
    </i>
    <i t="grand" i="1">
      <x/>
    </i>
    <i t="grand" i="2">
      <x/>
    </i>
  </colItems>
  <dataFields count="3">
    <dataField name="Sockeye (NO)" fld="14" baseField="2" baseItem="8" numFmtId="3"/>
    <dataField name="Sockeye (HO)" fld="13" baseField="2" baseItem="8"/>
    <dataField name="Total Sockeye" fld="12" baseField="2" baseItem="0"/>
  </dataFields>
  <formats count="230">
    <format dxfId="711">
      <pivotArea dataOnly="0" labelOnly="1" outline="0" fieldPosition="0">
        <references count="1">
          <reference field="0" count="1">
            <x v="0"/>
          </reference>
        </references>
      </pivotArea>
    </format>
    <format dxfId="710">
      <pivotArea dataOnly="0" labelOnly="1" outline="0" fieldPosition="0">
        <references count="1">
          <reference field="0" count="1">
            <x v="1"/>
          </reference>
        </references>
      </pivotArea>
    </format>
    <format dxfId="709">
      <pivotArea dataOnly="0" labelOnly="1" outline="0" fieldPosition="0">
        <references count="2">
          <reference field="4294967294" count="1">
            <x v="2"/>
          </reference>
          <reference field="0" count="1" selected="0">
            <x v="0"/>
          </reference>
        </references>
      </pivotArea>
    </format>
    <format dxfId="708">
      <pivotArea dataOnly="0" labelOnly="1" outline="0" fieldPosition="0">
        <references count="2">
          <reference field="4294967294" count="1">
            <x v="2"/>
          </reference>
          <reference field="0" count="1" selected="0">
            <x v="1"/>
          </reference>
        </references>
      </pivotArea>
    </format>
    <format dxfId="707">
      <pivotArea field="0" outline="0" axis="axisCol" fieldPosition="0">
        <references count="1">
          <reference field="4294967294" count="1" selected="0">
            <x v="2"/>
          </reference>
        </references>
      </pivotArea>
    </format>
    <format dxfId="706">
      <pivotArea field="0" outline="0" axis="axisCol" fieldPosition="0">
        <references count="1">
          <reference field="4294967294" count="1" selected="0">
            <x v="2"/>
          </reference>
        </references>
      </pivotArea>
    </format>
    <format dxfId="705">
      <pivotArea field="0" dataOnly="0" labelOnly="1" outline="0" axis="axisCol" fieldPosition="0">
        <references count="1">
          <reference field="4294967294" count="1" selected="0">
            <x v="2"/>
          </reference>
        </references>
      </pivotArea>
    </format>
    <format dxfId="704">
      <pivotArea dataOnly="0" labelOnly="1" outline="0" fieldPosition="0">
        <references count="2">
          <reference field="4294967294" count="1">
            <x v="2"/>
          </reference>
          <reference field="0" count="1" selected="0">
            <x v="0"/>
          </reference>
        </references>
      </pivotArea>
    </format>
    <format dxfId="703">
      <pivotArea dataOnly="0" labelOnly="1" outline="0" fieldPosition="0">
        <references count="2">
          <reference field="4294967294" count="1">
            <x v="2"/>
          </reference>
          <reference field="0" count="1" selected="0">
            <x v="1"/>
          </reference>
        </references>
      </pivotArea>
    </format>
    <format dxfId="702">
      <pivotArea dataOnly="0" labelOnly="1" outline="0" fieldPosition="0">
        <references count="1">
          <reference field="2" count="0"/>
        </references>
      </pivotArea>
    </format>
    <format dxfId="701">
      <pivotArea outline="0" collapsedLevelsAreSubtotals="1" fieldPosition="0"/>
    </format>
    <format dxfId="700">
      <pivotArea grandRow="1" outline="0" collapsedLevelsAreSubtotals="1" fieldPosition="0"/>
    </format>
    <format dxfId="699">
      <pivotArea dataOnly="0" labelOnly="1" grandRow="1" outline="0" fieldPosition="0"/>
    </format>
    <format dxfId="698">
      <pivotArea type="all" dataOnly="0" outline="0" fieldPosition="0"/>
    </format>
    <format dxfId="697">
      <pivotArea outline="0" collapsedLevelsAreSubtotals="1" fieldPosition="0"/>
    </format>
    <format dxfId="696">
      <pivotArea type="origin" dataOnly="0" labelOnly="1" outline="0" fieldPosition="0"/>
    </format>
    <format dxfId="695">
      <pivotArea field="0" type="button" dataOnly="0" labelOnly="1" outline="0" axis="axisCol" fieldPosition="0"/>
    </format>
    <format dxfId="694">
      <pivotArea field="2" type="button" dataOnly="0" labelOnly="1" outline="0" axis="axisRow" fieldPosition="0"/>
    </format>
    <format dxfId="693">
      <pivotArea dataOnly="0" labelOnly="1" grandRow="1" outline="0" fieldPosition="0"/>
    </format>
    <format dxfId="692">
      <pivotArea dataOnly="0" labelOnly="1" outline="0" fieldPosition="0">
        <references count="1">
          <reference field="0" count="0"/>
        </references>
      </pivotArea>
    </format>
    <format dxfId="691">
      <pivotArea field="0" dataOnly="0" labelOnly="1" outline="0" axis="axisCol" fieldPosition="0">
        <references count="1">
          <reference field="4294967294" count="1" selected="0">
            <x v="2"/>
          </reference>
        </references>
      </pivotArea>
    </format>
    <format dxfId="690">
      <pivotArea dataOnly="0" labelOnly="1" outline="0" fieldPosition="0">
        <references count="2">
          <reference field="4294967294" count="1">
            <x v="2"/>
          </reference>
          <reference field="0" count="1" selected="0">
            <x v="0"/>
          </reference>
        </references>
      </pivotArea>
    </format>
    <format dxfId="689">
      <pivotArea dataOnly="0" labelOnly="1" outline="0" fieldPosition="0">
        <references count="2">
          <reference field="4294967294" count="1">
            <x v="2"/>
          </reference>
          <reference field="0" count="1" selected="0">
            <x v="1"/>
          </reference>
        </references>
      </pivotArea>
    </format>
    <format dxfId="688">
      <pivotArea field="0" outline="0" axis="axisCol" fieldPosition="0">
        <references count="1">
          <reference field="4294967294" count="1" selected="0">
            <x v="2"/>
          </reference>
        </references>
      </pivotArea>
    </format>
    <format dxfId="687">
      <pivotArea field="0" type="button" dataOnly="0" labelOnly="1" outline="0" axis="axisCol" fieldPosition="0"/>
    </format>
    <format dxfId="686">
      <pivotArea dataOnly="0" labelOnly="1" outline="0" fieldPosition="0">
        <references count="1">
          <reference field="0" count="0"/>
        </references>
      </pivotArea>
    </format>
    <format dxfId="685">
      <pivotArea field="1" type="button" dataOnly="0" labelOnly="1" outline="0" axis="axisCol" fieldPosition="1"/>
    </format>
    <format dxfId="684">
      <pivotArea outline="0" fieldPosition="0">
        <references count="1">
          <reference field="0" count="1" selected="0" defaultSubtotal="1">
            <x v="0"/>
          </reference>
        </references>
      </pivotArea>
    </format>
    <format dxfId="683">
      <pivotArea dataOnly="0" labelOnly="1" outline="0" fieldPosition="0">
        <references count="2">
          <reference field="4294967294" count="1" selected="0">
            <x v="2"/>
          </reference>
          <reference field="0" count="1" defaultSubtotal="1">
            <x v="0"/>
          </reference>
        </references>
      </pivotArea>
    </format>
    <format dxfId="682">
      <pivotArea dataOnly="0" labelOnly="1" outline="0" fieldPosition="0">
        <references count="2">
          <reference field="0" count="1" selected="0">
            <x v="0"/>
          </reference>
          <reference field="1" count="2">
            <x v="0"/>
            <x v="1"/>
          </reference>
        </references>
      </pivotArea>
    </format>
    <format dxfId="681">
      <pivotArea dataOnly="0" labelOnly="1" outline="0" fieldPosition="0">
        <references count="3">
          <reference field="4294967294" count="1">
            <x v="2"/>
          </reference>
          <reference field="0" count="1" selected="0">
            <x v="0"/>
          </reference>
          <reference field="1" count="1" selected="0">
            <x v="0"/>
          </reference>
        </references>
      </pivotArea>
    </format>
    <format dxfId="680">
      <pivotArea dataOnly="0" labelOnly="1" outline="0" fieldPosition="0">
        <references count="3">
          <reference field="4294967294" count="1">
            <x v="2"/>
          </reference>
          <reference field="0" count="1" selected="0">
            <x v="0"/>
          </reference>
          <reference field="1" count="1" selected="0">
            <x v="1"/>
          </reference>
        </references>
      </pivotArea>
    </format>
    <format dxfId="679">
      <pivotArea outline="0" fieldPosition="0">
        <references count="2">
          <reference field="4294967294" count="1" selected="0">
            <x v="2"/>
          </reference>
          <reference field="0" count="1" selected="0" defaultSubtotal="1">
            <x v="0"/>
          </reference>
        </references>
      </pivotArea>
    </format>
    <format dxfId="678">
      <pivotArea dataOnly="0" labelOnly="1" outline="0" fieldPosition="0">
        <references count="2">
          <reference field="4294967294" count="1" selected="0">
            <x v="2"/>
          </reference>
          <reference field="0" count="1" defaultSubtotal="1">
            <x v="0"/>
          </reference>
        </references>
      </pivotArea>
    </format>
    <format dxfId="677">
      <pivotArea outline="0" fieldPosition="0">
        <references count="1">
          <reference field="0" count="1" selected="0" defaultSubtotal="1">
            <x v="1"/>
          </reference>
        </references>
      </pivotArea>
    </format>
    <format dxfId="676">
      <pivotArea dataOnly="0" labelOnly="1" outline="0" fieldPosition="0">
        <references count="3">
          <reference field="4294967294" count="1">
            <x v="2"/>
          </reference>
          <reference field="0" count="1" selected="0">
            <x v="1"/>
          </reference>
          <reference field="1" count="1" selected="0">
            <x v="2"/>
          </reference>
        </references>
      </pivotArea>
    </format>
    <format dxfId="675">
      <pivotArea dataOnly="0" labelOnly="1" outline="0" fieldPosition="0">
        <references count="3">
          <reference field="4294967294" count="1">
            <x v="2"/>
          </reference>
          <reference field="0" count="1" selected="0">
            <x v="1"/>
          </reference>
          <reference field="1" count="1" selected="0">
            <x v="3"/>
          </reference>
        </references>
      </pivotArea>
    </format>
    <format dxfId="674">
      <pivotArea outline="0" fieldPosition="0">
        <references count="2">
          <reference field="4294967294" count="1" selected="0">
            <x v="2"/>
          </reference>
          <reference field="0" count="1" selected="0" defaultSubtotal="1">
            <x v="1"/>
          </reference>
        </references>
      </pivotArea>
    </format>
    <format dxfId="673">
      <pivotArea field="2" outline="0" axis="axisRow" fieldPosition="0">
        <references count="2">
          <reference field="4294967294" count="1" selected="0">
            <x v="2"/>
          </reference>
          <reference field="2" count="0" selected="0"/>
        </references>
      </pivotArea>
    </format>
    <format dxfId="672">
      <pivotArea field="0" outline="0" axis="axisCol" fieldPosition="0">
        <references count="1">
          <reference field="4294967294" count="1" selected="0">
            <x v="2"/>
          </reference>
        </references>
      </pivotArea>
    </format>
    <format dxfId="671">
      <pivotArea dataOnly="0" labelOnly="1" outline="0" fieldPosition="0">
        <references count="2">
          <reference field="0" count="1" selected="0">
            <x v="1"/>
          </reference>
          <reference field="1" count="2">
            <x v="2"/>
            <x v="3"/>
          </reference>
        </references>
      </pivotArea>
    </format>
    <format dxfId="670">
      <pivotArea dataOnly="0" labelOnly="1" outline="0" fieldPosition="0">
        <references count="2">
          <reference field="0" count="1" selected="0">
            <x v="0"/>
          </reference>
          <reference field="1" count="1">
            <x v="0"/>
          </reference>
        </references>
      </pivotArea>
    </format>
    <format dxfId="669">
      <pivotArea dataOnly="0" labelOnly="1" outline="0" fieldPosition="0">
        <references count="2">
          <reference field="0" count="1" selected="0">
            <x v="0"/>
          </reference>
          <reference field="1" count="1">
            <x v="1"/>
          </reference>
        </references>
      </pivotArea>
    </format>
    <format dxfId="668">
      <pivotArea dataOnly="0" labelOnly="1" outline="0" fieldPosition="0">
        <references count="2">
          <reference field="0" count="1" selected="0">
            <x v="1"/>
          </reference>
          <reference field="1" count="1">
            <x v="2"/>
          </reference>
        </references>
      </pivotArea>
    </format>
    <format dxfId="667">
      <pivotArea dataOnly="0" labelOnly="1" outline="0" fieldPosition="0">
        <references count="1">
          <reference field="0" count="1">
            <x v="0"/>
          </reference>
        </references>
      </pivotArea>
    </format>
    <format dxfId="666">
      <pivotArea dataOnly="0" labelOnly="1" outline="0" fieldPosition="0">
        <references count="1">
          <reference field="0" count="1">
            <x v="1"/>
          </reference>
        </references>
      </pivotArea>
    </format>
    <format dxfId="665">
      <pivotArea field="-2" type="button" dataOnly="0" labelOnly="1" outline="0" axis="axisCol" fieldPosition="2"/>
    </format>
    <format dxfId="664">
      <pivotArea type="topRight" dataOnly="0" labelOnly="1" outline="0" fieldPosition="0"/>
    </format>
    <format dxfId="663">
      <pivotArea type="origin" dataOnly="0" labelOnly="1" outline="0" fieldPosition="0"/>
    </format>
    <format dxfId="662">
      <pivotArea field="0" type="button" dataOnly="0" labelOnly="1" outline="0" axis="axisCol" fieldPosition="0"/>
    </format>
    <format dxfId="661">
      <pivotArea field="1" type="button" dataOnly="0" labelOnly="1" outline="0" axis="axisCol" fieldPosition="1"/>
    </format>
    <format dxfId="660">
      <pivotArea field="-2" type="button" dataOnly="0" labelOnly="1" outline="0" axis="axisCol" fieldPosition="2"/>
    </format>
    <format dxfId="659">
      <pivotArea type="topRight" dataOnly="0" labelOnly="1" outline="0" fieldPosition="0"/>
    </format>
    <format dxfId="658">
      <pivotArea field="2" type="button" dataOnly="0" labelOnly="1" outline="0" axis="axisRow" fieldPosition="0"/>
    </format>
    <format dxfId="657">
      <pivotArea dataOnly="0" labelOnly="1" outline="0" fieldPosition="0">
        <references count="1">
          <reference field="0" count="0"/>
        </references>
      </pivotArea>
    </format>
    <format dxfId="656">
      <pivotArea dataOnly="0" labelOnly="1" outline="0" fieldPosition="0">
        <references count="2">
          <reference field="4294967294" count="1" selected="0">
            <x v="2"/>
          </reference>
          <reference field="0" count="0" defaultSubtotal="1"/>
        </references>
      </pivotArea>
    </format>
    <format dxfId="655">
      <pivotArea field="0" dataOnly="0" labelOnly="1" outline="0" axis="axisCol" fieldPosition="0">
        <references count="1">
          <reference field="4294967294" count="1" selected="0">
            <x v="2"/>
          </reference>
        </references>
      </pivotArea>
    </format>
    <format dxfId="654">
      <pivotArea dataOnly="0" labelOnly="1" outline="0" fieldPosition="0">
        <references count="2">
          <reference field="0" count="1" selected="0">
            <x v="0"/>
          </reference>
          <reference field="1" count="2">
            <x v="0"/>
            <x v="1"/>
          </reference>
        </references>
      </pivotArea>
    </format>
    <format dxfId="653">
      <pivotArea dataOnly="0" labelOnly="1" outline="0" fieldPosition="0">
        <references count="2">
          <reference field="0" count="1" selected="0">
            <x v="1"/>
          </reference>
          <reference field="1" count="2">
            <x v="2"/>
            <x v="3"/>
          </reference>
        </references>
      </pivotArea>
    </format>
    <format dxfId="652">
      <pivotArea dataOnly="0" labelOnly="1" outline="0" fieldPosition="0">
        <references count="3">
          <reference field="4294967294" count="1">
            <x v="2"/>
          </reference>
          <reference field="0" count="1" selected="0">
            <x v="0"/>
          </reference>
          <reference field="1" count="1" selected="0">
            <x v="0"/>
          </reference>
        </references>
      </pivotArea>
    </format>
    <format dxfId="651">
      <pivotArea dataOnly="0" labelOnly="1" outline="0" fieldPosition="0">
        <references count="3">
          <reference field="4294967294" count="1">
            <x v="2"/>
          </reference>
          <reference field="0" count="1" selected="0">
            <x v="0"/>
          </reference>
          <reference field="1" count="1" selected="0">
            <x v="1"/>
          </reference>
        </references>
      </pivotArea>
    </format>
    <format dxfId="650">
      <pivotArea dataOnly="0" labelOnly="1" outline="0" fieldPosition="0">
        <references count="3">
          <reference field="4294967294" count="1">
            <x v="2"/>
          </reference>
          <reference field="0" count="1" selected="0">
            <x v="1"/>
          </reference>
          <reference field="1" count="1" selected="0">
            <x v="2"/>
          </reference>
        </references>
      </pivotArea>
    </format>
    <format dxfId="649">
      <pivotArea dataOnly="0" labelOnly="1" outline="0" fieldPosition="0">
        <references count="3">
          <reference field="4294967294" count="1">
            <x v="2"/>
          </reference>
          <reference field="0" count="1" selected="0">
            <x v="1"/>
          </reference>
          <reference field="1" count="1" selected="0">
            <x v="3"/>
          </reference>
        </references>
      </pivotArea>
    </format>
    <format dxfId="648">
      <pivotArea type="origin" dataOnly="0" labelOnly="1" outline="0" fieldPosition="0"/>
    </format>
    <format dxfId="647">
      <pivotArea field="0" type="button" dataOnly="0" labelOnly="1" outline="0" axis="axisCol" fieldPosition="0"/>
    </format>
    <format dxfId="646">
      <pivotArea field="1" type="button" dataOnly="0" labelOnly="1" outline="0" axis="axisCol" fieldPosition="1"/>
    </format>
    <format dxfId="645">
      <pivotArea field="-2" type="button" dataOnly="0" labelOnly="1" outline="0" axis="axisCol" fieldPosition="2"/>
    </format>
    <format dxfId="644">
      <pivotArea type="topRight" dataOnly="0" labelOnly="1" outline="0" fieldPosition="0"/>
    </format>
    <format dxfId="643">
      <pivotArea field="2" type="button" dataOnly="0" labelOnly="1" outline="0" axis="axisRow" fieldPosition="0"/>
    </format>
    <format dxfId="642">
      <pivotArea dataOnly="0" labelOnly="1" outline="0" fieldPosition="0">
        <references count="1">
          <reference field="0" count="0"/>
        </references>
      </pivotArea>
    </format>
    <format dxfId="641">
      <pivotArea dataOnly="0" labelOnly="1" outline="0" fieldPosition="0">
        <references count="2">
          <reference field="4294967294" count="1" selected="0">
            <x v="2"/>
          </reference>
          <reference field="0" count="0" defaultSubtotal="1"/>
        </references>
      </pivotArea>
    </format>
    <format dxfId="640">
      <pivotArea field="0" dataOnly="0" labelOnly="1" outline="0" axis="axisCol" fieldPosition="0">
        <references count="1">
          <reference field="4294967294" count="1" selected="0">
            <x v="2"/>
          </reference>
        </references>
      </pivotArea>
    </format>
    <format dxfId="639">
      <pivotArea dataOnly="0" labelOnly="1" outline="0" fieldPosition="0">
        <references count="2">
          <reference field="0" count="1" selected="0">
            <x v="0"/>
          </reference>
          <reference field="1" count="2">
            <x v="0"/>
            <x v="1"/>
          </reference>
        </references>
      </pivotArea>
    </format>
    <format dxfId="638">
      <pivotArea dataOnly="0" labelOnly="1" outline="0" fieldPosition="0">
        <references count="2">
          <reference field="0" count="1" selected="0">
            <x v="1"/>
          </reference>
          <reference field="1" count="2">
            <x v="2"/>
            <x v="3"/>
          </reference>
        </references>
      </pivotArea>
    </format>
    <format dxfId="637">
      <pivotArea dataOnly="0" labelOnly="1" outline="0" fieldPosition="0">
        <references count="3">
          <reference field="4294967294" count="1">
            <x v="2"/>
          </reference>
          <reference field="0" count="1" selected="0">
            <x v="0"/>
          </reference>
          <reference field="1" count="1" selected="0">
            <x v="0"/>
          </reference>
        </references>
      </pivotArea>
    </format>
    <format dxfId="636">
      <pivotArea dataOnly="0" labelOnly="1" outline="0" fieldPosition="0">
        <references count="3">
          <reference field="4294967294" count="1">
            <x v="2"/>
          </reference>
          <reference field="0" count="1" selected="0">
            <x v="0"/>
          </reference>
          <reference field="1" count="1" selected="0">
            <x v="1"/>
          </reference>
        </references>
      </pivotArea>
    </format>
    <format dxfId="635">
      <pivotArea dataOnly="0" labelOnly="1" outline="0" fieldPosition="0">
        <references count="3">
          <reference field="4294967294" count="1">
            <x v="2"/>
          </reference>
          <reference field="0" count="1" selected="0">
            <x v="1"/>
          </reference>
          <reference field="1" count="1" selected="0">
            <x v="2"/>
          </reference>
        </references>
      </pivotArea>
    </format>
    <format dxfId="634">
      <pivotArea dataOnly="0" labelOnly="1" outline="0" fieldPosition="0">
        <references count="3">
          <reference field="4294967294" count="1">
            <x v="2"/>
          </reference>
          <reference field="0" count="1" selected="0">
            <x v="1"/>
          </reference>
          <reference field="1" count="1" selected="0">
            <x v="3"/>
          </reference>
        </references>
      </pivotArea>
    </format>
    <format dxfId="633">
      <pivotArea dataOnly="0" labelOnly="1" outline="0" fieldPosition="0">
        <references count="2">
          <reference field="0" count="1" selected="0">
            <x v="1"/>
          </reference>
          <reference field="1" count="2">
            <x v="2"/>
            <x v="3"/>
          </reference>
        </references>
      </pivotArea>
    </format>
    <format dxfId="632">
      <pivotArea dataOnly="0" labelOnly="1" outline="0" fieldPosition="0">
        <references count="2">
          <reference field="0" count="1" selected="0">
            <x v="0"/>
          </reference>
          <reference field="1" count="2">
            <x v="0"/>
            <x v="1"/>
          </reference>
        </references>
      </pivotArea>
    </format>
    <format dxfId="631">
      <pivotArea dataOnly="0" outline="0" fieldPosition="0">
        <references count="1">
          <reference field="1" count="1">
            <x v="1"/>
          </reference>
        </references>
      </pivotArea>
    </format>
    <format dxfId="630">
      <pivotArea dataOnly="0" labelOnly="1" grandRow="1" outline="0" fieldPosition="0"/>
    </format>
    <format dxfId="629">
      <pivotArea outline="0" fieldPosition="0">
        <references count="1">
          <reference field="2" count="0" selected="0"/>
        </references>
      </pivotArea>
    </format>
    <format dxfId="628">
      <pivotArea dataOnly="0" labelOnly="1" outline="0" fieldPosition="0">
        <references count="1">
          <reference field="2" count="0"/>
        </references>
      </pivotArea>
    </format>
    <format dxfId="627">
      <pivotArea field="0" type="button" dataOnly="0" labelOnly="1" outline="0" axis="axisCol" fieldPosition="0"/>
    </format>
    <format dxfId="626">
      <pivotArea field="1" type="button" dataOnly="0" labelOnly="1" outline="0" axis="axisCol" fieldPosition="1"/>
    </format>
    <format dxfId="625">
      <pivotArea field="-2" type="button" dataOnly="0" labelOnly="1" outline="0" axis="axisCol" fieldPosition="2"/>
    </format>
    <format dxfId="624">
      <pivotArea type="topRight" dataOnly="0" labelOnly="1" outline="0" fieldPosition="0"/>
    </format>
    <format dxfId="623">
      <pivotArea dataOnly="0" labelOnly="1" outline="0" fieldPosition="0">
        <references count="1">
          <reference field="0" count="0"/>
        </references>
      </pivotArea>
    </format>
    <format dxfId="622">
      <pivotArea dataOnly="0" labelOnly="1" outline="0" fieldPosition="0">
        <references count="2">
          <reference field="4294967294" count="1" selected="0">
            <x v="2"/>
          </reference>
          <reference field="0" count="0" defaultSubtotal="1"/>
        </references>
      </pivotArea>
    </format>
    <format dxfId="621">
      <pivotArea dataOnly="0" labelOnly="1" outline="0" fieldPosition="0">
        <references count="2">
          <reference field="0" count="1" selected="0">
            <x v="0"/>
          </reference>
          <reference field="1" count="2">
            <x v="0"/>
            <x v="1"/>
          </reference>
        </references>
      </pivotArea>
    </format>
    <format dxfId="620">
      <pivotArea dataOnly="0" labelOnly="1" outline="0" fieldPosition="0">
        <references count="2">
          <reference field="0" count="1" selected="0">
            <x v="1"/>
          </reference>
          <reference field="1" count="2">
            <x v="2"/>
            <x v="3"/>
          </reference>
        </references>
      </pivotArea>
    </format>
    <format dxfId="619">
      <pivotArea dataOnly="0" labelOnly="1" outline="0" fieldPosition="0">
        <references count="2">
          <reference field="0" count="1" selected="0">
            <x v="0"/>
          </reference>
          <reference field="1" count="1">
            <x v="0"/>
          </reference>
        </references>
      </pivotArea>
    </format>
    <format dxfId="618">
      <pivotArea dataOnly="0" labelOnly="1" outline="0" fieldPosition="0">
        <references count="2">
          <reference field="0" count="1" selected="0">
            <x v="0"/>
          </reference>
          <reference field="1" count="1">
            <x v="1"/>
          </reference>
        </references>
      </pivotArea>
    </format>
    <format dxfId="617">
      <pivotArea dataOnly="0" labelOnly="1" outline="0" fieldPosition="0">
        <references count="2">
          <reference field="0" count="1" selected="0">
            <x v="1"/>
          </reference>
          <reference field="1" count="1">
            <x v="2"/>
          </reference>
        </references>
      </pivotArea>
    </format>
    <format dxfId="616">
      <pivotArea dataOnly="0" labelOnly="1" outline="0" fieldPosition="0">
        <references count="2">
          <reference field="0" count="1" selected="0">
            <x v="1"/>
          </reference>
          <reference field="1" count="1">
            <x v="3"/>
          </reference>
        </references>
      </pivotArea>
    </format>
    <format dxfId="615">
      <pivotArea dataOnly="0" labelOnly="1" outline="0" fieldPosition="0">
        <references count="3">
          <reference field="4294967294" count="1">
            <x v="2"/>
          </reference>
          <reference field="0" count="1" selected="0">
            <x v="0"/>
          </reference>
          <reference field="1" count="1" selected="0">
            <x v="0"/>
          </reference>
        </references>
      </pivotArea>
    </format>
    <format dxfId="614">
      <pivotArea dataOnly="0" labelOnly="1" outline="0" fieldPosition="0">
        <references count="3">
          <reference field="4294967294" count="1">
            <x v="2"/>
          </reference>
          <reference field="0" count="1" selected="0">
            <x v="0"/>
          </reference>
          <reference field="1" count="1" selected="0">
            <x v="1"/>
          </reference>
        </references>
      </pivotArea>
    </format>
    <format dxfId="613">
      <pivotArea dataOnly="0" labelOnly="1" outline="0" fieldPosition="0">
        <references count="3">
          <reference field="4294967294" count="1">
            <x v="2"/>
          </reference>
          <reference field="0" count="1" selected="0">
            <x v="1"/>
          </reference>
          <reference field="1" count="1" selected="0">
            <x v="2"/>
          </reference>
        </references>
      </pivotArea>
    </format>
    <format dxfId="612">
      <pivotArea dataOnly="0" labelOnly="1" outline="0" fieldPosition="0">
        <references count="3">
          <reference field="4294967294" count="1">
            <x v="2"/>
          </reference>
          <reference field="0" count="1" selected="0">
            <x v="1"/>
          </reference>
          <reference field="1" count="1" selected="0">
            <x v="3"/>
          </reference>
        </references>
      </pivotArea>
    </format>
    <format dxfId="611">
      <pivotArea type="origin" dataOnly="0" labelOnly="1" outline="0" fieldPosition="0"/>
    </format>
    <format dxfId="610">
      <pivotArea field="2" type="button" dataOnly="0" labelOnly="1" outline="0" axis="axisRow" fieldPosition="0"/>
    </format>
    <format dxfId="609">
      <pivotArea field="0" type="button" dataOnly="0" labelOnly="1" outline="0" axis="axisCol" fieldPosition="0"/>
    </format>
    <format dxfId="608">
      <pivotArea dataOnly="0" labelOnly="1" outline="0" fieldPosition="0">
        <references count="1">
          <reference field="0" count="1">
            <x v="0"/>
          </reference>
        </references>
      </pivotArea>
    </format>
    <format dxfId="607">
      <pivotArea dataOnly="0" labelOnly="1" outline="0" fieldPosition="0">
        <references count="2">
          <reference field="0" count="1" selected="0">
            <x v="0"/>
          </reference>
          <reference field="1" count="2">
            <x v="0"/>
            <x v="1"/>
          </reference>
        </references>
      </pivotArea>
    </format>
    <format dxfId="606">
      <pivotArea field="1" type="button" dataOnly="0" labelOnly="1" outline="0" axis="axisCol" fieldPosition="1"/>
    </format>
    <format dxfId="605">
      <pivotArea dataOnly="0" labelOnly="1" outline="0" fieldPosition="0">
        <references count="2">
          <reference field="0" count="1" selected="0">
            <x v="1"/>
          </reference>
          <reference field="1" count="2">
            <x v="2"/>
            <x v="3"/>
          </reference>
        </references>
      </pivotArea>
    </format>
    <format dxfId="604">
      <pivotArea field="0" dataOnly="0" labelOnly="1" outline="0" axis="axisCol" fieldPosition="0">
        <references count="1">
          <reference field="4294967294" count="1" selected="0">
            <x v="2"/>
          </reference>
        </references>
      </pivotArea>
    </format>
    <format dxfId="603">
      <pivotArea field="0" dataOnly="0" labelOnly="1" outline="0" axis="axisCol" fieldPosition="0">
        <references count="1">
          <reference field="4294967294" count="1" selected="0">
            <x v="2"/>
          </reference>
        </references>
      </pivotArea>
    </format>
    <format dxfId="602">
      <pivotArea dataOnly="0" labelOnly="1" outline="0" fieldPosition="0">
        <references count="1">
          <reference field="0" count="1">
            <x v="1"/>
          </reference>
        </references>
      </pivotArea>
    </format>
    <format dxfId="601">
      <pivotArea dataOnly="0" labelOnly="1" outline="0" fieldPosition="0">
        <references count="2">
          <reference field="0" count="1" selected="0">
            <x v="0"/>
          </reference>
          <reference field="1" count="2">
            <x v="0"/>
            <x v="1"/>
          </reference>
        </references>
      </pivotArea>
    </format>
    <format dxfId="600">
      <pivotArea dataOnly="0" labelOnly="1" outline="0" fieldPosition="0">
        <references count="3">
          <reference field="4294967294" count="1">
            <x v="2"/>
          </reference>
          <reference field="0" count="1" selected="0">
            <x v="0"/>
          </reference>
          <reference field="1" count="1" selected="0">
            <x v="0"/>
          </reference>
        </references>
      </pivotArea>
    </format>
    <format dxfId="599">
      <pivotArea dataOnly="0" labelOnly="1" outline="0" fieldPosition="0">
        <references count="3">
          <reference field="4294967294" count="1">
            <x v="2"/>
          </reference>
          <reference field="0" count="1" selected="0">
            <x v="0"/>
          </reference>
          <reference field="1" count="1" selected="0">
            <x v="1"/>
          </reference>
        </references>
      </pivotArea>
    </format>
    <format dxfId="598">
      <pivotArea dataOnly="0" labelOnly="1" outline="0" fieldPosition="0">
        <references count="2">
          <reference field="0" count="1" selected="0">
            <x v="1"/>
          </reference>
          <reference field="1" count="2">
            <x v="2"/>
            <x v="3"/>
          </reference>
        </references>
      </pivotArea>
    </format>
    <format dxfId="597">
      <pivotArea dataOnly="0" labelOnly="1" outline="0" fieldPosition="0">
        <references count="3">
          <reference field="4294967294" count="1">
            <x v="2"/>
          </reference>
          <reference field="0" count="1" selected="0">
            <x v="1"/>
          </reference>
          <reference field="1" count="1" selected="0">
            <x v="2"/>
          </reference>
        </references>
      </pivotArea>
    </format>
    <format dxfId="596">
      <pivotArea dataOnly="0" labelOnly="1" outline="0" fieldPosition="0">
        <references count="3">
          <reference field="4294967294" count="1">
            <x v="2"/>
          </reference>
          <reference field="0" count="1" selected="0">
            <x v="1"/>
          </reference>
          <reference field="1" count="1" selected="0">
            <x v="3"/>
          </reference>
        </references>
      </pivotArea>
    </format>
    <format dxfId="595">
      <pivotArea dataOnly="0" labelOnly="1" outline="0" fieldPosition="0">
        <references count="3">
          <reference field="4294967294" count="1">
            <x v="2"/>
          </reference>
          <reference field="0" count="1" selected="0">
            <x v="0"/>
          </reference>
          <reference field="1" count="1" selected="0">
            <x v="0"/>
          </reference>
        </references>
      </pivotArea>
    </format>
    <format dxfId="594">
      <pivotArea dataOnly="0" labelOnly="1" outline="0" fieldPosition="0">
        <references count="3">
          <reference field="4294967294" count="1">
            <x v="2"/>
          </reference>
          <reference field="0" count="1" selected="0">
            <x v="0"/>
          </reference>
          <reference field="1" count="1" selected="0">
            <x v="1"/>
          </reference>
        </references>
      </pivotArea>
    </format>
    <format dxfId="593">
      <pivotArea dataOnly="0" labelOnly="1" outline="0" fieldPosition="0">
        <references count="3">
          <reference field="4294967294" count="1">
            <x v="2"/>
          </reference>
          <reference field="0" count="1" selected="0">
            <x v="1"/>
          </reference>
          <reference field="1" count="1" selected="0">
            <x v="2"/>
          </reference>
        </references>
      </pivotArea>
    </format>
    <format dxfId="592">
      <pivotArea dataOnly="0" labelOnly="1" outline="0" fieldPosition="0">
        <references count="3">
          <reference field="4294967294" count="1">
            <x v="2"/>
          </reference>
          <reference field="0" count="1" selected="0">
            <x v="1"/>
          </reference>
          <reference field="1" count="1" selected="0">
            <x v="3"/>
          </reference>
        </references>
      </pivotArea>
    </format>
    <format dxfId="591">
      <pivotArea dataOnly="0" labelOnly="1" outline="0" fieldPosition="0">
        <references count="2">
          <reference field="0" count="1" selected="0">
            <x v="1"/>
          </reference>
          <reference field="1" count="1">
            <x v="3"/>
          </reference>
        </references>
      </pivotArea>
    </format>
    <format dxfId="590">
      <pivotArea dataOnly="0" labelOnly="1" outline="0" fieldPosition="0">
        <references count="3">
          <reference field="4294967294" count="1">
            <x v="2"/>
          </reference>
          <reference field="0" count="1" selected="0">
            <x v="1"/>
          </reference>
          <reference field="1" count="1" selected="0">
            <x v="3"/>
          </reference>
        </references>
      </pivotArea>
    </format>
    <format dxfId="589">
      <pivotArea dataOnly="0" labelOnly="1" outline="0" fieldPosition="0">
        <references count="2">
          <reference field="0" count="1" selected="0">
            <x v="0"/>
          </reference>
          <reference field="1" count="1">
            <x v="1"/>
          </reference>
        </references>
      </pivotArea>
    </format>
    <format dxfId="588">
      <pivotArea dataOnly="0" labelOnly="1" outline="0" fieldPosition="0">
        <references count="3">
          <reference field="4294967294" count="1">
            <x v="2"/>
          </reference>
          <reference field="0" count="1" selected="0">
            <x v="0"/>
          </reference>
          <reference field="1" count="1" selected="0">
            <x v="1"/>
          </reference>
        </references>
      </pivotArea>
    </format>
    <format dxfId="587">
      <pivotArea field="0" type="button" dataOnly="0" labelOnly="1" outline="0" axis="axisCol" fieldPosition="0"/>
    </format>
    <format dxfId="586">
      <pivotArea field="2" outline="0" axis="axisRow" fieldPosition="0">
        <references count="2">
          <reference field="4294967294" count="1" selected="0">
            <x v="2"/>
          </reference>
          <reference field="2" count="1" selected="0">
            <x v="11"/>
          </reference>
        </references>
      </pivotArea>
    </format>
    <format dxfId="585">
      <pivotArea field="2" outline="0" axis="axisRow" fieldPosition="0">
        <references count="2">
          <reference field="4294967294" count="1" selected="0">
            <x v="2"/>
          </reference>
          <reference field="2" count="1" selected="0">
            <x v="11"/>
          </reference>
        </references>
      </pivotArea>
    </format>
    <format dxfId="584">
      <pivotArea outline="0" fieldPosition="0">
        <references count="1">
          <reference field="4294967294" count="1">
            <x v="0"/>
          </reference>
        </references>
      </pivotArea>
    </format>
    <format dxfId="583">
      <pivotArea dataOnly="0" labelOnly="1" outline="0" fieldPosition="0">
        <references count="3">
          <reference field="4294967294" count="1">
            <x v="0"/>
          </reference>
          <reference field="0" count="1" selected="0">
            <x v="0"/>
          </reference>
          <reference field="1" count="1" selected="0">
            <x v="0"/>
          </reference>
        </references>
      </pivotArea>
    </format>
    <format dxfId="582">
      <pivotArea dataOnly="0" labelOnly="1" outline="0" fieldPosition="0">
        <references count="3">
          <reference field="4294967294" count="1">
            <x v="0"/>
          </reference>
          <reference field="0" count="1" selected="0">
            <x v="0"/>
          </reference>
          <reference field="1" count="1" selected="0">
            <x v="1"/>
          </reference>
        </references>
      </pivotArea>
    </format>
    <format dxfId="581">
      <pivotArea dataOnly="0" labelOnly="1" outline="0" fieldPosition="0">
        <references count="3">
          <reference field="4294967294" count="1">
            <x v="0"/>
          </reference>
          <reference field="0" count="1" selected="0">
            <x v="1"/>
          </reference>
          <reference field="1" count="1" selected="0">
            <x v="2"/>
          </reference>
        </references>
      </pivotArea>
    </format>
    <format dxfId="580">
      <pivotArea dataOnly="0" labelOnly="1" outline="0" fieldPosition="0">
        <references count="3">
          <reference field="4294967294" count="1">
            <x v="0"/>
          </reference>
          <reference field="0" count="1" selected="0">
            <x v="1"/>
          </reference>
          <reference field="1" count="1" selected="0">
            <x v="3"/>
          </reference>
        </references>
      </pivotArea>
    </format>
    <format dxfId="579">
      <pivotArea dataOnly="0" labelOnly="1" outline="0" fieldPosition="0">
        <references count="2">
          <reference field="4294967294" count="1" selected="0">
            <x v="0"/>
          </reference>
          <reference field="0" count="1" defaultSubtotal="1">
            <x v="0"/>
          </reference>
        </references>
      </pivotArea>
    </format>
    <format dxfId="578">
      <pivotArea dataOnly="0" labelOnly="1" outline="0" fieldPosition="0">
        <references count="2">
          <reference field="4294967294" count="1" selected="0">
            <x v="0"/>
          </reference>
          <reference field="0" count="1" defaultSubtotal="1">
            <x v="0"/>
          </reference>
        </references>
      </pivotArea>
    </format>
    <format dxfId="577">
      <pivotArea dataOnly="0" labelOnly="1" outline="0" fieldPosition="0">
        <references count="2">
          <reference field="4294967294" count="1" selected="0">
            <x v="0"/>
          </reference>
          <reference field="0" count="1" defaultSubtotal="1">
            <x v="1"/>
          </reference>
        </references>
      </pivotArea>
    </format>
    <format dxfId="576">
      <pivotArea dataOnly="0" labelOnly="1" outline="0" fieldPosition="0">
        <references count="2">
          <reference field="4294967294" count="1" selected="0">
            <x v="2"/>
          </reference>
          <reference field="0" count="0" defaultSubtotal="1"/>
        </references>
      </pivotArea>
    </format>
    <format dxfId="575">
      <pivotArea dataOnly="0" labelOnly="1" outline="0" fieldPosition="0">
        <references count="2">
          <reference field="4294967294" count="1" selected="0">
            <x v="0"/>
          </reference>
          <reference field="0" count="1" defaultSubtotal="1">
            <x v="1"/>
          </reference>
        </references>
      </pivotArea>
    </format>
    <format dxfId="574">
      <pivotArea dataOnly="0" labelOnly="1" outline="0" fieldPosition="0">
        <references count="2">
          <reference field="4294967294" count="1" selected="0">
            <x v="2"/>
          </reference>
          <reference field="0" count="0" defaultSubtotal="1"/>
        </references>
      </pivotArea>
    </format>
    <format dxfId="573">
      <pivotArea field="0" dataOnly="0" labelOnly="1" outline="0" axis="axisCol" fieldPosition="0">
        <references count="1">
          <reference field="4294967294" count="1" selected="0">
            <x v="0"/>
          </reference>
        </references>
      </pivotArea>
    </format>
    <format dxfId="572">
      <pivotArea field="0" dataOnly="0" labelOnly="1" outline="0" axis="axisCol" fieldPosition="0">
        <references count="1">
          <reference field="4294967294" count="1" selected="0">
            <x v="2"/>
          </reference>
        </references>
      </pivotArea>
    </format>
    <format dxfId="571">
      <pivotArea field="0" dataOnly="0" labelOnly="1" outline="0" axis="axisCol" fieldPosition="0">
        <references count="1">
          <reference field="4294967294" count="1" selected="0">
            <x v="0"/>
          </reference>
        </references>
      </pivotArea>
    </format>
    <format dxfId="570">
      <pivotArea field="0" dataOnly="0" labelOnly="1" outline="0" axis="axisCol" fieldPosition="0">
        <references count="1">
          <reference field="4294967294" count="1" selected="0">
            <x v="2"/>
          </reference>
        </references>
      </pivotArea>
    </format>
    <format dxfId="569">
      <pivotArea dataOnly="0" labelOnly="1" outline="0" fieldPosition="0">
        <references count="1">
          <reference field="0" count="2">
            <x v="0"/>
            <x v="1"/>
          </reference>
        </references>
      </pivotArea>
    </format>
    <format dxfId="568">
      <pivotArea field="0" dataOnly="0" labelOnly="1" outline="0" axis="axisCol" fieldPosition="0">
        <references count="1">
          <reference field="4294967294" count="1" selected="0">
            <x v="0"/>
          </reference>
        </references>
      </pivotArea>
    </format>
    <format dxfId="567">
      <pivotArea field="0" dataOnly="0" labelOnly="1" outline="0" axis="axisCol" fieldPosition="0">
        <references count="1">
          <reference field="4294967294" count="1" selected="0">
            <x v="2"/>
          </reference>
        </references>
      </pivotArea>
    </format>
    <format dxfId="566">
      <pivotArea dataOnly="0" labelOnly="1" outline="0" fieldPosition="0">
        <references count="2">
          <reference field="0" count="1" selected="0">
            <x v="0"/>
          </reference>
          <reference field="1" count="2">
            <x v="0"/>
            <x v="1"/>
          </reference>
        </references>
      </pivotArea>
    </format>
    <format dxfId="565">
      <pivotArea dataOnly="0" labelOnly="1" outline="0" fieldPosition="0">
        <references count="2">
          <reference field="0" count="1" selected="0">
            <x v="1"/>
          </reference>
          <reference field="1" count="2">
            <x v="2"/>
            <x v="3"/>
          </reference>
        </references>
      </pivotArea>
    </format>
    <format dxfId="564">
      <pivotArea dataOnly="0" labelOnly="1" outline="0" fieldPosition="0">
        <references count="3">
          <reference field="4294967294" count="2">
            <x v="0"/>
            <x v="2"/>
          </reference>
          <reference field="0" count="1" selected="0">
            <x v="0"/>
          </reference>
          <reference field="1" count="1" selected="0">
            <x v="0"/>
          </reference>
        </references>
      </pivotArea>
    </format>
    <format dxfId="563">
      <pivotArea dataOnly="0" labelOnly="1" outline="0" fieldPosition="0">
        <references count="3">
          <reference field="4294967294" count="2">
            <x v="0"/>
            <x v="2"/>
          </reference>
          <reference field="0" count="1" selected="0">
            <x v="0"/>
          </reference>
          <reference field="1" count="1" selected="0">
            <x v="1"/>
          </reference>
        </references>
      </pivotArea>
    </format>
    <format dxfId="562">
      <pivotArea dataOnly="0" labelOnly="1" outline="0" fieldPosition="0">
        <references count="3">
          <reference field="4294967294" count="2">
            <x v="0"/>
            <x v="2"/>
          </reference>
          <reference field="0" count="1" selected="0">
            <x v="1"/>
          </reference>
          <reference field="1" count="1" selected="0">
            <x v="2"/>
          </reference>
        </references>
      </pivotArea>
    </format>
    <format dxfId="561">
      <pivotArea dataOnly="0" labelOnly="1" outline="0" fieldPosition="0">
        <references count="3">
          <reference field="4294967294" count="2">
            <x v="0"/>
            <x v="2"/>
          </reference>
          <reference field="0" count="1" selected="0">
            <x v="1"/>
          </reference>
          <reference field="1" count="1" selected="0">
            <x v="3"/>
          </reference>
        </references>
      </pivotArea>
    </format>
    <format dxfId="560">
      <pivotArea outline="0" fieldPosition="0">
        <references count="1">
          <reference field="2" count="1" selected="0">
            <x v="11"/>
          </reference>
        </references>
      </pivotArea>
    </format>
    <format dxfId="559">
      <pivotArea dataOnly="0" labelOnly="1" outline="0" fieldPosition="0">
        <references count="1">
          <reference field="2" count="1">
            <x v="11"/>
          </reference>
        </references>
      </pivotArea>
    </format>
    <format dxfId="558">
      <pivotArea dataOnly="0" labelOnly="1" outline="0" fieldPosition="0">
        <references count="3">
          <reference field="4294967294" count="1">
            <x v="1"/>
          </reference>
          <reference field="0" count="1" selected="0">
            <x v="0"/>
          </reference>
          <reference field="1" count="1" selected="0">
            <x v="0"/>
          </reference>
        </references>
      </pivotArea>
    </format>
    <format dxfId="557">
      <pivotArea dataOnly="0" labelOnly="1" outline="0" fieldPosition="0">
        <references count="3">
          <reference field="4294967294" count="1">
            <x v="1"/>
          </reference>
          <reference field="0" count="1" selected="0">
            <x v="0"/>
          </reference>
          <reference field="1" count="1" selected="0">
            <x v="1"/>
          </reference>
        </references>
      </pivotArea>
    </format>
    <format dxfId="556">
      <pivotArea dataOnly="0" labelOnly="1" outline="0" fieldPosition="0">
        <references count="3">
          <reference field="4294967294" count="3">
            <x v="0"/>
            <x v="1"/>
            <x v="2"/>
          </reference>
          <reference field="0" count="1" selected="0">
            <x v="1"/>
          </reference>
          <reference field="1" count="1" selected="0">
            <x v="2"/>
          </reference>
        </references>
      </pivotArea>
    </format>
    <format dxfId="555">
      <pivotArea dataOnly="0" labelOnly="1" outline="0" fieldPosition="0">
        <references count="3">
          <reference field="4294967294" count="3">
            <x v="0"/>
            <x v="1"/>
            <x v="2"/>
          </reference>
          <reference field="0" count="1" selected="0">
            <x v="1"/>
          </reference>
          <reference field="1" count="1" selected="0">
            <x v="3"/>
          </reference>
        </references>
      </pivotArea>
    </format>
    <format dxfId="554">
      <pivotArea dataOnly="0" labelOnly="1" outline="0" fieldPosition="0">
        <references count="3">
          <reference field="4294967294" count="2">
            <x v="0"/>
            <x v="1"/>
          </reference>
          <reference field="0" count="1" selected="0">
            <x v="1"/>
          </reference>
          <reference field="1" count="1" selected="0">
            <x v="2"/>
          </reference>
        </references>
      </pivotArea>
    </format>
    <format dxfId="553">
      <pivotArea dataOnly="0" labelOnly="1" outline="0" fieldPosition="0">
        <references count="3">
          <reference field="4294967294" count="2">
            <x v="0"/>
            <x v="1"/>
          </reference>
          <reference field="0" count="1" selected="0">
            <x v="1"/>
          </reference>
          <reference field="1" count="1" selected="0">
            <x v="3"/>
          </reference>
        </references>
      </pivotArea>
    </format>
    <format dxfId="552">
      <pivotArea dataOnly="0" labelOnly="1" outline="0" fieldPosition="0">
        <references count="3">
          <reference field="4294967294" count="3">
            <x v="0"/>
            <x v="1"/>
            <x v="2"/>
          </reference>
          <reference field="0" count="1" selected="0">
            <x v="1"/>
          </reference>
          <reference field="1" count="1" selected="0">
            <x v="3"/>
          </reference>
        </references>
      </pivotArea>
    </format>
    <format dxfId="551">
      <pivotArea dataOnly="0" labelOnly="1" outline="0" fieldPosition="0">
        <references count="3">
          <reference field="4294967294" count="3">
            <x v="0"/>
            <x v="1"/>
            <x v="2"/>
          </reference>
          <reference field="0" count="1" selected="0">
            <x v="1"/>
          </reference>
          <reference field="1" count="1" selected="0">
            <x v="2"/>
          </reference>
        </references>
      </pivotArea>
    </format>
    <format dxfId="550">
      <pivotArea dataOnly="0" labelOnly="1" outline="0" fieldPosition="0">
        <references count="3">
          <reference field="4294967294" count="2">
            <x v="0"/>
            <x v="1"/>
          </reference>
          <reference field="0" count="1" selected="0">
            <x v="0"/>
          </reference>
          <reference field="1" count="1" selected="0">
            <x v="1"/>
          </reference>
        </references>
      </pivotArea>
    </format>
    <format dxfId="549">
      <pivotArea dataOnly="0" labelOnly="1" outline="0" fieldPosition="0">
        <references count="3">
          <reference field="4294967294" count="3">
            <x v="0"/>
            <x v="1"/>
            <x v="2"/>
          </reference>
          <reference field="0" count="1" selected="0">
            <x v="0"/>
          </reference>
          <reference field="1" count="1" selected="0">
            <x v="1"/>
          </reference>
        </references>
      </pivotArea>
    </format>
    <format dxfId="548">
      <pivotArea dataOnly="0" labelOnly="1" outline="0" fieldPosition="0">
        <references count="3">
          <reference field="4294967294" count="3">
            <x v="0"/>
            <x v="1"/>
            <x v="2"/>
          </reference>
          <reference field="0" count="1" selected="0">
            <x v="0"/>
          </reference>
          <reference field="1" count="1" selected="0">
            <x v="0"/>
          </reference>
        </references>
      </pivotArea>
    </format>
    <format dxfId="547">
      <pivotArea dataOnly="0" labelOnly="1" outline="0" fieldPosition="0">
        <references count="2">
          <reference field="4294967294" count="1" selected="0">
            <x v="0"/>
          </reference>
          <reference field="0" count="0" defaultSubtotal="1"/>
        </references>
      </pivotArea>
    </format>
    <format dxfId="546">
      <pivotArea dataOnly="0" labelOnly="1" outline="0" fieldPosition="0">
        <references count="2">
          <reference field="4294967294" count="1" selected="0">
            <x v="1"/>
          </reference>
          <reference field="0" count="1" defaultSubtotal="1">
            <x v="0"/>
          </reference>
        </references>
      </pivotArea>
    </format>
    <format dxfId="545">
      <pivotArea dataOnly="0" labelOnly="1" outline="0" fieldPosition="0">
        <references count="2">
          <reference field="4294967294" count="1" selected="0">
            <x v="2"/>
          </reference>
          <reference field="0" count="0" defaultSubtotal="1"/>
        </references>
      </pivotArea>
    </format>
    <format dxfId="544">
      <pivotArea dataOnly="0" labelOnly="1" outline="0" fieldPosition="0">
        <references count="2">
          <reference field="4294967294" count="1" selected="0">
            <x v="1"/>
          </reference>
          <reference field="0" count="1" defaultSubtotal="1">
            <x v="0"/>
          </reference>
        </references>
      </pivotArea>
    </format>
    <format dxfId="543">
      <pivotArea dataOnly="0" labelOnly="1" outline="0" fieldPosition="0">
        <references count="2">
          <reference field="4294967294" count="1" selected="0">
            <x v="1"/>
          </reference>
          <reference field="0" count="1" defaultSubtotal="1">
            <x v="0"/>
          </reference>
        </references>
      </pivotArea>
    </format>
    <format dxfId="542">
      <pivotArea dataOnly="0" outline="0" fieldPosition="0">
        <references count="2">
          <reference field="4294967294" count="1" selected="0">
            <x v="1"/>
          </reference>
          <reference field="0" count="0" defaultSubtotal="1"/>
        </references>
      </pivotArea>
    </format>
    <format dxfId="541">
      <pivotArea dataOnly="0" labelOnly="1" outline="0" fieldPosition="0">
        <references count="2">
          <reference field="4294967294" count="1" selected="0">
            <x v="0"/>
          </reference>
          <reference field="0" count="0" defaultSubtotal="1"/>
        </references>
      </pivotArea>
    </format>
    <format dxfId="540">
      <pivotArea dataOnly="0" labelOnly="1" outline="0" fieldPosition="0">
        <references count="2">
          <reference field="4294967294" count="1" selected="0">
            <x v="1"/>
          </reference>
          <reference field="0" count="1" defaultSubtotal="1">
            <x v="1"/>
          </reference>
        </references>
      </pivotArea>
    </format>
    <format dxfId="539">
      <pivotArea dataOnly="0" labelOnly="1" outline="0" fieldPosition="0">
        <references count="2">
          <reference field="4294967294" count="1" selected="0">
            <x v="2"/>
          </reference>
          <reference field="0" count="0" defaultSubtotal="1"/>
        </references>
      </pivotArea>
    </format>
    <format dxfId="538">
      <pivotArea dataOnly="0" labelOnly="1" outline="0" fieldPosition="0">
        <references count="2">
          <reference field="4294967294" count="1" selected="0">
            <x v="0"/>
          </reference>
          <reference field="0" count="0" defaultSubtotal="1"/>
        </references>
      </pivotArea>
    </format>
    <format dxfId="537">
      <pivotArea dataOnly="0" labelOnly="1" outline="0" fieldPosition="0">
        <references count="2">
          <reference field="4294967294" count="1" selected="0">
            <x v="1"/>
          </reference>
          <reference field="0" count="1" defaultSubtotal="1">
            <x v="1"/>
          </reference>
        </references>
      </pivotArea>
    </format>
    <format dxfId="536">
      <pivotArea dataOnly="0" labelOnly="1" outline="0" fieldPosition="0">
        <references count="2">
          <reference field="4294967294" count="1" selected="0">
            <x v="2"/>
          </reference>
          <reference field="0" count="0" defaultSubtotal="1"/>
        </references>
      </pivotArea>
    </format>
    <format dxfId="535">
      <pivotArea dataOnly="0" labelOnly="1" outline="0" fieldPosition="0">
        <references count="3">
          <reference field="4294967294" count="2">
            <x v="1"/>
            <x v="2"/>
          </reference>
          <reference field="0" count="1" selected="0">
            <x v="0"/>
          </reference>
          <reference field="1" count="1" selected="0">
            <x v="1"/>
          </reference>
        </references>
      </pivotArea>
    </format>
    <format dxfId="534">
      <pivotArea dataOnly="0" labelOnly="1" outline="0" fieldPosition="0">
        <references count="3">
          <reference field="4294967294" count="1">
            <x v="1"/>
          </reference>
          <reference field="0" count="1" selected="0">
            <x v="0"/>
          </reference>
          <reference field="1" count="1" selected="0">
            <x v="0"/>
          </reference>
        </references>
      </pivotArea>
    </format>
    <format dxfId="533">
      <pivotArea dataOnly="0" labelOnly="1" outline="0" fieldPosition="0">
        <references count="3">
          <reference field="4294967294" count="2">
            <x v="1"/>
            <x v="2"/>
          </reference>
          <reference field="0" count="1" selected="0">
            <x v="1"/>
          </reference>
          <reference field="1" count="1" selected="0">
            <x v="2"/>
          </reference>
        </references>
      </pivotArea>
    </format>
    <format dxfId="532">
      <pivotArea dataOnly="0" labelOnly="1" outline="0" fieldPosition="0">
        <references count="3">
          <reference field="4294967294" count="3">
            <x v="0"/>
            <x v="1"/>
            <x v="2"/>
          </reference>
          <reference field="0" count="1" selected="0">
            <x v="1"/>
          </reference>
          <reference field="1" count="1" selected="0">
            <x v="3"/>
          </reference>
        </references>
      </pivotArea>
    </format>
    <format dxfId="531">
      <pivotArea field="0" dataOnly="0" labelOnly="1" outline="0" axis="axisCol" fieldPosition="0">
        <references count="1">
          <reference field="4294967294" count="1" selected="0">
            <x v="0"/>
          </reference>
        </references>
      </pivotArea>
    </format>
    <format dxfId="530">
      <pivotArea field="0" dataOnly="0" labelOnly="1" outline="0" axis="axisCol" fieldPosition="0">
        <references count="1">
          <reference field="4294967294" count="1" selected="0">
            <x v="1"/>
          </reference>
        </references>
      </pivotArea>
    </format>
    <format dxfId="529">
      <pivotArea field="0" dataOnly="0" labelOnly="1" outline="0" axis="axisCol" fieldPosition="0">
        <references count="1">
          <reference field="4294967294" count="1" selected="0">
            <x v="2"/>
          </reference>
        </references>
      </pivotArea>
    </format>
    <format dxfId="528">
      <pivotArea field="0" dataOnly="0" labelOnly="1" outline="0" axis="axisCol" fieldPosition="0">
        <references count="1">
          <reference field="4294967294" count="1" selected="0">
            <x v="0"/>
          </reference>
        </references>
      </pivotArea>
    </format>
    <format dxfId="527">
      <pivotArea field="0" dataOnly="0" labelOnly="1" outline="0" axis="axisCol" fieldPosition="0">
        <references count="1">
          <reference field="4294967294" count="1" selected="0">
            <x v="1"/>
          </reference>
        </references>
      </pivotArea>
    </format>
    <format dxfId="526">
      <pivotArea field="0" dataOnly="0" labelOnly="1" outline="0" axis="axisCol" fieldPosition="0">
        <references count="1">
          <reference field="4294967294" count="1" selected="0">
            <x v="2"/>
          </reference>
        </references>
      </pivotArea>
    </format>
    <format dxfId="525">
      <pivotArea dataOnly="0" labelOnly="1" outline="0" fieldPosition="0">
        <references count="2">
          <reference field="4294967294" count="1" selected="0">
            <x v="2"/>
          </reference>
          <reference field="0" count="0" defaultSubtotal="1"/>
        </references>
      </pivotArea>
    </format>
    <format dxfId="524">
      <pivotArea dataOnly="0" labelOnly="1" outline="0" fieldPosition="0">
        <references count="2">
          <reference field="4294967294" count="1" selected="0">
            <x v="0"/>
          </reference>
          <reference field="0" count="0" defaultSubtotal="1"/>
        </references>
      </pivotArea>
    </format>
    <format dxfId="523">
      <pivotArea dataOnly="0" labelOnly="1" outline="0" fieldPosition="0">
        <references count="2">
          <reference field="4294967294" count="1" selected="0">
            <x v="1"/>
          </reference>
          <reference field="0" count="0" defaultSubtotal="1"/>
        </references>
      </pivotArea>
    </format>
    <format dxfId="522">
      <pivotArea field="0" dataOnly="0" labelOnly="1" outline="0" axis="axisCol" fieldPosition="0">
        <references count="1">
          <reference field="4294967294" count="1" selected="0">
            <x v="0"/>
          </reference>
        </references>
      </pivotArea>
    </format>
    <format dxfId="521">
      <pivotArea field="0" dataOnly="0" labelOnly="1" outline="0" axis="axisCol" fieldPosition="0">
        <references count="1">
          <reference field="4294967294" count="1" selected="0">
            <x v="1"/>
          </reference>
        </references>
      </pivotArea>
    </format>
    <format dxfId="520">
      <pivotArea field="0" dataOnly="0" labelOnly="1" outline="0" axis="axisCol" fieldPosition="0">
        <references count="1">
          <reference field="4294967294" count="1" selected="0">
            <x v="2"/>
          </reference>
        </references>
      </pivotArea>
    </format>
    <format dxfId="519">
      <pivotArea outline="0" fieldPosition="0">
        <references count="3">
          <reference field="4294967294" count="1" selected="0">
            <x v="1"/>
          </reference>
          <reference field="0" count="1" selected="0" defaultSubtotal="1">
            <x v="1"/>
          </reference>
          <reference field="2" count="23" selected="0">
            <x v="0"/>
            <x v="1"/>
            <x v="2"/>
            <x v="3"/>
            <x v="4"/>
            <x v="5"/>
            <x v="6"/>
            <x v="7"/>
            <x v="8"/>
            <x v="9"/>
            <x v="10"/>
            <x v="11"/>
            <x v="12"/>
            <x v="13"/>
            <x v="14"/>
            <x v="15"/>
            <x v="16"/>
            <x v="17"/>
            <x v="18"/>
            <x v="19"/>
            <x v="20"/>
            <x v="21"/>
            <x v="22"/>
          </reference>
        </references>
      </pivotArea>
    </format>
    <format dxfId="518">
      <pivotArea dataOnly="0" labelOnly="1" outline="0" fieldPosition="0">
        <references count="2">
          <reference field="4294967294" count="1" selected="0">
            <x v="0"/>
          </reference>
          <reference field="0" count="0" defaultSubtotal="1"/>
        </references>
      </pivotArea>
    </format>
    <format dxfId="517">
      <pivotArea dataOnly="0" labelOnly="1" outline="0" fieldPosition="0">
        <references count="2">
          <reference field="4294967294" count="1" selected="0">
            <x v="2"/>
          </reference>
          <reference field="0" count="0" defaultSubtotal="1"/>
        </references>
      </pivotArea>
    </format>
    <format dxfId="516">
      <pivotArea dataOnly="0" labelOnly="1" outline="0" fieldPosition="0">
        <references count="2">
          <reference field="4294967294" count="1" selected="0">
            <x v="2"/>
          </reference>
          <reference field="0" count="0" defaultSubtotal="1"/>
        </references>
      </pivotArea>
    </format>
    <format dxfId="515">
      <pivotArea dataOnly="0" labelOnly="1" outline="0" fieldPosition="0">
        <references count="2">
          <reference field="4294967294" count="1" selected="0">
            <x v="0"/>
          </reference>
          <reference field="0" count="0" defaultSubtotal="1"/>
        </references>
      </pivotArea>
    </format>
    <format dxfId="514">
      <pivotArea dataOnly="0" labelOnly="1" outline="0" fieldPosition="0">
        <references count="2">
          <reference field="4294967294" count="1" selected="0">
            <x v="1"/>
          </reference>
          <reference field="0" count="0" defaultSubtotal="1"/>
        </references>
      </pivotArea>
    </format>
    <format dxfId="513">
      <pivotArea dataOnly="0" labelOnly="1" outline="0" fieldPosition="0">
        <references count="2">
          <reference field="4294967294" count="1" selected="0">
            <x v="2"/>
          </reference>
          <reference field="0" count="1" defaultSubtotal="1">
            <x v="0"/>
          </reference>
        </references>
      </pivotArea>
    </format>
    <format dxfId="512">
      <pivotArea field="0" dataOnly="0" labelOnly="1" outline="0" axis="axisCol" fieldPosition="0">
        <references count="1">
          <reference field="4294967294" count="1" selected="0">
            <x v="0"/>
          </reference>
        </references>
      </pivotArea>
    </format>
    <format dxfId="511">
      <pivotArea field="0" dataOnly="0" labelOnly="1" outline="0" axis="axisCol" fieldPosition="0">
        <references count="1">
          <reference field="4294967294" count="1" selected="0">
            <x v="1"/>
          </reference>
        </references>
      </pivotArea>
    </format>
    <format dxfId="510">
      <pivotArea field="0" dataOnly="0" labelOnly="1" outline="0" axis="axisCol" fieldPosition="0">
        <references count="1">
          <reference field="4294967294" count="1" selected="0">
            <x v="2"/>
          </reference>
        </references>
      </pivotArea>
    </format>
    <format dxfId="509">
      <pivotArea dataOnly="0" labelOnly="1" outline="0" fieldPosition="0">
        <references count="2">
          <reference field="4294967294" count="1" selected="0">
            <x v="0"/>
          </reference>
          <reference field="0" count="1" defaultSubtotal="1">
            <x v="0"/>
          </reference>
        </references>
      </pivotArea>
    </format>
    <format dxfId="508">
      <pivotArea dataOnly="0" labelOnly="1" outline="0" fieldPosition="0">
        <references count="2">
          <reference field="4294967294" count="1" selected="0">
            <x v="0"/>
          </reference>
          <reference field="0" count="1" defaultSubtotal="1">
            <x v="1"/>
          </reference>
        </references>
      </pivotArea>
    </format>
    <format dxfId="507">
      <pivotArea dataOnly="0" labelOnly="1" outline="0" fieldPosition="0">
        <references count="2">
          <reference field="4294967294" count="1" selected="0">
            <x v="1"/>
          </reference>
          <reference field="0" count="0" defaultSubtotal="1"/>
        </references>
      </pivotArea>
    </format>
    <format dxfId="506">
      <pivotArea dataOnly="0" labelOnly="1" outline="0" fieldPosition="0">
        <references count="2">
          <reference field="4294967294" count="1" selected="0">
            <x v="2"/>
          </reference>
          <reference field="0" count="0" defaultSubtotal="1"/>
        </references>
      </pivotArea>
    </format>
    <format dxfId="505">
      <pivotArea dataOnly="0" labelOnly="1" outline="0" fieldPosition="0">
        <references count="2">
          <reference field="4294967294" count="1" selected="0">
            <x v="2"/>
          </reference>
          <reference field="0" count="0" defaultSubtotal="1"/>
        </references>
      </pivotArea>
    </format>
    <format dxfId="504">
      <pivotArea dataOnly="0" labelOnly="1" outline="0" fieldPosition="0">
        <references count="2">
          <reference field="4294967294" count="1" selected="0">
            <x v="0"/>
          </reference>
          <reference field="0" count="0" defaultSubtotal="1"/>
        </references>
      </pivotArea>
    </format>
    <format dxfId="503">
      <pivotArea dataOnly="0" labelOnly="1" outline="0" fieldPosition="0">
        <references count="2">
          <reference field="4294967294" count="1" selected="0">
            <x v="1"/>
          </reference>
          <reference field="0" count="0" defaultSubtotal="1"/>
        </references>
      </pivotArea>
    </format>
    <format dxfId="502">
      <pivotArea dataOnly="0" labelOnly="1" outline="0" fieldPosition="0">
        <references count="2">
          <reference field="4294967294" count="1" selected="0">
            <x v="2"/>
          </reference>
          <reference field="0" count="1" defaultSubtotal="1">
            <x v="1"/>
          </reference>
        </references>
      </pivotArea>
    </format>
    <format dxfId="501">
      <pivotArea field="1" dataOnly="0" labelOnly="1" grandCol="1" outline="0" axis="axisCol" fieldPosition="1">
        <references count="1">
          <reference field="4294967294" count="1" selected="0">
            <x v="0"/>
          </reference>
        </references>
      </pivotArea>
    </format>
    <format dxfId="500">
      <pivotArea field="1" dataOnly="0" labelOnly="1" grandCol="1" outline="0" axis="axisCol" fieldPosition="1">
        <references count="1">
          <reference field="4294967294" count="1" selected="0">
            <x v="1"/>
          </reference>
        </references>
      </pivotArea>
    </format>
    <format dxfId="499">
      <pivotArea field="1" dataOnly="0" labelOnly="1" grandCol="1" outline="0" axis="axisCol" fieldPosition="1">
        <references count="1">
          <reference field="4294967294" count="1" selected="0">
            <x v="2"/>
          </reference>
        </references>
      </pivotArea>
    </format>
    <format dxfId="498">
      <pivotArea field="1" dataOnly="0" labelOnly="1" grandCol="1" outline="0" axis="axisCol" fieldPosition="1">
        <references count="1">
          <reference field="4294967294" count="1" selected="0">
            <x v="0"/>
          </reference>
        </references>
      </pivotArea>
    </format>
    <format dxfId="497">
      <pivotArea field="1" dataOnly="0" labelOnly="1" grandCol="1" outline="0" axis="axisCol" fieldPosition="1">
        <references count="1">
          <reference field="4294967294" count="1" selected="0">
            <x v="1"/>
          </reference>
        </references>
      </pivotArea>
    </format>
    <format dxfId="496">
      <pivotArea field="1" dataOnly="0" labelOnly="1" grandCol="1" outline="0" axis="axisCol" fieldPosition="1">
        <references count="1">
          <reference field="4294967294" count="1" selected="0">
            <x v="2"/>
          </reference>
        </references>
      </pivotArea>
    </format>
    <format dxfId="495">
      <pivotArea field="0" dataOnly="0" labelOnly="1" grandCol="1" outline="0" axis="axisCol" fieldPosition="0">
        <references count="1">
          <reference field="4294967294" count="1" selected="0">
            <x v="0"/>
          </reference>
        </references>
      </pivotArea>
    </format>
    <format dxfId="494">
      <pivotArea field="0" dataOnly="0" labelOnly="1" grandCol="1" outline="0" axis="axisCol" fieldPosition="0">
        <references count="1">
          <reference field="4294967294" count="1" selected="0">
            <x v="1"/>
          </reference>
        </references>
      </pivotArea>
    </format>
    <format dxfId="493">
      <pivotArea field="0" dataOnly="0" labelOnly="1" grandCol="1" outline="0" axis="axisCol" fieldPosition="0">
        <references count="1">
          <reference field="4294967294" count="1" selected="0">
            <x v="2"/>
          </reference>
        </references>
      </pivotArea>
    </format>
    <format dxfId="492">
      <pivotArea outline="0" fieldPosition="0">
        <references count="4">
          <reference field="4294967294" count="1" selected="0">
            <x v="0"/>
          </reference>
          <reference field="0" count="1" selected="0">
            <x v="0"/>
          </reference>
          <reference field="1" count="1" selected="0">
            <x v="1"/>
          </reference>
          <reference field="2" count="4" selected="0">
            <x v="9"/>
            <x v="10"/>
            <x v="11"/>
            <x v="12"/>
          </reference>
        </references>
      </pivotArea>
    </format>
    <format dxfId="491">
      <pivotArea outline="0" fieldPosition="0">
        <references count="4">
          <reference field="4294967294" count="1" selected="0">
            <x v="0"/>
          </reference>
          <reference field="0" count="1" selected="0">
            <x v="0"/>
          </reference>
          <reference field="1" count="1" selected="0">
            <x v="1"/>
          </reference>
          <reference field="2" count="4" selected="0">
            <x v="9"/>
            <x v="10"/>
            <x v="11"/>
            <x v="12"/>
          </reference>
        </references>
      </pivotArea>
    </format>
    <format dxfId="490">
      <pivotArea outline="0" fieldPosition="0">
        <references count="4">
          <reference field="4294967294" count="1" selected="0">
            <x v="0"/>
          </reference>
          <reference field="0" count="1" selected="0">
            <x v="1"/>
          </reference>
          <reference field="1" count="1" selected="0">
            <x v="2"/>
          </reference>
          <reference field="2" count="2" selected="0">
            <x v="11"/>
            <x v="12"/>
          </reference>
        </references>
      </pivotArea>
    </format>
    <format dxfId="489">
      <pivotArea outline="0" fieldPosition="0">
        <references count="4">
          <reference field="4294967294" count="1" selected="0">
            <x v="0"/>
          </reference>
          <reference field="0" count="1" selected="0">
            <x v="0"/>
          </reference>
          <reference field="1" count="1" selected="0">
            <x v="0"/>
          </reference>
          <reference field="2" count="15" selected="0">
            <x v="7"/>
            <x v="8"/>
            <x v="9"/>
            <x v="10"/>
            <x v="11"/>
            <x v="12"/>
            <x v="13"/>
            <x v="14"/>
            <x v="15"/>
            <x v="16"/>
            <x v="17"/>
            <x v="18"/>
            <x v="19"/>
            <x v="20"/>
            <x v="21"/>
          </reference>
        </references>
      </pivotArea>
    </format>
    <format dxfId="488">
      <pivotArea outline="0" fieldPosition="0">
        <references count="4">
          <reference field="4294967294" count="1" selected="0">
            <x v="1"/>
          </reference>
          <reference field="0" count="1" selected="0">
            <x v="0"/>
          </reference>
          <reference field="1" count="1" selected="0">
            <x v="1"/>
          </reference>
          <reference field="2" count="1" selected="0">
            <x v="13"/>
          </reference>
        </references>
      </pivotArea>
    </format>
    <format dxfId="487">
      <pivotArea outline="0" fieldPosition="0">
        <references count="4">
          <reference field="4294967294" count="1" selected="0">
            <x v="1"/>
          </reference>
          <reference field="0" count="1" selected="0">
            <x v="1"/>
          </reference>
          <reference field="1" count="1" selected="0">
            <x v="2"/>
          </reference>
          <reference field="2" count="1" selected="0">
            <x v="13"/>
          </reference>
        </references>
      </pivotArea>
    </format>
    <format dxfId="486">
      <pivotArea outline="0" fieldPosition="0">
        <references count="4">
          <reference field="4294967294" count="1" selected="0">
            <x v="1"/>
          </reference>
          <reference field="0" count="1" selected="0">
            <x v="0"/>
          </reference>
          <reference field="1" count="1" selected="0">
            <x v="0"/>
          </reference>
          <reference field="2" count="3" selected="0">
            <x v="15"/>
            <x v="16"/>
            <x v="17"/>
          </reference>
        </references>
      </pivotArea>
    </format>
    <format dxfId="485">
      <pivotArea outline="0" fieldPosition="0">
        <references count="4">
          <reference field="4294967294" count="1" selected="0">
            <x v="1"/>
          </reference>
          <reference field="0" count="1" selected="0">
            <x v="0"/>
          </reference>
          <reference field="1" count="1" selected="0">
            <x v="1"/>
          </reference>
          <reference field="2" count="3" selected="0">
            <x v="15"/>
            <x v="16"/>
            <x v="17"/>
          </reference>
        </references>
      </pivotArea>
    </format>
    <format dxfId="484">
      <pivotArea outline="0" fieldPosition="0">
        <references count="4">
          <reference field="4294967294" count="1" selected="0">
            <x v="1"/>
          </reference>
          <reference field="0" count="1" selected="0">
            <x v="1"/>
          </reference>
          <reference field="1" count="1" selected="0">
            <x v="2"/>
          </reference>
          <reference field="2" count="3" selected="0">
            <x v="15"/>
            <x v="16"/>
            <x v="17"/>
          </reference>
        </references>
      </pivotArea>
    </format>
    <format dxfId="483">
      <pivotArea outline="0" fieldPosition="0">
        <references count="4">
          <reference field="4294967294" count="1" selected="0">
            <x v="1"/>
          </reference>
          <reference field="0" count="1" selected="0">
            <x v="1"/>
          </reference>
          <reference field="1" count="1" selected="0">
            <x v="3"/>
          </reference>
          <reference field="2" count="3" selected="0">
            <x v="15"/>
            <x v="16"/>
            <x v="17"/>
          </reference>
        </references>
      </pivotArea>
    </format>
    <format dxfId="482">
      <pivotArea outline="0" fieldPosition="0">
        <references count="4">
          <reference field="4294967294" count="1" selected="0">
            <x v="1"/>
          </reference>
          <reference field="0" count="1" selected="0">
            <x v="0"/>
          </reference>
          <reference field="1" count="1" selected="0">
            <x v="0"/>
          </reference>
          <reference field="2" count="1" selected="0">
            <x v="13"/>
          </reference>
        </references>
      </pivotArea>
    </format>
  </formats>
  <chartFormats count="2">
    <chartFormat chart="0" format="10" series="1">
      <pivotArea type="data" outline="0" fieldPosition="0">
        <references count="1">
          <reference field="0" count="1" selected="0">
            <x v="0"/>
          </reference>
        </references>
      </pivotArea>
    </chartFormat>
    <chartFormat chart="0" format="11" series="1">
      <pivotArea type="data" outline="0" fieldPosition="0">
        <references count="1">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E4DACC5-F85F-42C2-901E-9E23113CB1AC}" name="PivotTable2" cacheId="3" applyNumberFormats="0" applyBorderFormats="0" applyFontFormats="0" applyPatternFormats="0" applyAlignmentFormats="0" applyWidthHeightFormats="1" dataCaption="Values" grandTotalCaption="Total" updatedVersion="8" minRefreshableVersion="3" itemPrintTitles="1" createdVersion="7" indent="0" compact="0" compactData="0" multipleFieldFilters="0" chartFormat="7">
  <location ref="A3:H28" firstHeaderRow="1" firstDataRow="3" firstDataCol="1"/>
  <pivotFields count="16">
    <pivotField axis="axisCol" compact="0" outline="0" showAll="0" sortType="descending">
      <items count="4">
        <item x="2"/>
        <item x="1"/>
        <item x="0"/>
        <item t="default"/>
      </items>
    </pivotField>
    <pivotField axis="axisCol" compact="0" outline="0" showAll="0">
      <items count="6">
        <item x="0"/>
        <item x="1"/>
        <item x="2"/>
        <item x="3"/>
        <item x="4"/>
        <item t="default"/>
      </items>
    </pivotField>
    <pivotField axis="axisRow" compact="0" outline="0" showAll="0" sortType="ascending">
      <items count="26">
        <item x="0"/>
        <item x="1"/>
        <item x="2"/>
        <item x="3"/>
        <item x="4"/>
        <item x="5"/>
        <item x="6"/>
        <item x="7"/>
        <item x="8"/>
        <item x="9"/>
        <item x="10"/>
        <item x="11"/>
        <item x="12"/>
        <item x="13"/>
        <item x="14"/>
        <item x="15"/>
        <item x="16"/>
        <item x="17"/>
        <item x="18"/>
        <item x="19"/>
        <item x="20"/>
        <item x="21"/>
        <item h="1" x="22"/>
        <item h="1" x="23"/>
        <item h="1" x="24"/>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s>
  <rowFields count="1">
    <field x="2"/>
  </rowFields>
  <rowItems count="23">
    <i>
      <x/>
    </i>
    <i>
      <x v="1"/>
    </i>
    <i>
      <x v="2"/>
    </i>
    <i>
      <x v="3"/>
    </i>
    <i>
      <x v="4"/>
    </i>
    <i>
      <x v="5"/>
    </i>
    <i>
      <x v="6"/>
    </i>
    <i>
      <x v="7"/>
    </i>
    <i>
      <x v="8"/>
    </i>
    <i>
      <x v="9"/>
    </i>
    <i>
      <x v="10"/>
    </i>
    <i>
      <x v="11"/>
    </i>
    <i>
      <x v="12"/>
    </i>
    <i>
      <x v="13"/>
    </i>
    <i>
      <x v="14"/>
    </i>
    <i>
      <x v="15"/>
    </i>
    <i>
      <x v="16"/>
    </i>
    <i>
      <x v="17"/>
    </i>
    <i>
      <x v="18"/>
    </i>
    <i>
      <x v="19"/>
    </i>
    <i>
      <x v="20"/>
    </i>
    <i>
      <x v="21"/>
    </i>
    <i t="grand">
      <x/>
    </i>
  </rowItems>
  <colFields count="2">
    <field x="0"/>
    <field x="1"/>
  </colFields>
  <colItems count="7">
    <i>
      <x v="1"/>
      <x v="2"/>
    </i>
    <i r="1">
      <x v="3"/>
    </i>
    <i t="default">
      <x v="1"/>
    </i>
    <i>
      <x v="2"/>
      <x/>
    </i>
    <i r="1">
      <x v="1"/>
    </i>
    <i t="default">
      <x v="2"/>
    </i>
    <i t="grand">
      <x/>
    </i>
  </colItems>
  <dataFields count="1">
    <dataField name="Total Sockeye" fld="12" baseField="2" baseItem="0"/>
  </dataFields>
  <formats count="171">
    <format dxfId="481">
      <pivotArea dataOnly="0" labelOnly="1" outline="0" fieldPosition="0">
        <references count="1">
          <reference field="0" count="1">
            <x v="2"/>
          </reference>
        </references>
      </pivotArea>
    </format>
    <format dxfId="480">
      <pivotArea dataOnly="0" labelOnly="1" outline="0" fieldPosition="0">
        <references count="1">
          <reference field="0" count="1">
            <x v="1"/>
          </reference>
        </references>
      </pivotArea>
    </format>
    <format dxfId="479">
      <pivotArea dataOnly="0" labelOnly="1" outline="0" fieldPosition="0">
        <references count="2">
          <reference field="4294967294" count="1">
            <x v="0"/>
          </reference>
          <reference field="0" count="1" selected="0">
            <x v="2"/>
          </reference>
        </references>
      </pivotArea>
    </format>
    <format dxfId="478">
      <pivotArea dataOnly="0" labelOnly="1" outline="0" fieldPosition="0">
        <references count="2">
          <reference field="4294967294" count="1">
            <x v="0"/>
          </reference>
          <reference field="0" count="1" selected="0">
            <x v="1"/>
          </reference>
        </references>
      </pivotArea>
    </format>
    <format dxfId="477">
      <pivotArea field="0" grandCol="1" outline="0" axis="axisCol" fieldPosition="0">
        <references count="1">
          <reference field="4294967294" count="1" selected="0">
            <x v="0"/>
          </reference>
        </references>
      </pivotArea>
    </format>
    <format dxfId="476">
      <pivotArea field="0" grandCol="1" outline="0" axis="axisCol" fieldPosition="0">
        <references count="1">
          <reference field="4294967294" count="1" selected="0">
            <x v="0"/>
          </reference>
        </references>
      </pivotArea>
    </format>
    <format dxfId="475">
      <pivotArea field="0" dataOnly="0" labelOnly="1" grandCol="1" outline="0" axis="axisCol" fieldPosition="0">
        <references count="1">
          <reference field="4294967294" count="1" selected="0">
            <x v="0"/>
          </reference>
        </references>
      </pivotArea>
    </format>
    <format dxfId="474">
      <pivotArea dataOnly="0" labelOnly="1" outline="0" fieldPosition="0">
        <references count="2">
          <reference field="4294967294" count="1">
            <x v="0"/>
          </reference>
          <reference field="0" count="1" selected="0">
            <x v="2"/>
          </reference>
        </references>
      </pivotArea>
    </format>
    <format dxfId="473">
      <pivotArea dataOnly="0" labelOnly="1" outline="0" fieldPosition="0">
        <references count="2">
          <reference field="4294967294" count="1">
            <x v="0"/>
          </reference>
          <reference field="0" count="1" selected="0">
            <x v="1"/>
          </reference>
        </references>
      </pivotArea>
    </format>
    <format dxfId="472">
      <pivotArea dataOnly="0" labelOnly="1" outline="0" fieldPosition="0">
        <references count="1">
          <reference field="2" count="0"/>
        </references>
      </pivotArea>
    </format>
    <format dxfId="471">
      <pivotArea outline="0" collapsedLevelsAreSubtotals="1" fieldPosition="0"/>
    </format>
    <format dxfId="470">
      <pivotArea grandRow="1" outline="0" collapsedLevelsAreSubtotals="1" fieldPosition="0"/>
    </format>
    <format dxfId="469">
      <pivotArea dataOnly="0" labelOnly="1" grandRow="1" outline="0" fieldPosition="0"/>
    </format>
    <format dxfId="468">
      <pivotArea type="all" dataOnly="0" outline="0" fieldPosition="0"/>
    </format>
    <format dxfId="467">
      <pivotArea outline="0" collapsedLevelsAreSubtotals="1" fieldPosition="0"/>
    </format>
    <format dxfId="466">
      <pivotArea type="origin" dataOnly="0" labelOnly="1" outline="0" fieldPosition="0"/>
    </format>
    <format dxfId="465">
      <pivotArea field="0" type="button" dataOnly="0" labelOnly="1" outline="0" axis="axisCol" fieldPosition="0"/>
    </format>
    <format dxfId="464">
      <pivotArea field="2" type="button" dataOnly="0" labelOnly="1" outline="0" axis="axisRow" fieldPosition="0"/>
    </format>
    <format dxfId="463">
      <pivotArea dataOnly="0" labelOnly="1" grandRow="1" outline="0" fieldPosition="0"/>
    </format>
    <format dxfId="462">
      <pivotArea dataOnly="0" labelOnly="1" outline="0" fieldPosition="0">
        <references count="1">
          <reference field="0" count="0"/>
        </references>
      </pivotArea>
    </format>
    <format dxfId="461">
      <pivotArea field="0" dataOnly="0" labelOnly="1" grandCol="1" outline="0" axis="axisCol" fieldPosition="0">
        <references count="1">
          <reference field="4294967294" count="1" selected="0">
            <x v="0"/>
          </reference>
        </references>
      </pivotArea>
    </format>
    <format dxfId="460">
      <pivotArea dataOnly="0" labelOnly="1" outline="0" fieldPosition="0">
        <references count="2">
          <reference field="4294967294" count="1">
            <x v="0"/>
          </reference>
          <reference field="0" count="1" selected="0">
            <x v="2"/>
          </reference>
        </references>
      </pivotArea>
    </format>
    <format dxfId="459">
      <pivotArea dataOnly="0" labelOnly="1" outline="0" fieldPosition="0">
        <references count="2">
          <reference field="4294967294" count="1">
            <x v="0"/>
          </reference>
          <reference field="0" count="1" selected="0">
            <x v="1"/>
          </reference>
        </references>
      </pivotArea>
    </format>
    <format dxfId="458">
      <pivotArea field="0" grandCol="1" outline="0" axis="axisCol" fieldPosition="0">
        <references count="1">
          <reference field="4294967294" count="1" selected="0">
            <x v="0"/>
          </reference>
        </references>
      </pivotArea>
    </format>
    <format dxfId="457">
      <pivotArea field="0" type="button" dataOnly="0" labelOnly="1" outline="0" axis="axisCol" fieldPosition="0"/>
    </format>
    <format dxfId="456">
      <pivotArea dataOnly="0" labelOnly="1" outline="0" fieldPosition="0">
        <references count="1">
          <reference field="0" count="0"/>
        </references>
      </pivotArea>
    </format>
    <format dxfId="455">
      <pivotArea field="1" type="button" dataOnly="0" labelOnly="1" outline="0" axis="axisCol" fieldPosition="1"/>
    </format>
    <format dxfId="454">
      <pivotArea outline="0" fieldPosition="0">
        <references count="1">
          <reference field="0" count="1" selected="0" defaultSubtotal="1">
            <x v="2"/>
          </reference>
        </references>
      </pivotArea>
    </format>
    <format dxfId="453">
      <pivotArea dataOnly="0" labelOnly="1" outline="0" fieldPosition="0">
        <references count="2">
          <reference field="4294967294" count="1" selected="0">
            <x v="0"/>
          </reference>
          <reference field="0" count="1" defaultSubtotal="1">
            <x v="2"/>
          </reference>
        </references>
      </pivotArea>
    </format>
    <format dxfId="452">
      <pivotArea dataOnly="0" labelOnly="1" outline="0" fieldPosition="0">
        <references count="2">
          <reference field="0" count="1" selected="0">
            <x v="2"/>
          </reference>
          <reference field="1" count="2">
            <x v="0"/>
            <x v="1"/>
          </reference>
        </references>
      </pivotArea>
    </format>
    <format dxfId="451">
      <pivotArea dataOnly="0" labelOnly="1" outline="0" fieldPosition="0">
        <references count="3">
          <reference field="4294967294" count="1">
            <x v="0"/>
          </reference>
          <reference field="0" count="1" selected="0">
            <x v="2"/>
          </reference>
          <reference field="1" count="1" selected="0">
            <x v="0"/>
          </reference>
        </references>
      </pivotArea>
    </format>
    <format dxfId="450">
      <pivotArea dataOnly="0" labelOnly="1" outline="0" fieldPosition="0">
        <references count="3">
          <reference field="4294967294" count="1">
            <x v="0"/>
          </reference>
          <reference field="0" count="1" selected="0">
            <x v="2"/>
          </reference>
          <reference field="1" count="1" selected="0">
            <x v="1"/>
          </reference>
        </references>
      </pivotArea>
    </format>
    <format dxfId="449">
      <pivotArea dataOnly="0" labelOnly="1" outline="0" fieldPosition="0">
        <references count="2">
          <reference field="4294967294" count="1" selected="0">
            <x v="0"/>
          </reference>
          <reference field="0" count="1" defaultSubtotal="1">
            <x v="2"/>
          </reference>
        </references>
      </pivotArea>
    </format>
    <format dxfId="448">
      <pivotArea outline="0" fieldPosition="0">
        <references count="1">
          <reference field="0" count="1" selected="0" defaultSubtotal="1">
            <x v="1"/>
          </reference>
        </references>
      </pivotArea>
    </format>
    <format dxfId="447">
      <pivotArea dataOnly="0" labelOnly="1" outline="0" fieldPosition="0">
        <references count="3">
          <reference field="4294967294" count="1">
            <x v="0"/>
          </reference>
          <reference field="0" count="1" selected="0">
            <x v="1"/>
          </reference>
          <reference field="1" count="1" selected="0">
            <x v="2"/>
          </reference>
        </references>
      </pivotArea>
    </format>
    <format dxfId="446">
      <pivotArea dataOnly="0" labelOnly="1" outline="0" fieldPosition="0">
        <references count="3">
          <reference field="4294967294" count="1">
            <x v="0"/>
          </reference>
          <reference field="0" count="1" selected="0">
            <x v="1"/>
          </reference>
          <reference field="1" count="1" selected="0">
            <x v="3"/>
          </reference>
        </references>
      </pivotArea>
    </format>
    <format dxfId="445">
      <pivotArea outline="0" fieldPosition="0">
        <references count="2">
          <reference field="4294967294" count="1" selected="0">
            <x v="0"/>
          </reference>
          <reference field="0" count="1" selected="0" defaultSubtotal="1">
            <x v="1"/>
          </reference>
        </references>
      </pivotArea>
    </format>
    <format dxfId="444">
      <pivotArea field="2" grandCol="1" outline="0" axis="axisRow" fieldPosition="0">
        <references count="2">
          <reference field="4294967294" count="1" selected="0">
            <x v="0"/>
          </reference>
          <reference field="2" count="0" selected="0"/>
        </references>
      </pivotArea>
    </format>
    <format dxfId="443">
      <pivotArea field="0" grandCol="1" outline="0" axis="axisCol" fieldPosition="0">
        <references count="1">
          <reference field="4294967294" count="1" selected="0">
            <x v="0"/>
          </reference>
        </references>
      </pivotArea>
    </format>
    <format dxfId="442">
      <pivotArea dataOnly="0" labelOnly="1" outline="0" fieldPosition="0">
        <references count="2">
          <reference field="0" count="1" selected="0">
            <x v="1"/>
          </reference>
          <reference field="1" count="2">
            <x v="2"/>
            <x v="3"/>
          </reference>
        </references>
      </pivotArea>
    </format>
    <format dxfId="441">
      <pivotArea dataOnly="0" labelOnly="1" outline="0" fieldPosition="0">
        <references count="2">
          <reference field="0" count="1" selected="0">
            <x v="2"/>
          </reference>
          <reference field="1" count="1">
            <x v="0"/>
          </reference>
        </references>
      </pivotArea>
    </format>
    <format dxfId="440">
      <pivotArea dataOnly="0" labelOnly="1" outline="0" fieldPosition="0">
        <references count="2">
          <reference field="0" count="1" selected="0">
            <x v="2"/>
          </reference>
          <reference field="1" count="1">
            <x v="1"/>
          </reference>
        </references>
      </pivotArea>
    </format>
    <format dxfId="439">
      <pivotArea dataOnly="0" labelOnly="1" outline="0" fieldPosition="0">
        <references count="2">
          <reference field="0" count="1" selected="0">
            <x v="1"/>
          </reference>
          <reference field="1" count="1">
            <x v="2"/>
          </reference>
        </references>
      </pivotArea>
    </format>
    <format dxfId="438">
      <pivotArea dataOnly="0" labelOnly="1" outline="0" fieldPosition="0">
        <references count="1">
          <reference field="0" count="1">
            <x v="2"/>
          </reference>
        </references>
      </pivotArea>
    </format>
    <format dxfId="437">
      <pivotArea dataOnly="0" labelOnly="1" outline="0" fieldPosition="0">
        <references count="1">
          <reference field="0" count="1">
            <x v="1"/>
          </reference>
        </references>
      </pivotArea>
    </format>
    <format dxfId="436">
      <pivotArea field="-2" type="button" dataOnly="0" labelOnly="1" outline="0" axis="axisValues" fieldPosition="0"/>
    </format>
    <format dxfId="435">
      <pivotArea type="topRight" dataOnly="0" labelOnly="1" outline="0" fieldPosition="0"/>
    </format>
    <format dxfId="434">
      <pivotArea type="origin" dataOnly="0" labelOnly="1" outline="0" fieldPosition="0"/>
    </format>
    <format dxfId="433">
      <pivotArea field="0" type="button" dataOnly="0" labelOnly="1" outline="0" axis="axisCol" fieldPosition="0"/>
    </format>
    <format dxfId="432">
      <pivotArea field="1" type="button" dataOnly="0" labelOnly="1" outline="0" axis="axisCol" fieldPosition="1"/>
    </format>
    <format dxfId="431">
      <pivotArea field="-2" type="button" dataOnly="0" labelOnly="1" outline="0" axis="axisValues" fieldPosition="0"/>
    </format>
    <format dxfId="430">
      <pivotArea type="topRight" dataOnly="0" labelOnly="1" outline="0" fieldPosition="0"/>
    </format>
    <format dxfId="429">
      <pivotArea field="2" type="button" dataOnly="0" labelOnly="1" outline="0" axis="axisRow" fieldPosition="0"/>
    </format>
    <format dxfId="428">
      <pivotArea dataOnly="0" labelOnly="1" outline="0" fieldPosition="0">
        <references count="1">
          <reference field="0" count="0"/>
        </references>
      </pivotArea>
    </format>
    <format dxfId="427">
      <pivotArea dataOnly="0" labelOnly="1" outline="0" fieldPosition="0">
        <references count="2">
          <reference field="4294967294" count="1" selected="0">
            <x v="0"/>
          </reference>
          <reference field="0" count="0" defaultSubtotal="1"/>
        </references>
      </pivotArea>
    </format>
    <format dxfId="426">
      <pivotArea field="0" dataOnly="0" labelOnly="1" grandCol="1" outline="0" axis="axisCol" fieldPosition="0">
        <references count="1">
          <reference field="4294967294" count="1" selected="0">
            <x v="0"/>
          </reference>
        </references>
      </pivotArea>
    </format>
    <format dxfId="425">
      <pivotArea dataOnly="0" labelOnly="1" outline="0" fieldPosition="0">
        <references count="2">
          <reference field="0" count="1" selected="0">
            <x v="2"/>
          </reference>
          <reference field="1" count="2">
            <x v="0"/>
            <x v="1"/>
          </reference>
        </references>
      </pivotArea>
    </format>
    <format dxfId="424">
      <pivotArea dataOnly="0" labelOnly="1" outline="0" fieldPosition="0">
        <references count="2">
          <reference field="0" count="1" selected="0">
            <x v="1"/>
          </reference>
          <reference field="1" count="2">
            <x v="2"/>
            <x v="3"/>
          </reference>
        </references>
      </pivotArea>
    </format>
    <format dxfId="423">
      <pivotArea dataOnly="0" labelOnly="1" outline="0" fieldPosition="0">
        <references count="3">
          <reference field="4294967294" count="1">
            <x v="0"/>
          </reference>
          <reference field="0" count="1" selected="0">
            <x v="2"/>
          </reference>
          <reference field="1" count="1" selected="0">
            <x v="0"/>
          </reference>
        </references>
      </pivotArea>
    </format>
    <format dxfId="422">
      <pivotArea dataOnly="0" labelOnly="1" outline="0" fieldPosition="0">
        <references count="3">
          <reference field="4294967294" count="1">
            <x v="0"/>
          </reference>
          <reference field="0" count="1" selected="0">
            <x v="2"/>
          </reference>
          <reference field="1" count="1" selected="0">
            <x v="1"/>
          </reference>
        </references>
      </pivotArea>
    </format>
    <format dxfId="421">
      <pivotArea dataOnly="0" labelOnly="1" outline="0" fieldPosition="0">
        <references count="3">
          <reference field="4294967294" count="1">
            <x v="0"/>
          </reference>
          <reference field="0" count="1" selected="0">
            <x v="1"/>
          </reference>
          <reference field="1" count="1" selected="0">
            <x v="2"/>
          </reference>
        </references>
      </pivotArea>
    </format>
    <format dxfId="420">
      <pivotArea dataOnly="0" labelOnly="1" outline="0" fieldPosition="0">
        <references count="3">
          <reference field="4294967294" count="1">
            <x v="0"/>
          </reference>
          <reference field="0" count="1" selected="0">
            <x v="1"/>
          </reference>
          <reference field="1" count="1" selected="0">
            <x v="3"/>
          </reference>
        </references>
      </pivotArea>
    </format>
    <format dxfId="419">
      <pivotArea type="origin" dataOnly="0" labelOnly="1" outline="0" fieldPosition="0"/>
    </format>
    <format dxfId="418">
      <pivotArea field="0" type="button" dataOnly="0" labelOnly="1" outline="0" axis="axisCol" fieldPosition="0"/>
    </format>
    <format dxfId="417">
      <pivotArea field="1" type="button" dataOnly="0" labelOnly="1" outline="0" axis="axisCol" fieldPosition="1"/>
    </format>
    <format dxfId="416">
      <pivotArea field="-2" type="button" dataOnly="0" labelOnly="1" outline="0" axis="axisValues" fieldPosition="0"/>
    </format>
    <format dxfId="415">
      <pivotArea type="topRight" dataOnly="0" labelOnly="1" outline="0" fieldPosition="0"/>
    </format>
    <format dxfId="414">
      <pivotArea field="2" type="button" dataOnly="0" labelOnly="1" outline="0" axis="axisRow" fieldPosition="0"/>
    </format>
    <format dxfId="413">
      <pivotArea dataOnly="0" labelOnly="1" outline="0" fieldPosition="0">
        <references count="1">
          <reference field="0" count="0"/>
        </references>
      </pivotArea>
    </format>
    <format dxfId="412">
      <pivotArea dataOnly="0" labelOnly="1" outline="0" fieldPosition="0">
        <references count="2">
          <reference field="4294967294" count="1" selected="0">
            <x v="0"/>
          </reference>
          <reference field="0" count="0" defaultSubtotal="1"/>
        </references>
      </pivotArea>
    </format>
    <format dxfId="411">
      <pivotArea field="0" dataOnly="0" labelOnly="1" grandCol="1" outline="0" axis="axisCol" fieldPosition="0">
        <references count="1">
          <reference field="4294967294" count="1" selected="0">
            <x v="0"/>
          </reference>
        </references>
      </pivotArea>
    </format>
    <format dxfId="410">
      <pivotArea dataOnly="0" labelOnly="1" outline="0" fieldPosition="0">
        <references count="2">
          <reference field="0" count="1" selected="0">
            <x v="2"/>
          </reference>
          <reference field="1" count="2">
            <x v="0"/>
            <x v="1"/>
          </reference>
        </references>
      </pivotArea>
    </format>
    <format dxfId="409">
      <pivotArea dataOnly="0" labelOnly="1" outline="0" fieldPosition="0">
        <references count="2">
          <reference field="0" count="1" selected="0">
            <x v="1"/>
          </reference>
          <reference field="1" count="2">
            <x v="2"/>
            <x v="3"/>
          </reference>
        </references>
      </pivotArea>
    </format>
    <format dxfId="408">
      <pivotArea dataOnly="0" labelOnly="1" outline="0" fieldPosition="0">
        <references count="3">
          <reference field="4294967294" count="1">
            <x v="0"/>
          </reference>
          <reference field="0" count="1" selected="0">
            <x v="2"/>
          </reference>
          <reference field="1" count="1" selected="0">
            <x v="0"/>
          </reference>
        </references>
      </pivotArea>
    </format>
    <format dxfId="407">
      <pivotArea dataOnly="0" labelOnly="1" outline="0" fieldPosition="0">
        <references count="3">
          <reference field="4294967294" count="1">
            <x v="0"/>
          </reference>
          <reference field="0" count="1" selected="0">
            <x v="2"/>
          </reference>
          <reference field="1" count="1" selected="0">
            <x v="1"/>
          </reference>
        </references>
      </pivotArea>
    </format>
    <format dxfId="406">
      <pivotArea dataOnly="0" labelOnly="1" outline="0" fieldPosition="0">
        <references count="3">
          <reference field="4294967294" count="1">
            <x v="0"/>
          </reference>
          <reference field="0" count="1" selected="0">
            <x v="1"/>
          </reference>
          <reference field="1" count="1" selected="0">
            <x v="2"/>
          </reference>
        </references>
      </pivotArea>
    </format>
    <format dxfId="405">
      <pivotArea dataOnly="0" labelOnly="1" outline="0" fieldPosition="0">
        <references count="3">
          <reference field="4294967294" count="1">
            <x v="0"/>
          </reference>
          <reference field="0" count="1" selected="0">
            <x v="1"/>
          </reference>
          <reference field="1" count="1" selected="0">
            <x v="3"/>
          </reference>
        </references>
      </pivotArea>
    </format>
    <format dxfId="404">
      <pivotArea dataOnly="0" labelOnly="1" outline="0" fieldPosition="0">
        <references count="2">
          <reference field="0" count="1" selected="0">
            <x v="1"/>
          </reference>
          <reference field="1" count="2">
            <x v="2"/>
            <x v="3"/>
          </reference>
        </references>
      </pivotArea>
    </format>
    <format dxfId="403">
      <pivotArea dataOnly="0" labelOnly="1" outline="0" offset="A256" fieldPosition="0">
        <references count="2">
          <reference field="0" count="1" selected="0">
            <x v="1"/>
          </reference>
          <reference field="1" count="1">
            <x v="3"/>
          </reference>
        </references>
      </pivotArea>
    </format>
    <format dxfId="402">
      <pivotArea dataOnly="0" labelOnly="1" outline="0" fieldPosition="0">
        <references count="2">
          <reference field="0" count="1" selected="0">
            <x v="2"/>
          </reference>
          <reference field="1" count="2">
            <x v="0"/>
            <x v="1"/>
          </reference>
        </references>
      </pivotArea>
    </format>
    <format dxfId="401">
      <pivotArea dataOnly="0" outline="0" fieldPosition="0">
        <references count="1">
          <reference field="1" count="1">
            <x v="1"/>
          </reference>
        </references>
      </pivotArea>
    </format>
    <format dxfId="400">
      <pivotArea dataOnly="0" labelOnly="1" grandRow="1" outline="0" fieldPosition="0"/>
    </format>
    <format dxfId="399">
      <pivotArea outline="0" fieldPosition="0">
        <references count="1">
          <reference field="2" count="0" selected="0"/>
        </references>
      </pivotArea>
    </format>
    <format dxfId="398">
      <pivotArea dataOnly="0" labelOnly="1" outline="0" fieldPosition="0">
        <references count="1">
          <reference field="2" count="0"/>
        </references>
      </pivotArea>
    </format>
    <format dxfId="397">
      <pivotArea field="0" type="button" dataOnly="0" labelOnly="1" outline="0" axis="axisCol" fieldPosition="0"/>
    </format>
    <format dxfId="396">
      <pivotArea field="1" type="button" dataOnly="0" labelOnly="1" outline="0" axis="axisCol" fieldPosition="1"/>
    </format>
    <format dxfId="395">
      <pivotArea field="-2" type="button" dataOnly="0" labelOnly="1" outline="0" axis="axisValues" fieldPosition="0"/>
    </format>
    <format dxfId="394">
      <pivotArea type="topRight" dataOnly="0" labelOnly="1" outline="0" fieldPosition="0"/>
    </format>
    <format dxfId="393">
      <pivotArea dataOnly="0" labelOnly="1" outline="0" fieldPosition="0">
        <references count="1">
          <reference field="0" count="0"/>
        </references>
      </pivotArea>
    </format>
    <format dxfId="392">
      <pivotArea dataOnly="0" labelOnly="1" outline="0" fieldPosition="0">
        <references count="2">
          <reference field="4294967294" count="1" selected="0">
            <x v="0"/>
          </reference>
          <reference field="0" count="0" defaultSubtotal="1"/>
        </references>
      </pivotArea>
    </format>
    <format dxfId="391">
      <pivotArea dataOnly="0" labelOnly="1" outline="0" fieldPosition="0">
        <references count="2">
          <reference field="0" count="1" selected="0">
            <x v="2"/>
          </reference>
          <reference field="1" count="2">
            <x v="0"/>
            <x v="1"/>
          </reference>
        </references>
      </pivotArea>
    </format>
    <format dxfId="390">
      <pivotArea dataOnly="0" labelOnly="1" outline="0" fieldPosition="0">
        <references count="2">
          <reference field="0" count="1" selected="0">
            <x v="1"/>
          </reference>
          <reference field="1" count="2">
            <x v="2"/>
            <x v="3"/>
          </reference>
        </references>
      </pivotArea>
    </format>
    <format dxfId="389">
      <pivotArea dataOnly="0" labelOnly="1" outline="0" fieldPosition="0">
        <references count="2">
          <reference field="0" count="1" selected="0">
            <x v="2"/>
          </reference>
          <reference field="1" count="1">
            <x v="0"/>
          </reference>
        </references>
      </pivotArea>
    </format>
    <format dxfId="388">
      <pivotArea dataOnly="0" labelOnly="1" outline="0" fieldPosition="0">
        <references count="2">
          <reference field="0" count="1" selected="0">
            <x v="2"/>
          </reference>
          <reference field="1" count="1">
            <x v="1"/>
          </reference>
        </references>
      </pivotArea>
    </format>
    <format dxfId="387">
      <pivotArea dataOnly="0" labelOnly="1" outline="0" fieldPosition="0">
        <references count="2">
          <reference field="0" count="1" selected="0">
            <x v="1"/>
          </reference>
          <reference field="1" count="1">
            <x v="2"/>
          </reference>
        </references>
      </pivotArea>
    </format>
    <format dxfId="386">
      <pivotArea dataOnly="0" labelOnly="1" outline="0" fieldPosition="0">
        <references count="2">
          <reference field="0" count="1" selected="0">
            <x v="1"/>
          </reference>
          <reference field="1" count="1">
            <x v="3"/>
          </reference>
        </references>
      </pivotArea>
    </format>
    <format dxfId="385">
      <pivotArea dataOnly="0" labelOnly="1" outline="0" fieldPosition="0">
        <references count="3">
          <reference field="4294967294" count="1">
            <x v="0"/>
          </reference>
          <reference field="0" count="1" selected="0">
            <x v="2"/>
          </reference>
          <reference field="1" count="1" selected="0">
            <x v="0"/>
          </reference>
        </references>
      </pivotArea>
    </format>
    <format dxfId="384">
      <pivotArea dataOnly="0" labelOnly="1" outline="0" fieldPosition="0">
        <references count="3">
          <reference field="4294967294" count="1">
            <x v="0"/>
          </reference>
          <reference field="0" count="1" selected="0">
            <x v="2"/>
          </reference>
          <reference field="1" count="1" selected="0">
            <x v="1"/>
          </reference>
        </references>
      </pivotArea>
    </format>
    <format dxfId="383">
      <pivotArea dataOnly="0" labelOnly="1" outline="0" fieldPosition="0">
        <references count="3">
          <reference field="4294967294" count="1">
            <x v="0"/>
          </reference>
          <reference field="0" count="1" selected="0">
            <x v="1"/>
          </reference>
          <reference field="1" count="1" selected="0">
            <x v="2"/>
          </reference>
        </references>
      </pivotArea>
    </format>
    <format dxfId="382">
      <pivotArea dataOnly="0" labelOnly="1" outline="0" fieldPosition="0">
        <references count="3">
          <reference field="4294967294" count="1">
            <x v="0"/>
          </reference>
          <reference field="0" count="1" selected="0">
            <x v="1"/>
          </reference>
          <reference field="1" count="1" selected="0">
            <x v="3"/>
          </reference>
        </references>
      </pivotArea>
    </format>
    <format dxfId="381">
      <pivotArea type="origin" dataOnly="0" labelOnly="1" outline="0" fieldPosition="0"/>
    </format>
    <format dxfId="380">
      <pivotArea field="2" type="button" dataOnly="0" labelOnly="1" outline="0" axis="axisRow" fieldPosition="0"/>
    </format>
    <format dxfId="379">
      <pivotArea field="0" type="button" dataOnly="0" labelOnly="1" outline="0" axis="axisCol" fieldPosition="0"/>
    </format>
    <format dxfId="378">
      <pivotArea dataOnly="0" labelOnly="1" outline="0" fieldPosition="0">
        <references count="1">
          <reference field="0" count="1">
            <x v="2"/>
          </reference>
        </references>
      </pivotArea>
    </format>
    <format dxfId="377">
      <pivotArea dataOnly="0" labelOnly="1" outline="0" fieldPosition="0">
        <references count="2">
          <reference field="0" count="1" selected="0">
            <x v="2"/>
          </reference>
          <reference field="1" count="2">
            <x v="0"/>
            <x v="1"/>
          </reference>
        </references>
      </pivotArea>
    </format>
    <format dxfId="376">
      <pivotArea field="1" type="button" dataOnly="0" labelOnly="1" outline="0" axis="axisCol" fieldPosition="1"/>
    </format>
    <format dxfId="375">
      <pivotArea dataOnly="0" labelOnly="1" outline="0" fieldPosition="0">
        <references count="2">
          <reference field="0" count="1" selected="0">
            <x v="1"/>
          </reference>
          <reference field="1" count="2">
            <x v="2"/>
            <x v="3"/>
          </reference>
        </references>
      </pivotArea>
    </format>
    <format dxfId="374">
      <pivotArea field="0" dataOnly="0" labelOnly="1" grandCol="1" outline="0" axis="axisCol" fieldPosition="0">
        <references count="1">
          <reference field="4294967294" count="1" selected="0">
            <x v="0"/>
          </reference>
        </references>
      </pivotArea>
    </format>
    <format dxfId="373">
      <pivotArea field="0" dataOnly="0" labelOnly="1" grandCol="1" outline="0" axis="axisCol" fieldPosition="0">
        <references count="1">
          <reference field="4294967294" count="1" selected="0">
            <x v="0"/>
          </reference>
        </references>
      </pivotArea>
    </format>
    <format dxfId="372">
      <pivotArea dataOnly="0" labelOnly="1" outline="0" fieldPosition="0">
        <references count="1">
          <reference field="0" count="1">
            <x v="1"/>
          </reference>
        </references>
      </pivotArea>
    </format>
    <format dxfId="371">
      <pivotArea dataOnly="0" labelOnly="1" outline="0" fieldPosition="0">
        <references count="2">
          <reference field="0" count="1" selected="0">
            <x v="2"/>
          </reference>
          <reference field="1" count="2">
            <x v="0"/>
            <x v="1"/>
          </reference>
        </references>
      </pivotArea>
    </format>
    <format dxfId="370">
      <pivotArea dataOnly="0" labelOnly="1" outline="0" fieldPosition="0">
        <references count="3">
          <reference field="4294967294" count="1">
            <x v="0"/>
          </reference>
          <reference field="0" count="1" selected="0">
            <x v="2"/>
          </reference>
          <reference field="1" count="1" selected="0">
            <x v="0"/>
          </reference>
        </references>
      </pivotArea>
    </format>
    <format dxfId="369">
      <pivotArea dataOnly="0" labelOnly="1" outline="0" fieldPosition="0">
        <references count="3">
          <reference field="4294967294" count="1">
            <x v="0"/>
          </reference>
          <reference field="0" count="1" selected="0">
            <x v="2"/>
          </reference>
          <reference field="1" count="1" selected="0">
            <x v="1"/>
          </reference>
        </references>
      </pivotArea>
    </format>
    <format dxfId="368">
      <pivotArea dataOnly="0" labelOnly="1" outline="0" fieldPosition="0">
        <references count="2">
          <reference field="0" count="1" selected="0">
            <x v="1"/>
          </reference>
          <reference field="1" count="2">
            <x v="2"/>
            <x v="3"/>
          </reference>
        </references>
      </pivotArea>
    </format>
    <format dxfId="367">
      <pivotArea dataOnly="0" labelOnly="1" outline="0" fieldPosition="0">
        <references count="3">
          <reference field="4294967294" count="1">
            <x v="0"/>
          </reference>
          <reference field="0" count="1" selected="0">
            <x v="1"/>
          </reference>
          <reference field="1" count="1" selected="0">
            <x v="2"/>
          </reference>
        </references>
      </pivotArea>
    </format>
    <format dxfId="366">
      <pivotArea dataOnly="0" labelOnly="1" outline="0" fieldPosition="0">
        <references count="3">
          <reference field="4294967294" count="1">
            <x v="0"/>
          </reference>
          <reference field="0" count="1" selected="0">
            <x v="1"/>
          </reference>
          <reference field="1" count="1" selected="0">
            <x v="3"/>
          </reference>
        </references>
      </pivotArea>
    </format>
    <format dxfId="365">
      <pivotArea dataOnly="0" labelOnly="1" outline="0" fieldPosition="0">
        <references count="3">
          <reference field="4294967294" count="1">
            <x v="0"/>
          </reference>
          <reference field="0" count="1" selected="0">
            <x v="2"/>
          </reference>
          <reference field="1" count="1" selected="0">
            <x v="0"/>
          </reference>
        </references>
      </pivotArea>
    </format>
    <format dxfId="364">
      <pivotArea dataOnly="0" labelOnly="1" outline="0" fieldPosition="0">
        <references count="3">
          <reference field="4294967294" count="1">
            <x v="0"/>
          </reference>
          <reference field="0" count="1" selected="0">
            <x v="2"/>
          </reference>
          <reference field="1" count="1" selected="0">
            <x v="1"/>
          </reference>
        </references>
      </pivotArea>
    </format>
    <format dxfId="363">
      <pivotArea dataOnly="0" labelOnly="1" outline="0" fieldPosition="0">
        <references count="3">
          <reference field="4294967294" count="1">
            <x v="0"/>
          </reference>
          <reference field="0" count="1" selected="0">
            <x v="1"/>
          </reference>
          <reference field="1" count="1" selected="0">
            <x v="2"/>
          </reference>
        </references>
      </pivotArea>
    </format>
    <format dxfId="362">
      <pivotArea dataOnly="0" labelOnly="1" outline="0" fieldPosition="0">
        <references count="3">
          <reference field="4294967294" count="1">
            <x v="0"/>
          </reference>
          <reference field="0" count="1" selected="0">
            <x v="1"/>
          </reference>
          <reference field="1" count="1" selected="0">
            <x v="3"/>
          </reference>
        </references>
      </pivotArea>
    </format>
    <format dxfId="361">
      <pivotArea dataOnly="0" labelOnly="1" outline="0" fieldPosition="0">
        <references count="2">
          <reference field="0" count="1" selected="0">
            <x v="1"/>
          </reference>
          <reference field="1" count="1">
            <x v="3"/>
          </reference>
        </references>
      </pivotArea>
    </format>
    <format dxfId="360">
      <pivotArea dataOnly="0" labelOnly="1" outline="0" fieldPosition="0">
        <references count="3">
          <reference field="4294967294" count="1">
            <x v="0"/>
          </reference>
          <reference field="0" count="1" selected="0">
            <x v="1"/>
          </reference>
          <reference field="1" count="1" selected="0">
            <x v="3"/>
          </reference>
        </references>
      </pivotArea>
    </format>
    <format dxfId="359">
      <pivotArea dataOnly="0" labelOnly="1" outline="0" fieldPosition="0">
        <references count="3">
          <reference field="4294967294" count="1">
            <x v="0"/>
          </reference>
          <reference field="0" count="1" selected="0">
            <x v="2"/>
          </reference>
          <reference field="1" count="1" selected="0">
            <x v="1"/>
          </reference>
        </references>
      </pivotArea>
    </format>
    <format dxfId="358">
      <pivotArea field="0" type="button" dataOnly="0" labelOnly="1" outline="0" axis="axisCol" fieldPosition="0"/>
    </format>
    <format dxfId="357">
      <pivotArea field="2" grandCol="1" outline="0" axis="axisRow" fieldPosition="0">
        <references count="2">
          <reference field="4294967294" count="1" selected="0">
            <x v="0"/>
          </reference>
          <reference field="2" count="1" selected="0">
            <x v="11"/>
          </reference>
        </references>
      </pivotArea>
    </format>
    <format dxfId="356">
      <pivotArea field="2" grandCol="1" outline="0" axis="axisRow" fieldPosition="0">
        <references count="2">
          <reference field="4294967294" count="1" selected="0">
            <x v="0"/>
          </reference>
          <reference field="2" count="1" selected="0">
            <x v="11"/>
          </reference>
        </references>
      </pivotArea>
    </format>
    <format dxfId="355">
      <pivotArea dataOnly="0" labelOnly="1" outline="0" fieldPosition="0">
        <references count="2">
          <reference field="4294967294" count="1" selected="0">
            <x v="0"/>
          </reference>
          <reference field="0" count="0" defaultSubtotal="1"/>
        </references>
      </pivotArea>
    </format>
    <format dxfId="354">
      <pivotArea dataOnly="0" labelOnly="1" outline="0" fieldPosition="0">
        <references count="2">
          <reference field="4294967294" count="1" selected="0">
            <x v="0"/>
          </reference>
          <reference field="0" count="0" defaultSubtotal="1"/>
        </references>
      </pivotArea>
    </format>
    <format dxfId="353">
      <pivotArea field="0" dataOnly="0" labelOnly="1" grandCol="1" outline="0" axis="axisCol" fieldPosition="0">
        <references count="1">
          <reference field="4294967294" count="1" selected="0">
            <x v="0"/>
          </reference>
        </references>
      </pivotArea>
    </format>
    <format dxfId="352">
      <pivotArea field="0" dataOnly="0" labelOnly="1" grandCol="1" outline="0" axis="axisCol" fieldPosition="0">
        <references count="1">
          <reference field="4294967294" count="1" selected="0">
            <x v="0"/>
          </reference>
        </references>
      </pivotArea>
    </format>
    <format dxfId="351">
      <pivotArea dataOnly="0" labelOnly="1" outline="0" fieldPosition="0">
        <references count="1">
          <reference field="0" count="2">
            <x v="1"/>
            <x v="2"/>
          </reference>
        </references>
      </pivotArea>
    </format>
    <format dxfId="350">
      <pivotArea field="0" dataOnly="0" labelOnly="1" grandCol="1" outline="0" axis="axisCol" fieldPosition="0">
        <references count="1">
          <reference field="4294967294" count="1" selected="0">
            <x v="0"/>
          </reference>
        </references>
      </pivotArea>
    </format>
    <format dxfId="349">
      <pivotArea dataOnly="0" labelOnly="1" outline="0" fieldPosition="0">
        <references count="2">
          <reference field="0" count="1" selected="0">
            <x v="2"/>
          </reference>
          <reference field="1" count="2">
            <x v="0"/>
            <x v="1"/>
          </reference>
        </references>
      </pivotArea>
    </format>
    <format dxfId="348">
      <pivotArea dataOnly="0" labelOnly="1" outline="0" fieldPosition="0">
        <references count="2">
          <reference field="0" count="1" selected="0">
            <x v="1"/>
          </reference>
          <reference field="1" count="2">
            <x v="2"/>
            <x v="3"/>
          </reference>
        </references>
      </pivotArea>
    </format>
    <format dxfId="347">
      <pivotArea dataOnly="0" labelOnly="1" outline="0" fieldPosition="0">
        <references count="3">
          <reference field="4294967294" count="1">
            <x v="0"/>
          </reference>
          <reference field="0" count="1" selected="0">
            <x v="2"/>
          </reference>
          <reference field="1" count="1" selected="0">
            <x v="0"/>
          </reference>
        </references>
      </pivotArea>
    </format>
    <format dxfId="346">
      <pivotArea dataOnly="0" labelOnly="1" outline="0" fieldPosition="0">
        <references count="3">
          <reference field="4294967294" count="1">
            <x v="0"/>
          </reference>
          <reference field="0" count="1" selected="0">
            <x v="2"/>
          </reference>
          <reference field="1" count="1" selected="0">
            <x v="1"/>
          </reference>
        </references>
      </pivotArea>
    </format>
    <format dxfId="345">
      <pivotArea dataOnly="0" labelOnly="1" outline="0" fieldPosition="0">
        <references count="3">
          <reference field="4294967294" count="1">
            <x v="0"/>
          </reference>
          <reference field="0" count="1" selected="0">
            <x v="1"/>
          </reference>
          <reference field="1" count="1" selected="0">
            <x v="2"/>
          </reference>
        </references>
      </pivotArea>
    </format>
    <format dxfId="344">
      <pivotArea dataOnly="0" labelOnly="1" outline="0" fieldPosition="0">
        <references count="3">
          <reference field="4294967294" count="1">
            <x v="0"/>
          </reference>
          <reference field="0" count="1" selected="0">
            <x v="1"/>
          </reference>
          <reference field="1" count="1" selected="0">
            <x v="3"/>
          </reference>
        </references>
      </pivotArea>
    </format>
    <format dxfId="343">
      <pivotArea outline="0" fieldPosition="0">
        <references count="1">
          <reference field="2" count="1" selected="0">
            <x v="11"/>
          </reference>
        </references>
      </pivotArea>
    </format>
    <format dxfId="342">
      <pivotArea dataOnly="0" labelOnly="1" outline="0" fieldPosition="0">
        <references count="1">
          <reference field="2" count="1">
            <x v="11"/>
          </reference>
        </references>
      </pivotArea>
    </format>
    <format dxfId="341">
      <pivotArea dataOnly="0" labelOnly="1" outline="0" fieldPosition="0">
        <references count="3">
          <reference field="4294967294" count="1">
            <x v="0"/>
          </reference>
          <reference field="0" count="1" selected="0">
            <x v="1"/>
          </reference>
          <reference field="1" count="1" selected="0">
            <x v="2"/>
          </reference>
        </references>
      </pivotArea>
    </format>
    <format dxfId="340">
      <pivotArea dataOnly="0" labelOnly="1" outline="0" fieldPosition="0">
        <references count="3">
          <reference field="4294967294" count="1">
            <x v="0"/>
          </reference>
          <reference field="0" count="1" selected="0">
            <x v="1"/>
          </reference>
          <reference field="1" count="1" selected="0">
            <x v="3"/>
          </reference>
        </references>
      </pivotArea>
    </format>
    <format dxfId="339">
      <pivotArea dataOnly="0" labelOnly="1" outline="0" fieldPosition="0">
        <references count="3">
          <reference field="4294967294" count="1">
            <x v="0"/>
          </reference>
          <reference field="0" count="1" selected="0">
            <x v="1"/>
          </reference>
          <reference field="1" count="1" selected="0">
            <x v="3"/>
          </reference>
        </references>
      </pivotArea>
    </format>
    <format dxfId="338">
      <pivotArea dataOnly="0" labelOnly="1" outline="0" fieldPosition="0">
        <references count="3">
          <reference field="4294967294" count="1">
            <x v="0"/>
          </reference>
          <reference field="0" count="1" selected="0">
            <x v="1"/>
          </reference>
          <reference field="1" count="1" selected="0">
            <x v="2"/>
          </reference>
        </references>
      </pivotArea>
    </format>
    <format dxfId="337">
      <pivotArea dataOnly="0" labelOnly="1" outline="0" fieldPosition="0">
        <references count="3">
          <reference field="4294967294" count="1">
            <x v="0"/>
          </reference>
          <reference field="0" count="1" selected="0">
            <x v="2"/>
          </reference>
          <reference field="1" count="1" selected="0">
            <x v="1"/>
          </reference>
        </references>
      </pivotArea>
    </format>
    <format dxfId="336">
      <pivotArea dataOnly="0" labelOnly="1" outline="0" fieldPosition="0">
        <references count="3">
          <reference field="4294967294" count="1">
            <x v="0"/>
          </reference>
          <reference field="0" count="1" selected="0">
            <x v="2"/>
          </reference>
          <reference field="1" count="1" selected="0">
            <x v="0"/>
          </reference>
        </references>
      </pivotArea>
    </format>
    <format dxfId="335">
      <pivotArea dataOnly="0" labelOnly="1" outline="0" fieldPosition="0">
        <references count="2">
          <reference field="4294967294" count="1" selected="0">
            <x v="0"/>
          </reference>
          <reference field="0" count="0" defaultSubtotal="1"/>
        </references>
      </pivotArea>
    </format>
    <format dxfId="334">
      <pivotArea dataOnly="0" labelOnly="1" outline="0" fieldPosition="0">
        <references count="2">
          <reference field="4294967294" count="1" selected="0">
            <x v="0"/>
          </reference>
          <reference field="0" count="0" defaultSubtotal="1"/>
        </references>
      </pivotArea>
    </format>
    <format dxfId="333">
      <pivotArea dataOnly="0" labelOnly="1" outline="0" fieldPosition="0">
        <references count="2">
          <reference field="4294967294" count="1" selected="0">
            <x v="0"/>
          </reference>
          <reference field="0" count="0" defaultSubtotal="1"/>
        </references>
      </pivotArea>
    </format>
    <format dxfId="332">
      <pivotArea dataOnly="0" labelOnly="1" outline="0" fieldPosition="0">
        <references count="3">
          <reference field="4294967294" count="1">
            <x v="0"/>
          </reference>
          <reference field="0" count="1" selected="0">
            <x v="2"/>
          </reference>
          <reference field="1" count="1" selected="0">
            <x v="1"/>
          </reference>
        </references>
      </pivotArea>
    </format>
    <format dxfId="331">
      <pivotArea dataOnly="0" labelOnly="1" outline="0" fieldPosition="0">
        <references count="3">
          <reference field="4294967294" count="1">
            <x v="0"/>
          </reference>
          <reference field="0" count="1" selected="0">
            <x v="1"/>
          </reference>
          <reference field="1" count="1" selected="0">
            <x v="2"/>
          </reference>
        </references>
      </pivotArea>
    </format>
    <format dxfId="330">
      <pivotArea dataOnly="0" labelOnly="1" outline="0" fieldPosition="0">
        <references count="3">
          <reference field="4294967294" count="1">
            <x v="0"/>
          </reference>
          <reference field="0" count="1" selected="0">
            <x v="1"/>
          </reference>
          <reference field="1" count="1" selected="0">
            <x v="3"/>
          </reference>
        </references>
      </pivotArea>
    </format>
    <format dxfId="329">
      <pivotArea field="0" dataOnly="0" labelOnly="1" grandCol="1" outline="0" axis="axisCol" fieldPosition="0">
        <references count="1">
          <reference field="4294967294" count="1" selected="0">
            <x v="0"/>
          </reference>
        </references>
      </pivotArea>
    </format>
    <format dxfId="328">
      <pivotArea field="0" dataOnly="0" labelOnly="1" grandCol="1" outline="0" axis="axisCol" fieldPosition="0">
        <references count="1">
          <reference field="4294967294" count="1" selected="0">
            <x v="0"/>
          </reference>
        </references>
      </pivotArea>
    </format>
    <format dxfId="327">
      <pivotArea dataOnly="0" labelOnly="1" outline="0" fieldPosition="0">
        <references count="2">
          <reference field="4294967294" count="1" selected="0">
            <x v="0"/>
          </reference>
          <reference field="0" count="0" defaultSubtotal="1"/>
        </references>
      </pivotArea>
    </format>
    <format dxfId="326">
      <pivotArea field="0" dataOnly="0" labelOnly="1" grandCol="1" outline="0" axis="axisCol" fieldPosition="0">
        <references count="1">
          <reference field="4294967294" count="1" selected="0">
            <x v="0"/>
          </reference>
        </references>
      </pivotArea>
    </format>
    <format dxfId="325">
      <pivotArea dataOnly="0" labelOnly="1" outline="0" fieldPosition="0">
        <references count="2">
          <reference field="4294967294" count="1" selected="0">
            <x v="0"/>
          </reference>
          <reference field="0" count="0" defaultSubtotal="1"/>
        </references>
      </pivotArea>
    </format>
    <format dxfId="324">
      <pivotArea dataOnly="0" labelOnly="1" outline="0" fieldPosition="0">
        <references count="2">
          <reference field="4294967294" count="1" selected="0">
            <x v="0"/>
          </reference>
          <reference field="0" count="0" defaultSubtotal="1"/>
        </references>
      </pivotArea>
    </format>
    <format dxfId="323">
      <pivotArea dataOnly="0" labelOnly="1" outline="0" fieldPosition="0">
        <references count="2">
          <reference field="4294967294" count="1" selected="0">
            <x v="0"/>
          </reference>
          <reference field="0" count="1" defaultSubtotal="1">
            <x v="2"/>
          </reference>
        </references>
      </pivotArea>
    </format>
    <format dxfId="322">
      <pivotArea field="0" dataOnly="0" labelOnly="1" grandCol="1" outline="0" axis="axisCol" fieldPosition="0">
        <references count="1">
          <reference field="4294967294" count="1" selected="0">
            <x v="0"/>
          </reference>
        </references>
      </pivotArea>
    </format>
    <format dxfId="321">
      <pivotArea dataOnly="0" labelOnly="1" outline="0" fieldPosition="0">
        <references count="2">
          <reference field="4294967294" count="1" selected="0">
            <x v="0"/>
          </reference>
          <reference field="0" count="0" defaultSubtotal="1"/>
        </references>
      </pivotArea>
    </format>
    <format dxfId="320">
      <pivotArea dataOnly="0" labelOnly="1" outline="0" fieldPosition="0">
        <references count="2">
          <reference field="4294967294" count="1" selected="0">
            <x v="0"/>
          </reference>
          <reference field="0" count="0" defaultSubtotal="1"/>
        </references>
      </pivotArea>
    </format>
    <format dxfId="319">
      <pivotArea dataOnly="0" labelOnly="1" outline="0" fieldPosition="0">
        <references count="2">
          <reference field="4294967294" count="1" selected="0">
            <x v="0"/>
          </reference>
          <reference field="0" count="1" defaultSubtotal="1">
            <x v="1"/>
          </reference>
        </references>
      </pivotArea>
    </format>
    <format dxfId="318">
      <pivotArea outline="0" fieldPosition="0">
        <references count="1">
          <reference field="0" count="1" selected="0" defaultSubtotal="1">
            <x v="2"/>
          </reference>
        </references>
      </pivotArea>
    </format>
    <format dxfId="317">
      <pivotArea dataOnly="0" labelOnly="1" outline="0" fieldPosition="0">
        <references count="1">
          <reference field="0" count="1">
            <x v="2"/>
          </reference>
        </references>
      </pivotArea>
    </format>
    <format dxfId="316">
      <pivotArea dataOnly="0" labelOnly="1" outline="0" fieldPosition="0">
        <references count="1">
          <reference field="0" count="1" defaultSubtotal="1">
            <x v="2"/>
          </reference>
        </references>
      </pivotArea>
    </format>
    <format dxfId="315">
      <pivotArea dataOnly="0" labelOnly="1" outline="0" fieldPosition="0">
        <references count="2">
          <reference field="0" count="1" selected="0">
            <x v="2"/>
          </reference>
          <reference field="1" count="2">
            <x v="0"/>
            <x v="1"/>
          </reference>
        </references>
      </pivotArea>
    </format>
    <format dxfId="314">
      <pivotArea outline="0" fieldPosition="0">
        <references count="1">
          <reference field="0" count="1" selected="0" defaultSubtotal="1">
            <x v="1"/>
          </reference>
        </references>
      </pivotArea>
    </format>
    <format dxfId="313">
      <pivotArea dataOnly="0" labelOnly="1" outline="0" fieldPosition="0">
        <references count="1">
          <reference field="0" count="1">
            <x v="1"/>
          </reference>
        </references>
      </pivotArea>
    </format>
    <format dxfId="312">
      <pivotArea dataOnly="0" labelOnly="1" outline="0" fieldPosition="0">
        <references count="1">
          <reference field="0" count="1" defaultSubtotal="1">
            <x v="1"/>
          </reference>
        </references>
      </pivotArea>
    </format>
    <format dxfId="311">
      <pivotArea dataOnly="0" labelOnly="1" outline="0" fieldPosition="0">
        <references count="2">
          <reference field="0" count="1" selected="0">
            <x v="1"/>
          </reference>
          <reference field="1" count="2">
            <x v="2"/>
            <x v="3"/>
          </reference>
        </references>
      </pivotArea>
    </format>
  </formats>
  <chartFormats count="10">
    <chartFormat chart="0" format="10" series="1">
      <pivotArea type="data" outline="0" fieldPosition="0">
        <references count="1">
          <reference field="0" count="1" selected="0">
            <x v="2"/>
          </reference>
        </references>
      </pivotArea>
    </chartFormat>
    <chartFormat chart="0" format="11" series="1">
      <pivotArea type="data" outline="0" fieldPosition="0">
        <references count="1">
          <reference field="0" count="1" selected="0">
            <x v="1"/>
          </reference>
        </references>
      </pivotArea>
    </chartFormat>
    <chartFormat chart="1" format="2" series="1">
      <pivotArea type="data" outline="0" fieldPosition="0">
        <references count="3">
          <reference field="4294967294" count="1" selected="0">
            <x v="0"/>
          </reference>
          <reference field="0" count="1" selected="0">
            <x v="2"/>
          </reference>
          <reference field="1" count="1" selected="0">
            <x v="0"/>
          </reference>
        </references>
      </pivotArea>
    </chartFormat>
    <chartFormat chart="1" format="5" series="1">
      <pivotArea type="data" outline="0" fieldPosition="0">
        <references count="3">
          <reference field="4294967294" count="1" selected="0">
            <x v="0"/>
          </reference>
          <reference field="0" count="1" selected="0">
            <x v="2"/>
          </reference>
          <reference field="1" count="1" selected="0">
            <x v="1"/>
          </reference>
        </references>
      </pivotArea>
    </chartFormat>
    <chartFormat chart="1" format="8" series="1">
      <pivotArea type="data" outline="0" fieldPosition="0">
        <references count="3">
          <reference field="4294967294" count="1" selected="0">
            <x v="0"/>
          </reference>
          <reference field="0" count="1" selected="0">
            <x v="1"/>
          </reference>
          <reference field="1" count="1" selected="0">
            <x v="2"/>
          </reference>
        </references>
      </pivotArea>
    </chartFormat>
    <chartFormat chart="1" format="11" series="1">
      <pivotArea type="data" outline="0" fieldPosition="0">
        <references count="3">
          <reference field="4294967294" count="1" selected="0">
            <x v="0"/>
          </reference>
          <reference field="0" count="1" selected="0">
            <x v="1"/>
          </reference>
          <reference field="1" count="1" selected="0">
            <x v="3"/>
          </reference>
        </references>
      </pivotArea>
    </chartFormat>
    <chartFormat chart="2" format="0" series="1">
      <pivotArea type="data" outline="0" fieldPosition="0">
        <references count="3">
          <reference field="4294967294" count="1" selected="0">
            <x v="0"/>
          </reference>
          <reference field="0" count="1" selected="0">
            <x v="2"/>
          </reference>
          <reference field="1" count="1" selected="0">
            <x v="0"/>
          </reference>
        </references>
      </pivotArea>
    </chartFormat>
    <chartFormat chart="2" format="1" series="1">
      <pivotArea type="data" outline="0" fieldPosition="0">
        <references count="3">
          <reference field="4294967294" count="1" selected="0">
            <x v="0"/>
          </reference>
          <reference field="0" count="1" selected="0">
            <x v="2"/>
          </reference>
          <reference field="1" count="1" selected="0">
            <x v="1"/>
          </reference>
        </references>
      </pivotArea>
    </chartFormat>
    <chartFormat chart="2" format="2" series="1">
      <pivotArea type="data" outline="0" fieldPosition="0">
        <references count="3">
          <reference field="4294967294" count="1" selected="0">
            <x v="0"/>
          </reference>
          <reference field="0" count="1" selected="0">
            <x v="1"/>
          </reference>
          <reference field="1" count="1" selected="0">
            <x v="2"/>
          </reference>
        </references>
      </pivotArea>
    </chartFormat>
    <chartFormat chart="2" format="3" series="1">
      <pivotArea type="data" outline="0" fieldPosition="0">
        <references count="3">
          <reference field="4294967294" count="1" selected="0">
            <x v="0"/>
          </reference>
          <reference field="0" count="1" selected="0">
            <x v="1"/>
          </reference>
          <reference field="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D2A8D45-ACA9-429D-B3AE-7ACD8AA0E9B6}" name="PivotTable2" cacheId="3" applyNumberFormats="0" applyBorderFormats="0" applyFontFormats="0" applyPatternFormats="0" applyAlignmentFormats="0" applyWidthHeightFormats="1" dataCaption="Values" grandTotalCaption="Total" updatedVersion="8" minRefreshableVersion="3" itemPrintTitles="1" createdVersion="7" indent="0" compact="0" compactData="0" multipleFieldFilters="0" chartFormat="7">
  <location ref="A3:C26" firstHeaderRow="0" firstDataRow="1" firstDataCol="1"/>
  <pivotFields count="16">
    <pivotField compact="0" outline="0" showAll="0">
      <items count="4">
        <item x="0"/>
        <item x="1"/>
        <item x="2"/>
        <item t="default"/>
      </items>
    </pivotField>
    <pivotField compact="0" outline="0" showAll="0">
      <items count="6">
        <item x="0"/>
        <item x="1"/>
        <item x="2"/>
        <item x="3"/>
        <item x="4"/>
        <item t="default"/>
      </items>
    </pivotField>
    <pivotField axis="axisRow" compact="0" outline="0" showAll="0" sortType="ascending">
      <items count="26">
        <item x="0"/>
        <item x="1"/>
        <item x="2"/>
        <item x="3"/>
        <item x="4"/>
        <item x="5"/>
        <item x="6"/>
        <item x="7"/>
        <item x="8"/>
        <item x="9"/>
        <item x="10"/>
        <item x="11"/>
        <item x="12"/>
        <item x="13"/>
        <item x="14"/>
        <item x="15"/>
        <item x="16"/>
        <item x="17"/>
        <item x="18"/>
        <item x="19"/>
        <item x="20"/>
        <item x="21"/>
        <item h="1" x="22"/>
        <item h="1" x="23"/>
        <item h="1" x="24"/>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dataField="1" compact="0" outline="0" showAll="0"/>
    <pivotField compact="0" outline="0" showAll="0"/>
  </pivotFields>
  <rowFields count="1">
    <field x="2"/>
  </rowFields>
  <rowItems count="23">
    <i>
      <x/>
    </i>
    <i>
      <x v="1"/>
    </i>
    <i>
      <x v="2"/>
    </i>
    <i>
      <x v="3"/>
    </i>
    <i>
      <x v="4"/>
    </i>
    <i>
      <x v="5"/>
    </i>
    <i>
      <x v="6"/>
    </i>
    <i>
      <x v="7"/>
    </i>
    <i>
      <x v="8"/>
    </i>
    <i>
      <x v="9"/>
    </i>
    <i>
      <x v="10"/>
    </i>
    <i>
      <x v="11"/>
    </i>
    <i>
      <x v="12"/>
    </i>
    <i>
      <x v="13"/>
    </i>
    <i>
      <x v="14"/>
    </i>
    <i>
      <x v="15"/>
    </i>
    <i>
      <x v="16"/>
    </i>
    <i>
      <x v="17"/>
    </i>
    <i>
      <x v="18"/>
    </i>
    <i>
      <x v="19"/>
    </i>
    <i>
      <x v="20"/>
    </i>
    <i>
      <x v="21"/>
    </i>
    <i t="grand">
      <x/>
    </i>
  </rowItems>
  <colFields count="1">
    <field x="-2"/>
  </colFields>
  <colItems count="2">
    <i>
      <x/>
    </i>
    <i i="1">
      <x v="1"/>
    </i>
  </colItems>
  <dataFields count="2">
    <dataField name="Sockeye (NO)" fld="14" baseField="2" baseItem="8" numFmtId="3"/>
    <dataField name="Sockeye (HO)" fld="13" baseField="2" baseItem="8"/>
  </dataFields>
  <formats count="52">
    <format dxfId="310">
      <pivotArea dataOnly="0" labelOnly="1" outline="0" fieldPosition="0">
        <references count="1">
          <reference field="2" count="0"/>
        </references>
      </pivotArea>
    </format>
    <format dxfId="309">
      <pivotArea outline="0" collapsedLevelsAreSubtotals="1" fieldPosition="0"/>
    </format>
    <format dxfId="308">
      <pivotArea grandRow="1" outline="0" collapsedLevelsAreSubtotals="1" fieldPosition="0"/>
    </format>
    <format dxfId="307">
      <pivotArea dataOnly="0" labelOnly="1" grandRow="1" outline="0" fieldPosition="0"/>
    </format>
    <format dxfId="306">
      <pivotArea type="all" dataOnly="0" outline="0" fieldPosition="0"/>
    </format>
    <format dxfId="305">
      <pivotArea outline="0" collapsedLevelsAreSubtotals="1" fieldPosition="0"/>
    </format>
    <format dxfId="304">
      <pivotArea type="origin" dataOnly="0" labelOnly="1" outline="0" fieldPosition="0"/>
    </format>
    <format dxfId="303">
      <pivotArea field="0" type="button" dataOnly="0" labelOnly="1" outline="0"/>
    </format>
    <format dxfId="302">
      <pivotArea field="2" type="button" dataOnly="0" labelOnly="1" outline="0" axis="axisRow" fieldPosition="0"/>
    </format>
    <format dxfId="301">
      <pivotArea dataOnly="0" labelOnly="1" grandRow="1" outline="0" fieldPosition="0"/>
    </format>
    <format dxfId="300">
      <pivotArea field="0" type="button" dataOnly="0" labelOnly="1" outline="0"/>
    </format>
    <format dxfId="299">
      <pivotArea field="1" type="button" dataOnly="0" labelOnly="1" outline="0"/>
    </format>
    <format dxfId="298">
      <pivotArea field="-2" type="button" dataOnly="0" labelOnly="1" outline="0" axis="axisCol" fieldPosition="0"/>
    </format>
    <format dxfId="297">
      <pivotArea type="topRight" dataOnly="0" labelOnly="1" outline="0" fieldPosition="0"/>
    </format>
    <format dxfId="296">
      <pivotArea type="origin" dataOnly="0" labelOnly="1" outline="0" fieldPosition="0"/>
    </format>
    <format dxfId="295">
      <pivotArea field="0" type="button" dataOnly="0" labelOnly="1" outline="0"/>
    </format>
    <format dxfId="294">
      <pivotArea field="1" type="button" dataOnly="0" labelOnly="1" outline="0"/>
    </format>
    <format dxfId="293">
      <pivotArea field="-2" type="button" dataOnly="0" labelOnly="1" outline="0" axis="axisCol" fieldPosition="0"/>
    </format>
    <format dxfId="292">
      <pivotArea type="topRight" dataOnly="0" labelOnly="1" outline="0" fieldPosition="0"/>
    </format>
    <format dxfId="291">
      <pivotArea field="2" type="button" dataOnly="0" labelOnly="1" outline="0" axis="axisRow" fieldPosition="0"/>
    </format>
    <format dxfId="290">
      <pivotArea type="origin" dataOnly="0" labelOnly="1" outline="0" fieldPosition="0"/>
    </format>
    <format dxfId="289">
      <pivotArea field="0" type="button" dataOnly="0" labelOnly="1" outline="0"/>
    </format>
    <format dxfId="288">
      <pivotArea field="1" type="button" dataOnly="0" labelOnly="1" outline="0"/>
    </format>
    <format dxfId="287">
      <pivotArea field="-2" type="button" dataOnly="0" labelOnly="1" outline="0" axis="axisCol" fieldPosition="0"/>
    </format>
    <format dxfId="286">
      <pivotArea type="topRight" dataOnly="0" labelOnly="1" outline="0" fieldPosition="0"/>
    </format>
    <format dxfId="285">
      <pivotArea field="2" type="button" dataOnly="0" labelOnly="1" outline="0" axis="axisRow" fieldPosition="0"/>
    </format>
    <format dxfId="284">
      <pivotArea dataOnly="0" labelOnly="1" grandRow="1" outline="0" fieldPosition="0"/>
    </format>
    <format dxfId="283">
      <pivotArea outline="0" fieldPosition="0">
        <references count="1">
          <reference field="2" count="0" selected="0"/>
        </references>
      </pivotArea>
    </format>
    <format dxfId="282">
      <pivotArea dataOnly="0" labelOnly="1" outline="0" fieldPosition="0">
        <references count="1">
          <reference field="2" count="0"/>
        </references>
      </pivotArea>
    </format>
    <format dxfId="281">
      <pivotArea field="0" type="button" dataOnly="0" labelOnly="1" outline="0"/>
    </format>
    <format dxfId="280">
      <pivotArea field="1" type="button" dataOnly="0" labelOnly="1" outline="0"/>
    </format>
    <format dxfId="279">
      <pivotArea field="-2" type="button" dataOnly="0" labelOnly="1" outline="0" axis="axisCol" fieldPosition="0"/>
    </format>
    <format dxfId="278">
      <pivotArea type="topRight" dataOnly="0" labelOnly="1" outline="0" fieldPosition="0"/>
    </format>
    <format dxfId="277">
      <pivotArea type="origin" dataOnly="0" labelOnly="1" outline="0" fieldPosition="0"/>
    </format>
    <format dxfId="276">
      <pivotArea field="2" type="button" dataOnly="0" labelOnly="1" outline="0" axis="axisRow" fieldPosition="0"/>
    </format>
    <format dxfId="275">
      <pivotArea field="0" type="button" dataOnly="0" labelOnly="1" outline="0"/>
    </format>
    <format dxfId="274">
      <pivotArea field="1" type="button" dataOnly="0" labelOnly="1" outline="0"/>
    </format>
    <format dxfId="273">
      <pivotArea field="0" type="button" dataOnly="0" labelOnly="1" outline="0"/>
    </format>
    <format dxfId="272">
      <pivotArea outline="0" fieldPosition="0">
        <references count="1">
          <reference field="4294967294" count="1">
            <x v="0"/>
          </reference>
        </references>
      </pivotArea>
    </format>
    <format dxfId="271">
      <pivotArea field="0" dataOnly="0" labelOnly="1" outline="0">
        <references count="1">
          <reference field="4294967294" count="1" selected="0">
            <x v="0"/>
          </reference>
        </references>
      </pivotArea>
    </format>
    <format dxfId="270">
      <pivotArea field="0" dataOnly="0" labelOnly="1" outline="0">
        <references count="1">
          <reference field="4294967294" count="1" selected="0">
            <x v="0"/>
          </reference>
        </references>
      </pivotArea>
    </format>
    <format dxfId="269">
      <pivotArea field="0" dataOnly="0" labelOnly="1" outline="0">
        <references count="1">
          <reference field="4294967294" count="1" selected="0">
            <x v="0"/>
          </reference>
        </references>
      </pivotArea>
    </format>
    <format dxfId="268">
      <pivotArea outline="0" fieldPosition="0">
        <references count="1">
          <reference field="2" count="1" selected="0">
            <x v="11"/>
          </reference>
        </references>
      </pivotArea>
    </format>
    <format dxfId="267">
      <pivotArea dataOnly="0" labelOnly="1" outline="0" fieldPosition="0">
        <references count="1">
          <reference field="2" count="1">
            <x v="11"/>
          </reference>
        </references>
      </pivotArea>
    </format>
    <format dxfId="266">
      <pivotArea field="0" dataOnly="0" labelOnly="1" outline="0">
        <references count="1">
          <reference field="4294967294" count="1" selected="0">
            <x v="0"/>
          </reference>
        </references>
      </pivotArea>
    </format>
    <format dxfId="265">
      <pivotArea field="0" dataOnly="0" labelOnly="1" outline="0">
        <references count="1">
          <reference field="4294967294" count="1" selected="0">
            <x v="1"/>
          </reference>
        </references>
      </pivotArea>
    </format>
    <format dxfId="264">
      <pivotArea field="0" dataOnly="0" labelOnly="1" outline="0">
        <references count="1">
          <reference field="4294967294" count="1" selected="0">
            <x v="0"/>
          </reference>
        </references>
      </pivotArea>
    </format>
    <format dxfId="263">
      <pivotArea field="0" dataOnly="0" labelOnly="1" outline="0">
        <references count="1">
          <reference field="4294967294" count="1" selected="0">
            <x v="1"/>
          </reference>
        </references>
      </pivotArea>
    </format>
    <format dxfId="262">
      <pivotArea field="0" dataOnly="0" labelOnly="1" outline="0">
        <references count="1">
          <reference field="4294967294" count="1" selected="0">
            <x v="0"/>
          </reference>
        </references>
      </pivotArea>
    </format>
    <format dxfId="261">
      <pivotArea field="0" dataOnly="0" labelOnly="1" outline="0">
        <references count="1">
          <reference field="4294967294" count="1" selected="0">
            <x v="1"/>
          </reference>
        </references>
      </pivotArea>
    </format>
    <format dxfId="260">
      <pivotArea field="0" dataOnly="0" labelOnly="1" outline="0">
        <references count="1">
          <reference field="4294967294" count="1" selected="0">
            <x v="0"/>
          </reference>
        </references>
      </pivotArea>
    </format>
    <format dxfId="259">
      <pivotArea field="0" dataOnly="0" labelOnly="1" outline="0">
        <references count="1">
          <reference field="4294967294" count="1" selected="0">
            <x v="1"/>
          </reference>
        </references>
      </pivotArea>
    </format>
  </formats>
  <chartFormats count="2">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E957107-A352-4D83-A08C-0B4E89BD11FA}" name="PivotTable3" cacheId="0" applyNumberFormats="0" applyBorderFormats="0" applyFontFormats="0" applyPatternFormats="0" applyAlignmentFormats="0" applyWidthHeightFormats="1" dataCaption="Values" updatedVersion="8" minRefreshableVersion="3" useAutoFormatting="1" itemPrintTitles="1" createdVersion="7" indent="0" compact="0" compactData="0" multipleFieldFilters="0" rowHeaderCaption="Brood" colHeaderCaption="Location">
  <location ref="A3:G26" firstHeaderRow="1" firstDataRow="2" firstDataCol="3"/>
  <pivotFields count="8">
    <pivotField axis="axisRow" compact="0" outline="0" showAll="0" sortType="ascending" defaultSubtotal="0">
      <items count="22">
        <item x="0"/>
        <item x="1"/>
        <item x="2"/>
        <item x="3"/>
        <item x="4"/>
        <item x="5"/>
        <item x="6"/>
        <item x="7"/>
        <item x="8"/>
        <item x="9"/>
        <item x="10"/>
        <item x="11"/>
        <item x="12"/>
        <item x="13"/>
        <item x="14"/>
        <item x="15"/>
        <item x="16"/>
        <item x="17"/>
        <item x="18"/>
        <item x="19"/>
        <item x="20"/>
        <item x="21"/>
      </items>
    </pivotField>
    <pivotField compact="0" outline="0" showAll="0"/>
    <pivotField axis="axisRow" compact="0" outline="0" showAll="0" defaultSubtotal="0">
      <items count="22">
        <item x="0"/>
        <item x="1"/>
        <item x="2"/>
        <item x="3"/>
        <item x="4"/>
        <item x="5"/>
        <item x="6"/>
        <item x="7"/>
        <item x="8"/>
        <item x="9"/>
        <item x="10"/>
        <item x="11"/>
        <item x="12"/>
        <item x="13"/>
        <item x="14"/>
        <item x="15"/>
        <item x="16"/>
        <item x="17"/>
        <item x="20"/>
        <item x="21"/>
        <item x="18"/>
        <item x="19"/>
      </items>
    </pivotField>
    <pivotField axis="axisRow" compact="0" outline="0" showAll="0">
      <items count="23">
        <item x="0"/>
        <item x="1"/>
        <item x="2"/>
        <item x="3"/>
        <item x="4"/>
        <item x="5"/>
        <item x="6"/>
        <item x="7"/>
        <item x="8"/>
        <item x="9"/>
        <item x="10"/>
        <item x="11"/>
        <item x="12"/>
        <item x="13"/>
        <item x="14"/>
        <item x="15"/>
        <item x="16"/>
        <item x="17"/>
        <item x="20"/>
        <item x="21"/>
        <item x="18"/>
        <item x="19"/>
        <item t="default"/>
      </items>
    </pivotField>
    <pivotField compact="0" outline="0" showAll="0"/>
    <pivotField compact="0" outline="0" showAll="0"/>
    <pivotField name="Lake" axis="axisCol" compact="0" outline="0" showAll="0" sortType="descending">
      <items count="10">
        <item h="1" x="3"/>
        <item h="1" m="1" x="7"/>
        <item h="1" m="1" x="6"/>
        <item h="1" m="1" x="5"/>
        <item x="0"/>
        <item x="1"/>
        <item h="1" m="1" x="8"/>
        <item h="1" m="1" x="4"/>
        <item x="2"/>
        <item t="default"/>
      </items>
    </pivotField>
    <pivotField dataField="1" compact="0" outline="0" showAll="0"/>
  </pivotFields>
  <rowFields count="3">
    <field x="0"/>
    <field x="2"/>
    <field x="3"/>
  </rowFields>
  <rowItems count="22">
    <i>
      <x/>
      <x/>
      <x/>
    </i>
    <i>
      <x v="1"/>
      <x v="1"/>
      <x v="1"/>
    </i>
    <i>
      <x v="2"/>
      <x v="2"/>
      <x v="2"/>
    </i>
    <i>
      <x v="3"/>
      <x v="3"/>
      <x v="3"/>
    </i>
    <i>
      <x v="4"/>
      <x v="4"/>
      <x v="4"/>
    </i>
    <i>
      <x v="5"/>
      <x v="5"/>
      <x v="5"/>
    </i>
    <i>
      <x v="6"/>
      <x v="6"/>
      <x v="6"/>
    </i>
    <i>
      <x v="7"/>
      <x v="7"/>
      <x v="7"/>
    </i>
    <i>
      <x v="8"/>
      <x v="8"/>
      <x v="8"/>
    </i>
    <i>
      <x v="9"/>
      <x v="9"/>
      <x v="9"/>
    </i>
    <i>
      <x v="10"/>
      <x v="10"/>
      <x v="10"/>
    </i>
    <i>
      <x v="11"/>
      <x v="11"/>
      <x v="11"/>
    </i>
    <i>
      <x v="12"/>
      <x v="12"/>
      <x v="12"/>
    </i>
    <i>
      <x v="13"/>
      <x v="13"/>
      <x v="13"/>
    </i>
    <i>
      <x v="14"/>
      <x v="14"/>
      <x v="14"/>
    </i>
    <i>
      <x v="15"/>
      <x v="15"/>
      <x v="15"/>
    </i>
    <i>
      <x v="16"/>
      <x v="16"/>
      <x v="16"/>
    </i>
    <i>
      <x v="17"/>
      <x v="17"/>
      <x v="17"/>
    </i>
    <i>
      <x v="18"/>
      <x v="20"/>
      <x v="20"/>
    </i>
    <i>
      <x v="19"/>
      <x v="21"/>
      <x v="21"/>
    </i>
    <i>
      <x v="20"/>
      <x v="18"/>
      <x v="18"/>
    </i>
    <i t="grand">
      <x/>
    </i>
  </rowItems>
  <colFields count="1">
    <field x="6"/>
  </colFields>
  <colItems count="4">
    <i>
      <x v="4"/>
    </i>
    <i>
      <x v="5"/>
    </i>
    <i>
      <x v="8"/>
    </i>
    <i t="grand">
      <x/>
    </i>
  </colItems>
  <dataFields count="1">
    <dataField name="Stocked" fld="7" baseField="0" baseItem="0" numFmtId="172"/>
  </dataFields>
  <formats count="216">
    <format dxfId="258">
      <pivotArea outline="0" collapsedLevelsAreSubtotals="1" fieldPosition="0"/>
    </format>
    <format dxfId="257">
      <pivotArea outline="0" collapsedLevelsAreSubtotals="1" fieldPosition="0"/>
    </format>
    <format dxfId="256">
      <pivotArea dataOnly="0" labelOnly="1" fieldPosition="0">
        <references count="1">
          <reference field="0" count="17">
            <x v="0"/>
            <x v="1"/>
            <x v="2"/>
            <x v="3"/>
            <x v="4"/>
            <x v="5"/>
            <x v="6"/>
            <x v="7"/>
            <x v="8"/>
            <x v="9"/>
            <x v="11"/>
            <x v="12"/>
            <x v="13"/>
            <x v="14"/>
            <x v="15"/>
            <x v="16"/>
            <x v="17"/>
          </reference>
        </references>
      </pivotArea>
    </format>
    <format dxfId="255">
      <pivotArea dataOnly="0" labelOnly="1" fieldPosition="0">
        <references count="1">
          <reference field="6" count="0"/>
        </references>
      </pivotArea>
    </format>
    <format dxfId="254">
      <pivotArea dataOnly="0" labelOnly="1" grandCol="1" outline="0" fieldPosition="0"/>
    </format>
    <format dxfId="253">
      <pivotArea field="6" type="button" dataOnly="0" labelOnly="1" outline="0" axis="axisCol" fieldPosition="0"/>
    </format>
    <format dxfId="252">
      <pivotArea type="topRight" dataOnly="0" labelOnly="1" outline="0" fieldPosition="0"/>
    </format>
    <format dxfId="251">
      <pivotArea dataOnly="0" labelOnly="1" outline="0" fieldPosition="0">
        <references count="1">
          <reference field="6" count="0"/>
        </references>
      </pivotArea>
    </format>
    <format dxfId="250">
      <pivotArea dataOnly="0" labelOnly="1" grandCol="1" outline="0" fieldPosition="0"/>
    </format>
    <format dxfId="249">
      <pivotArea type="origin" dataOnly="0" labelOnly="1" outline="0" fieldPosition="0"/>
    </format>
    <format dxfId="248">
      <pivotArea outline="0" collapsedLevelsAreSubtotals="1" fieldPosition="0"/>
    </format>
    <format dxfId="247">
      <pivotArea field="6" type="button" dataOnly="0" labelOnly="1" outline="0" axis="axisCol" fieldPosition="0"/>
    </format>
    <format dxfId="246">
      <pivotArea type="topRight" dataOnly="0" labelOnly="1" outline="0" fieldPosition="0"/>
    </format>
    <format dxfId="245">
      <pivotArea dataOnly="0" labelOnly="1" outline="0" fieldPosition="0">
        <references count="1">
          <reference field="6" count="0"/>
        </references>
      </pivotArea>
    </format>
    <format dxfId="244">
      <pivotArea dataOnly="0" labelOnly="1" grandCol="1" outline="0" fieldPosition="0"/>
    </format>
    <format dxfId="243">
      <pivotArea type="origin" dataOnly="0" labelOnly="1" outline="0" fieldPosition="0"/>
    </format>
    <format dxfId="242">
      <pivotArea field="6" type="button" dataOnly="0" labelOnly="1" outline="0" axis="axisCol" fieldPosition="0"/>
    </format>
    <format dxfId="241">
      <pivotArea type="topRight" dataOnly="0" labelOnly="1" outline="0" fieldPosition="0"/>
    </format>
    <format dxfId="240">
      <pivotArea dataOnly="0" labelOnly="1" outline="0" fieldPosition="0">
        <references count="1">
          <reference field="6" count="0"/>
        </references>
      </pivotArea>
    </format>
    <format dxfId="239">
      <pivotArea dataOnly="0" labelOnly="1" grandCol="1" outline="0" fieldPosition="0"/>
    </format>
    <format dxfId="238">
      <pivotArea field="0" type="button" dataOnly="0" labelOnly="1" outline="0" axis="axisRow" fieldPosition="0"/>
    </format>
    <format dxfId="237">
      <pivotArea field="2" type="button" dataOnly="0" labelOnly="1" outline="0" axis="axisRow" fieldPosition="1"/>
    </format>
    <format dxfId="236">
      <pivotArea field="3" type="button" dataOnly="0" labelOnly="1" outline="0" axis="axisRow" fieldPosition="2"/>
    </format>
    <format dxfId="235">
      <pivotArea dataOnly="0" labelOnly="1" grandRow="1" outline="0" fieldPosition="0"/>
    </format>
    <format dxfId="234">
      <pivotArea dataOnly="0" grandRow="1" outline="0" fieldPosition="0"/>
    </format>
    <format dxfId="233">
      <pivotArea outline="0" collapsedLevelsAreSubtotals="1" fieldPosition="0"/>
    </format>
    <format dxfId="232">
      <pivotArea field="6" type="button" dataOnly="0" labelOnly="1" outline="0" axis="axisCol" fieldPosition="0"/>
    </format>
    <format dxfId="231">
      <pivotArea type="topRight" dataOnly="0" labelOnly="1" outline="0" fieldPosition="0"/>
    </format>
    <format dxfId="230">
      <pivotArea dataOnly="0" labelOnly="1" outline="0" fieldPosition="0">
        <references count="1">
          <reference field="6" count="0"/>
        </references>
      </pivotArea>
    </format>
    <format dxfId="229">
      <pivotArea dataOnly="0" labelOnly="1" grandCol="1" outline="0" fieldPosition="0"/>
    </format>
    <format dxfId="228">
      <pivotArea dataOnly="0" labelOnly="1" outline="0" fieldPosition="0">
        <references count="1">
          <reference field="0" count="17">
            <x v="0"/>
            <x v="1"/>
            <x v="2"/>
            <x v="3"/>
            <x v="4"/>
            <x v="5"/>
            <x v="6"/>
            <x v="7"/>
            <x v="8"/>
            <x v="9"/>
            <x v="11"/>
            <x v="12"/>
            <x v="13"/>
            <x v="14"/>
            <x v="15"/>
            <x v="16"/>
            <x v="17"/>
          </reference>
        </references>
      </pivotArea>
    </format>
    <format dxfId="227">
      <pivotArea dataOnly="0" labelOnly="1" outline="0" fieldPosition="0">
        <references count="2">
          <reference field="0" count="1" selected="0">
            <x v="0"/>
          </reference>
          <reference field="2" count="1">
            <x v="0"/>
          </reference>
        </references>
      </pivotArea>
    </format>
    <format dxfId="226">
      <pivotArea dataOnly="0" labelOnly="1" outline="0" fieldPosition="0">
        <references count="2">
          <reference field="0" count="1" selected="0">
            <x v="1"/>
          </reference>
          <reference field="2" count="1">
            <x v="1"/>
          </reference>
        </references>
      </pivotArea>
    </format>
    <format dxfId="225">
      <pivotArea dataOnly="0" labelOnly="1" outline="0" fieldPosition="0">
        <references count="2">
          <reference field="0" count="1" selected="0">
            <x v="2"/>
          </reference>
          <reference field="2" count="1">
            <x v="2"/>
          </reference>
        </references>
      </pivotArea>
    </format>
    <format dxfId="224">
      <pivotArea dataOnly="0" labelOnly="1" outline="0" fieldPosition="0">
        <references count="2">
          <reference field="0" count="1" selected="0">
            <x v="3"/>
          </reference>
          <reference field="2" count="1">
            <x v="3"/>
          </reference>
        </references>
      </pivotArea>
    </format>
    <format dxfId="223">
      <pivotArea dataOnly="0" labelOnly="1" outline="0" fieldPosition="0">
        <references count="2">
          <reference field="0" count="1" selected="0">
            <x v="4"/>
          </reference>
          <reference field="2" count="1">
            <x v="4"/>
          </reference>
        </references>
      </pivotArea>
    </format>
    <format dxfId="222">
      <pivotArea dataOnly="0" labelOnly="1" outline="0" fieldPosition="0">
        <references count="2">
          <reference field="0" count="1" selected="0">
            <x v="5"/>
          </reference>
          <reference field="2" count="1">
            <x v="5"/>
          </reference>
        </references>
      </pivotArea>
    </format>
    <format dxfId="221">
      <pivotArea dataOnly="0" labelOnly="1" outline="0" fieldPosition="0">
        <references count="2">
          <reference field="0" count="1" selected="0">
            <x v="6"/>
          </reference>
          <reference field="2" count="1">
            <x v="6"/>
          </reference>
        </references>
      </pivotArea>
    </format>
    <format dxfId="220">
      <pivotArea dataOnly="0" labelOnly="1" outline="0" fieldPosition="0">
        <references count="2">
          <reference field="0" count="1" selected="0">
            <x v="7"/>
          </reference>
          <reference field="2" count="1">
            <x v="7"/>
          </reference>
        </references>
      </pivotArea>
    </format>
    <format dxfId="219">
      <pivotArea dataOnly="0" labelOnly="1" outline="0" fieldPosition="0">
        <references count="2">
          <reference field="0" count="1" selected="0">
            <x v="8"/>
          </reference>
          <reference field="2" count="1">
            <x v="8"/>
          </reference>
        </references>
      </pivotArea>
    </format>
    <format dxfId="218">
      <pivotArea dataOnly="0" labelOnly="1" outline="0" fieldPosition="0">
        <references count="2">
          <reference field="0" count="1" selected="0">
            <x v="9"/>
          </reference>
          <reference field="2" count="1">
            <x v="9"/>
          </reference>
        </references>
      </pivotArea>
    </format>
    <format dxfId="217">
      <pivotArea dataOnly="0" labelOnly="1" outline="0" fieldPosition="0">
        <references count="2">
          <reference field="0" count="1" selected="0">
            <x v="11"/>
          </reference>
          <reference field="2" count="1">
            <x v="11"/>
          </reference>
        </references>
      </pivotArea>
    </format>
    <format dxfId="216">
      <pivotArea dataOnly="0" labelOnly="1" outline="0" fieldPosition="0">
        <references count="2">
          <reference field="0" count="1" selected="0">
            <x v="12"/>
          </reference>
          <reference field="2" count="1">
            <x v="12"/>
          </reference>
        </references>
      </pivotArea>
    </format>
    <format dxfId="215">
      <pivotArea dataOnly="0" labelOnly="1" outline="0" fieldPosition="0">
        <references count="2">
          <reference field="0" count="1" selected="0">
            <x v="13"/>
          </reference>
          <reference field="2" count="1">
            <x v="13"/>
          </reference>
        </references>
      </pivotArea>
    </format>
    <format dxfId="214">
      <pivotArea dataOnly="0" labelOnly="1" outline="0" fieldPosition="0">
        <references count="2">
          <reference field="0" count="1" selected="0">
            <x v="14"/>
          </reference>
          <reference field="2" count="1">
            <x v="14"/>
          </reference>
        </references>
      </pivotArea>
    </format>
    <format dxfId="213">
      <pivotArea dataOnly="0" labelOnly="1" outline="0" fieldPosition="0">
        <references count="2">
          <reference field="0" count="1" selected="0">
            <x v="15"/>
          </reference>
          <reference field="2" count="1">
            <x v="15"/>
          </reference>
        </references>
      </pivotArea>
    </format>
    <format dxfId="212">
      <pivotArea dataOnly="0" labelOnly="1" outline="0" fieldPosition="0">
        <references count="2">
          <reference field="0" count="1" selected="0">
            <x v="16"/>
          </reference>
          <reference field="2" count="1">
            <x v="16"/>
          </reference>
        </references>
      </pivotArea>
    </format>
    <format dxfId="211">
      <pivotArea dataOnly="0" labelOnly="1" outline="0" fieldPosition="0">
        <references count="2">
          <reference field="0" count="1" selected="0">
            <x v="17"/>
          </reference>
          <reference field="2" count="1">
            <x v="17"/>
          </reference>
        </references>
      </pivotArea>
    </format>
    <format dxfId="210">
      <pivotArea dataOnly="0" labelOnly="1" outline="0" fieldPosition="0">
        <references count="3">
          <reference field="0" count="1" selected="0">
            <x v="0"/>
          </reference>
          <reference field="2" count="1" selected="0">
            <x v="0"/>
          </reference>
          <reference field="3" count="1">
            <x v="0"/>
          </reference>
        </references>
      </pivotArea>
    </format>
    <format dxfId="209">
      <pivotArea dataOnly="0" labelOnly="1" outline="0" fieldPosition="0">
        <references count="3">
          <reference field="0" count="1" selected="0">
            <x v="1"/>
          </reference>
          <reference field="2" count="1" selected="0">
            <x v="1"/>
          </reference>
          <reference field="3" count="1">
            <x v="1"/>
          </reference>
        </references>
      </pivotArea>
    </format>
    <format dxfId="208">
      <pivotArea dataOnly="0" labelOnly="1" outline="0" fieldPosition="0">
        <references count="3">
          <reference field="0" count="1" selected="0">
            <x v="2"/>
          </reference>
          <reference field="2" count="1" selected="0">
            <x v="2"/>
          </reference>
          <reference field="3" count="1">
            <x v="2"/>
          </reference>
        </references>
      </pivotArea>
    </format>
    <format dxfId="207">
      <pivotArea dataOnly="0" labelOnly="1" outline="0" fieldPosition="0">
        <references count="3">
          <reference field="0" count="1" selected="0">
            <x v="3"/>
          </reference>
          <reference field="2" count="1" selected="0">
            <x v="3"/>
          </reference>
          <reference field="3" count="1">
            <x v="3"/>
          </reference>
        </references>
      </pivotArea>
    </format>
    <format dxfId="206">
      <pivotArea dataOnly="0" labelOnly="1" outline="0" fieldPosition="0">
        <references count="3">
          <reference field="0" count="1" selected="0">
            <x v="4"/>
          </reference>
          <reference field="2" count="1" selected="0">
            <x v="4"/>
          </reference>
          <reference field="3" count="1">
            <x v="4"/>
          </reference>
        </references>
      </pivotArea>
    </format>
    <format dxfId="205">
      <pivotArea dataOnly="0" labelOnly="1" outline="0" fieldPosition="0">
        <references count="3">
          <reference field="0" count="1" selected="0">
            <x v="5"/>
          </reference>
          <reference field="2" count="1" selected="0">
            <x v="5"/>
          </reference>
          <reference field="3" count="1">
            <x v="5"/>
          </reference>
        </references>
      </pivotArea>
    </format>
    <format dxfId="204">
      <pivotArea dataOnly="0" labelOnly="1" outline="0" fieldPosition="0">
        <references count="3">
          <reference field="0" count="1" selected="0">
            <x v="6"/>
          </reference>
          <reference field="2" count="1" selected="0">
            <x v="6"/>
          </reference>
          <reference field="3" count="1">
            <x v="6"/>
          </reference>
        </references>
      </pivotArea>
    </format>
    <format dxfId="203">
      <pivotArea dataOnly="0" labelOnly="1" outline="0" fieldPosition="0">
        <references count="3">
          <reference field="0" count="1" selected="0">
            <x v="7"/>
          </reference>
          <reference field="2" count="1" selected="0">
            <x v="7"/>
          </reference>
          <reference field="3" count="1">
            <x v="7"/>
          </reference>
        </references>
      </pivotArea>
    </format>
    <format dxfId="202">
      <pivotArea dataOnly="0" labelOnly="1" outline="0" fieldPosition="0">
        <references count="3">
          <reference field="0" count="1" selected="0">
            <x v="8"/>
          </reference>
          <reference field="2" count="1" selected="0">
            <x v="8"/>
          </reference>
          <reference field="3" count="1">
            <x v="8"/>
          </reference>
        </references>
      </pivotArea>
    </format>
    <format dxfId="201">
      <pivotArea dataOnly="0" labelOnly="1" outline="0" fieldPosition="0">
        <references count="3">
          <reference field="0" count="1" selected="0">
            <x v="9"/>
          </reference>
          <reference field="2" count="1" selected="0">
            <x v="9"/>
          </reference>
          <reference field="3" count="1">
            <x v="9"/>
          </reference>
        </references>
      </pivotArea>
    </format>
    <format dxfId="200">
      <pivotArea dataOnly="0" labelOnly="1" outline="0" fieldPosition="0">
        <references count="3">
          <reference field="0" count="1" selected="0">
            <x v="11"/>
          </reference>
          <reference field="2" count="1" selected="0">
            <x v="11"/>
          </reference>
          <reference field="3" count="1">
            <x v="11"/>
          </reference>
        </references>
      </pivotArea>
    </format>
    <format dxfId="199">
      <pivotArea dataOnly="0" labelOnly="1" outline="0" fieldPosition="0">
        <references count="3">
          <reference field="0" count="1" selected="0">
            <x v="12"/>
          </reference>
          <reference field="2" count="1" selected="0">
            <x v="12"/>
          </reference>
          <reference field="3" count="1">
            <x v="12"/>
          </reference>
        </references>
      </pivotArea>
    </format>
    <format dxfId="198">
      <pivotArea dataOnly="0" labelOnly="1" outline="0" fieldPosition="0">
        <references count="3">
          <reference field="0" count="1" selected="0">
            <x v="13"/>
          </reference>
          <reference field="2" count="1" selected="0">
            <x v="13"/>
          </reference>
          <reference field="3" count="1">
            <x v="13"/>
          </reference>
        </references>
      </pivotArea>
    </format>
    <format dxfId="197">
      <pivotArea dataOnly="0" labelOnly="1" outline="0" fieldPosition="0">
        <references count="3">
          <reference field="0" count="1" selected="0">
            <x v="14"/>
          </reference>
          <reference field="2" count="1" selected="0">
            <x v="14"/>
          </reference>
          <reference field="3" count="1">
            <x v="14"/>
          </reference>
        </references>
      </pivotArea>
    </format>
    <format dxfId="196">
      <pivotArea dataOnly="0" labelOnly="1" outline="0" fieldPosition="0">
        <references count="3">
          <reference field="0" count="1" selected="0">
            <x v="15"/>
          </reference>
          <reference field="2" count="1" selected="0">
            <x v="15"/>
          </reference>
          <reference field="3" count="1">
            <x v="15"/>
          </reference>
        </references>
      </pivotArea>
    </format>
    <format dxfId="195">
      <pivotArea dataOnly="0" labelOnly="1" outline="0" fieldPosition="0">
        <references count="3">
          <reference field="0" count="1" selected="0">
            <x v="16"/>
          </reference>
          <reference field="2" count="1" selected="0">
            <x v="16"/>
          </reference>
          <reference field="3" count="1">
            <x v="16"/>
          </reference>
        </references>
      </pivotArea>
    </format>
    <format dxfId="194">
      <pivotArea dataOnly="0" labelOnly="1" outline="0" fieldPosition="0">
        <references count="3">
          <reference field="0" count="1" selected="0">
            <x v="17"/>
          </reference>
          <reference field="2" count="1" selected="0">
            <x v="17"/>
          </reference>
          <reference field="3" count="1">
            <x v="17"/>
          </reference>
        </references>
      </pivotArea>
    </format>
    <format dxfId="193">
      <pivotArea field="3" grandCol="1" outline="0" axis="axisRow" fieldPosition="2">
        <references count="3">
          <reference field="0" count="17" selected="0">
            <x v="0"/>
            <x v="1"/>
            <x v="2"/>
            <x v="3"/>
            <x v="4"/>
            <x v="5"/>
            <x v="6"/>
            <x v="7"/>
            <x v="8"/>
            <x v="9"/>
            <x v="11"/>
            <x v="12"/>
            <x v="13"/>
            <x v="14"/>
            <x v="15"/>
            <x v="16"/>
            <x v="17"/>
          </reference>
          <reference field="2" count="17" selected="0">
            <x v="0"/>
            <x v="1"/>
            <x v="2"/>
            <x v="3"/>
            <x v="4"/>
            <x v="5"/>
            <x v="6"/>
            <x v="7"/>
            <x v="8"/>
            <x v="9"/>
            <x v="11"/>
            <x v="12"/>
            <x v="13"/>
            <x v="14"/>
            <x v="15"/>
            <x v="16"/>
            <x v="17"/>
          </reference>
          <reference field="3" count="17" selected="0">
            <x v="0"/>
            <x v="1"/>
            <x v="2"/>
            <x v="3"/>
            <x v="4"/>
            <x v="5"/>
            <x v="6"/>
            <x v="7"/>
            <x v="8"/>
            <x v="9"/>
            <x v="11"/>
            <x v="12"/>
            <x v="13"/>
            <x v="14"/>
            <x v="15"/>
            <x v="16"/>
            <x v="17"/>
          </reference>
        </references>
      </pivotArea>
    </format>
    <format dxfId="192">
      <pivotArea dataOnly="0" labelOnly="1" outline="0" fieldPosition="0">
        <references count="1">
          <reference field="0" count="0"/>
        </references>
      </pivotArea>
    </format>
    <format dxfId="191">
      <pivotArea dataOnly="0" labelOnly="1" outline="0" fieldPosition="0">
        <references count="2">
          <reference field="0" count="1" selected="0">
            <x v="0"/>
          </reference>
          <reference field="2" count="1">
            <x v="0"/>
          </reference>
        </references>
      </pivotArea>
    </format>
    <format dxfId="190">
      <pivotArea dataOnly="0" labelOnly="1" outline="0" fieldPosition="0">
        <references count="2">
          <reference field="0" count="1" selected="0">
            <x v="1"/>
          </reference>
          <reference field="2" count="1">
            <x v="1"/>
          </reference>
        </references>
      </pivotArea>
    </format>
    <format dxfId="189">
      <pivotArea dataOnly="0" labelOnly="1" outline="0" fieldPosition="0">
        <references count="2">
          <reference field="0" count="1" selected="0">
            <x v="2"/>
          </reference>
          <reference field="2" count="1">
            <x v="2"/>
          </reference>
        </references>
      </pivotArea>
    </format>
    <format dxfId="188">
      <pivotArea dataOnly="0" labelOnly="1" outline="0" fieldPosition="0">
        <references count="2">
          <reference field="0" count="1" selected="0">
            <x v="3"/>
          </reference>
          <reference field="2" count="1">
            <x v="3"/>
          </reference>
        </references>
      </pivotArea>
    </format>
    <format dxfId="187">
      <pivotArea dataOnly="0" labelOnly="1" outline="0" fieldPosition="0">
        <references count="2">
          <reference field="0" count="1" selected="0">
            <x v="4"/>
          </reference>
          <reference field="2" count="1">
            <x v="4"/>
          </reference>
        </references>
      </pivotArea>
    </format>
    <format dxfId="186">
      <pivotArea dataOnly="0" labelOnly="1" outline="0" fieldPosition="0">
        <references count="2">
          <reference field="0" count="1" selected="0">
            <x v="5"/>
          </reference>
          <reference field="2" count="1">
            <x v="5"/>
          </reference>
        </references>
      </pivotArea>
    </format>
    <format dxfId="185">
      <pivotArea dataOnly="0" labelOnly="1" outline="0" fieldPosition="0">
        <references count="2">
          <reference field="0" count="1" selected="0">
            <x v="6"/>
          </reference>
          <reference field="2" count="1">
            <x v="6"/>
          </reference>
        </references>
      </pivotArea>
    </format>
    <format dxfId="184">
      <pivotArea dataOnly="0" labelOnly="1" outline="0" fieldPosition="0">
        <references count="2">
          <reference field="0" count="1" selected="0">
            <x v="7"/>
          </reference>
          <reference field="2" count="1">
            <x v="7"/>
          </reference>
        </references>
      </pivotArea>
    </format>
    <format dxfId="183">
      <pivotArea dataOnly="0" labelOnly="1" outline="0" fieldPosition="0">
        <references count="2">
          <reference field="0" count="1" selected="0">
            <x v="8"/>
          </reference>
          <reference field="2" count="1">
            <x v="8"/>
          </reference>
        </references>
      </pivotArea>
    </format>
    <format dxfId="182">
      <pivotArea dataOnly="0" labelOnly="1" outline="0" fieldPosition="0">
        <references count="2">
          <reference field="0" count="1" selected="0">
            <x v="9"/>
          </reference>
          <reference field="2" count="1">
            <x v="9"/>
          </reference>
        </references>
      </pivotArea>
    </format>
    <format dxfId="181">
      <pivotArea dataOnly="0" labelOnly="1" outline="0" fieldPosition="0">
        <references count="2">
          <reference field="0" count="1" selected="0">
            <x v="10"/>
          </reference>
          <reference field="2" count="1">
            <x v="10"/>
          </reference>
        </references>
      </pivotArea>
    </format>
    <format dxfId="180">
      <pivotArea dataOnly="0" labelOnly="1" outline="0" fieldPosition="0">
        <references count="2">
          <reference field="0" count="1" selected="0">
            <x v="11"/>
          </reference>
          <reference field="2" count="1">
            <x v="11"/>
          </reference>
        </references>
      </pivotArea>
    </format>
    <format dxfId="179">
      <pivotArea dataOnly="0" labelOnly="1" outline="0" fieldPosition="0">
        <references count="2">
          <reference field="0" count="1" selected="0">
            <x v="12"/>
          </reference>
          <reference field="2" count="1">
            <x v="12"/>
          </reference>
        </references>
      </pivotArea>
    </format>
    <format dxfId="178">
      <pivotArea dataOnly="0" labelOnly="1" outline="0" fieldPosition="0">
        <references count="2">
          <reference field="0" count="1" selected="0">
            <x v="13"/>
          </reference>
          <reference field="2" count="1">
            <x v="13"/>
          </reference>
        </references>
      </pivotArea>
    </format>
    <format dxfId="177">
      <pivotArea dataOnly="0" labelOnly="1" outline="0" fieldPosition="0">
        <references count="2">
          <reference field="0" count="1" selected="0">
            <x v="14"/>
          </reference>
          <reference field="2" count="1">
            <x v="14"/>
          </reference>
        </references>
      </pivotArea>
    </format>
    <format dxfId="176">
      <pivotArea dataOnly="0" labelOnly="1" outline="0" fieldPosition="0">
        <references count="2">
          <reference field="0" count="1" selected="0">
            <x v="15"/>
          </reference>
          <reference field="2" count="1">
            <x v="15"/>
          </reference>
        </references>
      </pivotArea>
    </format>
    <format dxfId="175">
      <pivotArea dataOnly="0" labelOnly="1" outline="0" fieldPosition="0">
        <references count="2">
          <reference field="0" count="1" selected="0">
            <x v="16"/>
          </reference>
          <reference field="2" count="1">
            <x v="16"/>
          </reference>
        </references>
      </pivotArea>
    </format>
    <format dxfId="174">
      <pivotArea dataOnly="0" labelOnly="1" outline="0" fieldPosition="0">
        <references count="2">
          <reference field="0" count="1" selected="0">
            <x v="17"/>
          </reference>
          <reference field="2" count="1">
            <x v="17"/>
          </reference>
        </references>
      </pivotArea>
    </format>
    <format dxfId="173">
      <pivotArea dataOnly="0" labelOnly="1" outline="0" fieldPosition="0">
        <references count="3">
          <reference field="0" count="1" selected="0">
            <x v="0"/>
          </reference>
          <reference field="2" count="1" selected="0">
            <x v="0"/>
          </reference>
          <reference field="3" count="1">
            <x v="0"/>
          </reference>
        </references>
      </pivotArea>
    </format>
    <format dxfId="172">
      <pivotArea dataOnly="0" labelOnly="1" outline="0" fieldPosition="0">
        <references count="3">
          <reference field="0" count="1" selected="0">
            <x v="1"/>
          </reference>
          <reference field="2" count="1" selected="0">
            <x v="1"/>
          </reference>
          <reference field="3" count="1">
            <x v="1"/>
          </reference>
        </references>
      </pivotArea>
    </format>
    <format dxfId="171">
      <pivotArea dataOnly="0" labelOnly="1" outline="0" fieldPosition="0">
        <references count="3">
          <reference field="0" count="1" selected="0">
            <x v="2"/>
          </reference>
          <reference field="2" count="1" selected="0">
            <x v="2"/>
          </reference>
          <reference field="3" count="1">
            <x v="2"/>
          </reference>
        </references>
      </pivotArea>
    </format>
    <format dxfId="170">
      <pivotArea dataOnly="0" labelOnly="1" outline="0" fieldPosition="0">
        <references count="3">
          <reference field="0" count="1" selected="0">
            <x v="3"/>
          </reference>
          <reference field="2" count="1" selected="0">
            <x v="3"/>
          </reference>
          <reference field="3" count="1">
            <x v="3"/>
          </reference>
        </references>
      </pivotArea>
    </format>
    <format dxfId="169">
      <pivotArea dataOnly="0" labelOnly="1" outline="0" fieldPosition="0">
        <references count="3">
          <reference field="0" count="1" selected="0">
            <x v="4"/>
          </reference>
          <reference field="2" count="1" selected="0">
            <x v="4"/>
          </reference>
          <reference field="3" count="1">
            <x v="4"/>
          </reference>
        </references>
      </pivotArea>
    </format>
    <format dxfId="168">
      <pivotArea dataOnly="0" labelOnly="1" outline="0" fieldPosition="0">
        <references count="3">
          <reference field="0" count="1" selected="0">
            <x v="5"/>
          </reference>
          <reference field="2" count="1" selected="0">
            <x v="5"/>
          </reference>
          <reference field="3" count="1">
            <x v="5"/>
          </reference>
        </references>
      </pivotArea>
    </format>
    <format dxfId="167">
      <pivotArea dataOnly="0" labelOnly="1" outline="0" fieldPosition="0">
        <references count="3">
          <reference field="0" count="1" selected="0">
            <x v="6"/>
          </reference>
          <reference field="2" count="1" selected="0">
            <x v="6"/>
          </reference>
          <reference field="3" count="1">
            <x v="6"/>
          </reference>
        </references>
      </pivotArea>
    </format>
    <format dxfId="166">
      <pivotArea dataOnly="0" labelOnly="1" outline="0" fieldPosition="0">
        <references count="3">
          <reference field="0" count="1" selected="0">
            <x v="7"/>
          </reference>
          <reference field="2" count="1" selected="0">
            <x v="7"/>
          </reference>
          <reference field="3" count="1">
            <x v="7"/>
          </reference>
        </references>
      </pivotArea>
    </format>
    <format dxfId="165">
      <pivotArea dataOnly="0" labelOnly="1" outline="0" fieldPosition="0">
        <references count="3">
          <reference field="0" count="1" selected="0">
            <x v="8"/>
          </reference>
          <reference field="2" count="1" selected="0">
            <x v="8"/>
          </reference>
          <reference field="3" count="1">
            <x v="8"/>
          </reference>
        </references>
      </pivotArea>
    </format>
    <format dxfId="164">
      <pivotArea dataOnly="0" labelOnly="1" outline="0" fieldPosition="0">
        <references count="3">
          <reference field="0" count="1" selected="0">
            <x v="9"/>
          </reference>
          <reference field="2" count="1" selected="0">
            <x v="9"/>
          </reference>
          <reference field="3" count="1">
            <x v="9"/>
          </reference>
        </references>
      </pivotArea>
    </format>
    <format dxfId="163">
      <pivotArea dataOnly="0" labelOnly="1" outline="0" fieldPosition="0">
        <references count="3">
          <reference field="0" count="1" selected="0">
            <x v="10"/>
          </reference>
          <reference field="2" count="1" selected="0">
            <x v="10"/>
          </reference>
          <reference field="3" count="1">
            <x v="10"/>
          </reference>
        </references>
      </pivotArea>
    </format>
    <format dxfId="162">
      <pivotArea dataOnly="0" labelOnly="1" outline="0" fieldPosition="0">
        <references count="3">
          <reference field="0" count="1" selected="0">
            <x v="11"/>
          </reference>
          <reference field="2" count="1" selected="0">
            <x v="11"/>
          </reference>
          <reference field="3" count="1">
            <x v="11"/>
          </reference>
        </references>
      </pivotArea>
    </format>
    <format dxfId="161">
      <pivotArea dataOnly="0" labelOnly="1" outline="0" fieldPosition="0">
        <references count="3">
          <reference field="0" count="1" selected="0">
            <x v="12"/>
          </reference>
          <reference field="2" count="1" selected="0">
            <x v="12"/>
          </reference>
          <reference field="3" count="1">
            <x v="12"/>
          </reference>
        </references>
      </pivotArea>
    </format>
    <format dxfId="160">
      <pivotArea dataOnly="0" labelOnly="1" outline="0" fieldPosition="0">
        <references count="3">
          <reference field="0" count="1" selected="0">
            <x v="13"/>
          </reference>
          <reference field="2" count="1" selected="0">
            <x v="13"/>
          </reference>
          <reference field="3" count="1">
            <x v="13"/>
          </reference>
        </references>
      </pivotArea>
    </format>
    <format dxfId="159">
      <pivotArea dataOnly="0" labelOnly="1" outline="0" fieldPosition="0">
        <references count="3">
          <reference field="0" count="1" selected="0">
            <x v="14"/>
          </reference>
          <reference field="2" count="1" selected="0">
            <x v="14"/>
          </reference>
          <reference field="3" count="1">
            <x v="14"/>
          </reference>
        </references>
      </pivotArea>
    </format>
    <format dxfId="158">
      <pivotArea dataOnly="0" labelOnly="1" outline="0" fieldPosition="0">
        <references count="3">
          <reference field="0" count="1" selected="0">
            <x v="15"/>
          </reference>
          <reference field="2" count="1" selected="0">
            <x v="15"/>
          </reference>
          <reference field="3" count="1">
            <x v="15"/>
          </reference>
        </references>
      </pivotArea>
    </format>
    <format dxfId="157">
      <pivotArea dataOnly="0" labelOnly="1" outline="0" fieldPosition="0">
        <references count="3">
          <reference field="0" count="1" selected="0">
            <x v="16"/>
          </reference>
          <reference field="2" count="1" selected="0">
            <x v="16"/>
          </reference>
          <reference field="3" count="1">
            <x v="16"/>
          </reference>
        </references>
      </pivotArea>
    </format>
    <format dxfId="156">
      <pivotArea dataOnly="0" labelOnly="1" outline="0" fieldPosition="0">
        <references count="3">
          <reference field="0" count="1" selected="0">
            <x v="17"/>
          </reference>
          <reference field="2" count="1" selected="0">
            <x v="17"/>
          </reference>
          <reference field="3" count="1">
            <x v="17"/>
          </reference>
        </references>
      </pivotArea>
    </format>
    <format dxfId="155">
      <pivotArea dataOnly="0" labelOnly="1" outline="0" fieldPosition="0">
        <references count="3">
          <reference field="0" count="1" selected="0">
            <x v="0"/>
          </reference>
          <reference field="2" count="1" selected="0">
            <x v="0"/>
          </reference>
          <reference field="3" count="1">
            <x v="0"/>
          </reference>
        </references>
      </pivotArea>
    </format>
    <format dxfId="154">
      <pivotArea dataOnly="0" labelOnly="1" outline="0" fieldPosition="0">
        <references count="3">
          <reference field="0" count="1" selected="0">
            <x v="1"/>
          </reference>
          <reference field="2" count="1" selected="0">
            <x v="1"/>
          </reference>
          <reference field="3" count="1">
            <x v="1"/>
          </reference>
        </references>
      </pivotArea>
    </format>
    <format dxfId="153">
      <pivotArea dataOnly="0" labelOnly="1" outline="0" fieldPosition="0">
        <references count="3">
          <reference field="0" count="1" selected="0">
            <x v="2"/>
          </reference>
          <reference field="2" count="1" selected="0">
            <x v="2"/>
          </reference>
          <reference field="3" count="1">
            <x v="2"/>
          </reference>
        </references>
      </pivotArea>
    </format>
    <format dxfId="152">
      <pivotArea dataOnly="0" labelOnly="1" outline="0" fieldPosition="0">
        <references count="3">
          <reference field="0" count="1" selected="0">
            <x v="3"/>
          </reference>
          <reference field="2" count="1" selected="0">
            <x v="3"/>
          </reference>
          <reference field="3" count="1">
            <x v="3"/>
          </reference>
        </references>
      </pivotArea>
    </format>
    <format dxfId="151">
      <pivotArea dataOnly="0" labelOnly="1" outline="0" fieldPosition="0">
        <references count="3">
          <reference field="0" count="1" selected="0">
            <x v="4"/>
          </reference>
          <reference field="2" count="1" selected="0">
            <x v="4"/>
          </reference>
          <reference field="3" count="1">
            <x v="4"/>
          </reference>
        </references>
      </pivotArea>
    </format>
    <format dxfId="150">
      <pivotArea dataOnly="0" labelOnly="1" outline="0" fieldPosition="0">
        <references count="3">
          <reference field="0" count="1" selected="0">
            <x v="5"/>
          </reference>
          <reference field="2" count="1" selected="0">
            <x v="5"/>
          </reference>
          <reference field="3" count="1">
            <x v="5"/>
          </reference>
        </references>
      </pivotArea>
    </format>
    <format dxfId="149">
      <pivotArea dataOnly="0" labelOnly="1" outline="0" fieldPosition="0">
        <references count="3">
          <reference field="0" count="1" selected="0">
            <x v="6"/>
          </reference>
          <reference field="2" count="1" selected="0">
            <x v="6"/>
          </reference>
          <reference field="3" count="1">
            <x v="6"/>
          </reference>
        </references>
      </pivotArea>
    </format>
    <format dxfId="148">
      <pivotArea dataOnly="0" labelOnly="1" outline="0" fieldPosition="0">
        <references count="3">
          <reference field="0" count="1" selected="0">
            <x v="7"/>
          </reference>
          <reference field="2" count="1" selected="0">
            <x v="7"/>
          </reference>
          <reference field="3" count="1">
            <x v="7"/>
          </reference>
        </references>
      </pivotArea>
    </format>
    <format dxfId="147">
      <pivotArea dataOnly="0" labelOnly="1" outline="0" fieldPosition="0">
        <references count="3">
          <reference field="0" count="1" selected="0">
            <x v="8"/>
          </reference>
          <reference field="2" count="1" selected="0">
            <x v="8"/>
          </reference>
          <reference field="3" count="1">
            <x v="8"/>
          </reference>
        </references>
      </pivotArea>
    </format>
    <format dxfId="146">
      <pivotArea dataOnly="0" labelOnly="1" outline="0" fieldPosition="0">
        <references count="3">
          <reference field="0" count="1" selected="0">
            <x v="9"/>
          </reference>
          <reference field="2" count="1" selected="0">
            <x v="9"/>
          </reference>
          <reference field="3" count="1">
            <x v="9"/>
          </reference>
        </references>
      </pivotArea>
    </format>
    <format dxfId="145">
      <pivotArea dataOnly="0" labelOnly="1" outline="0" fieldPosition="0">
        <references count="3">
          <reference field="0" count="1" selected="0">
            <x v="10"/>
          </reference>
          <reference field="2" count="1" selected="0">
            <x v="10"/>
          </reference>
          <reference field="3" count="1">
            <x v="10"/>
          </reference>
        </references>
      </pivotArea>
    </format>
    <format dxfId="144">
      <pivotArea dataOnly="0" labelOnly="1" outline="0" fieldPosition="0">
        <references count="3">
          <reference field="0" count="1" selected="0">
            <x v="11"/>
          </reference>
          <reference field="2" count="1" selected="0">
            <x v="11"/>
          </reference>
          <reference field="3" count="1">
            <x v="11"/>
          </reference>
        </references>
      </pivotArea>
    </format>
    <format dxfId="143">
      <pivotArea dataOnly="0" labelOnly="1" outline="0" fieldPosition="0">
        <references count="3">
          <reference field="0" count="1" selected="0">
            <x v="12"/>
          </reference>
          <reference field="2" count="1" selected="0">
            <x v="12"/>
          </reference>
          <reference field="3" count="1">
            <x v="12"/>
          </reference>
        </references>
      </pivotArea>
    </format>
    <format dxfId="142">
      <pivotArea dataOnly="0" labelOnly="1" outline="0" fieldPosition="0">
        <references count="3">
          <reference field="0" count="1" selected="0">
            <x v="13"/>
          </reference>
          <reference field="2" count="1" selected="0">
            <x v="13"/>
          </reference>
          <reference field="3" count="1">
            <x v="13"/>
          </reference>
        </references>
      </pivotArea>
    </format>
    <format dxfId="141">
      <pivotArea dataOnly="0" labelOnly="1" outline="0" fieldPosition="0">
        <references count="3">
          <reference field="0" count="1" selected="0">
            <x v="14"/>
          </reference>
          <reference field="2" count="1" selected="0">
            <x v="14"/>
          </reference>
          <reference field="3" count="1">
            <x v="14"/>
          </reference>
        </references>
      </pivotArea>
    </format>
    <format dxfId="140">
      <pivotArea dataOnly="0" labelOnly="1" outline="0" fieldPosition="0">
        <references count="3">
          <reference field="0" count="1" selected="0">
            <x v="15"/>
          </reference>
          <reference field="2" count="1" selected="0">
            <x v="15"/>
          </reference>
          <reference field="3" count="1">
            <x v="15"/>
          </reference>
        </references>
      </pivotArea>
    </format>
    <format dxfId="139">
      <pivotArea dataOnly="0" labelOnly="1" outline="0" fieldPosition="0">
        <references count="3">
          <reference field="0" count="1" selected="0">
            <x v="16"/>
          </reference>
          <reference field="2" count="1" selected="0">
            <x v="16"/>
          </reference>
          <reference field="3" count="1">
            <x v="16"/>
          </reference>
        </references>
      </pivotArea>
    </format>
    <format dxfId="138">
      <pivotArea dataOnly="0" labelOnly="1" outline="0" fieldPosition="0">
        <references count="3">
          <reference field="0" count="1" selected="0">
            <x v="17"/>
          </reference>
          <reference field="2" count="1" selected="0">
            <x v="17"/>
          </reference>
          <reference field="3" count="1">
            <x v="17"/>
          </reference>
        </references>
      </pivotArea>
    </format>
    <format dxfId="137">
      <pivotArea outline="0" collapsedLevelsAreSubtotals="1" fieldPosition="0"/>
    </format>
    <format dxfId="136">
      <pivotArea field="3" grandCol="1" outline="0" axis="axisRow" fieldPosition="2">
        <references count="3">
          <reference field="0" count="1" selected="0">
            <x v="10"/>
          </reference>
          <reference field="2" count="1" selected="0">
            <x v="10"/>
          </reference>
          <reference field="3" count="1" selected="0">
            <x v="10"/>
          </reference>
        </references>
      </pivotArea>
    </format>
    <format dxfId="135">
      <pivotArea field="3" type="button" dataOnly="0" labelOnly="1" outline="0" axis="axisRow" fieldPosition="2"/>
    </format>
    <format dxfId="134">
      <pivotArea dataOnly="0" labelOnly="1" outline="0" fieldPosition="0">
        <references count="3">
          <reference field="0" count="1" selected="0">
            <x v="0"/>
          </reference>
          <reference field="2" count="1" selected="0">
            <x v="0"/>
          </reference>
          <reference field="3" count="1">
            <x v="0"/>
          </reference>
        </references>
      </pivotArea>
    </format>
    <format dxfId="133">
      <pivotArea dataOnly="0" labelOnly="1" outline="0" fieldPosition="0">
        <references count="3">
          <reference field="0" count="1" selected="0">
            <x v="1"/>
          </reference>
          <reference field="2" count="1" selected="0">
            <x v="1"/>
          </reference>
          <reference field="3" count="1">
            <x v="1"/>
          </reference>
        </references>
      </pivotArea>
    </format>
    <format dxfId="132">
      <pivotArea dataOnly="0" labelOnly="1" outline="0" fieldPosition="0">
        <references count="3">
          <reference field="0" count="1" selected="0">
            <x v="2"/>
          </reference>
          <reference field="2" count="1" selected="0">
            <x v="2"/>
          </reference>
          <reference field="3" count="1">
            <x v="2"/>
          </reference>
        </references>
      </pivotArea>
    </format>
    <format dxfId="131">
      <pivotArea dataOnly="0" labelOnly="1" outline="0" fieldPosition="0">
        <references count="3">
          <reference field="0" count="1" selected="0">
            <x v="3"/>
          </reference>
          <reference field="2" count="1" selected="0">
            <x v="3"/>
          </reference>
          <reference field="3" count="1">
            <x v="3"/>
          </reference>
        </references>
      </pivotArea>
    </format>
    <format dxfId="130">
      <pivotArea dataOnly="0" labelOnly="1" outline="0" fieldPosition="0">
        <references count="3">
          <reference field="0" count="1" selected="0">
            <x v="4"/>
          </reference>
          <reference field="2" count="1" selected="0">
            <x v="4"/>
          </reference>
          <reference field="3" count="1">
            <x v="4"/>
          </reference>
        </references>
      </pivotArea>
    </format>
    <format dxfId="129">
      <pivotArea dataOnly="0" labelOnly="1" outline="0" fieldPosition="0">
        <references count="3">
          <reference field="0" count="1" selected="0">
            <x v="5"/>
          </reference>
          <reference field="2" count="1" selected="0">
            <x v="5"/>
          </reference>
          <reference field="3" count="1">
            <x v="5"/>
          </reference>
        </references>
      </pivotArea>
    </format>
    <format dxfId="128">
      <pivotArea dataOnly="0" labelOnly="1" outline="0" fieldPosition="0">
        <references count="3">
          <reference field="0" count="1" selected="0">
            <x v="6"/>
          </reference>
          <reference field="2" count="1" selected="0">
            <x v="6"/>
          </reference>
          <reference field="3" count="1">
            <x v="6"/>
          </reference>
        </references>
      </pivotArea>
    </format>
    <format dxfId="127">
      <pivotArea dataOnly="0" labelOnly="1" outline="0" fieldPosition="0">
        <references count="3">
          <reference field="0" count="1" selected="0">
            <x v="7"/>
          </reference>
          <reference field="2" count="1" selected="0">
            <x v="7"/>
          </reference>
          <reference field="3" count="1">
            <x v="7"/>
          </reference>
        </references>
      </pivotArea>
    </format>
    <format dxfId="126">
      <pivotArea dataOnly="0" labelOnly="1" outline="0" fieldPosition="0">
        <references count="3">
          <reference field="0" count="1" selected="0">
            <x v="8"/>
          </reference>
          <reference field="2" count="1" selected="0">
            <x v="8"/>
          </reference>
          <reference field="3" count="1">
            <x v="8"/>
          </reference>
        </references>
      </pivotArea>
    </format>
    <format dxfId="125">
      <pivotArea dataOnly="0" labelOnly="1" outline="0" fieldPosition="0">
        <references count="3">
          <reference field="0" count="1" selected="0">
            <x v="9"/>
          </reference>
          <reference field="2" count="1" selected="0">
            <x v="9"/>
          </reference>
          <reference field="3" count="1">
            <x v="9"/>
          </reference>
        </references>
      </pivotArea>
    </format>
    <format dxfId="124">
      <pivotArea dataOnly="0" labelOnly="1" outline="0" fieldPosition="0">
        <references count="3">
          <reference field="0" count="1" selected="0">
            <x v="10"/>
          </reference>
          <reference field="2" count="1" selected="0">
            <x v="10"/>
          </reference>
          <reference field="3" count="1">
            <x v="10"/>
          </reference>
        </references>
      </pivotArea>
    </format>
    <format dxfId="123">
      <pivotArea dataOnly="0" labelOnly="1" outline="0" fieldPosition="0">
        <references count="3">
          <reference field="0" count="1" selected="0">
            <x v="11"/>
          </reference>
          <reference field="2" count="1" selected="0">
            <x v="11"/>
          </reference>
          <reference field="3" count="1">
            <x v="11"/>
          </reference>
        </references>
      </pivotArea>
    </format>
    <format dxfId="122">
      <pivotArea dataOnly="0" labelOnly="1" outline="0" fieldPosition="0">
        <references count="3">
          <reference field="0" count="1" selected="0">
            <x v="12"/>
          </reference>
          <reference field="2" count="1" selected="0">
            <x v="12"/>
          </reference>
          <reference field="3" count="1">
            <x v="12"/>
          </reference>
        </references>
      </pivotArea>
    </format>
    <format dxfId="121">
      <pivotArea dataOnly="0" labelOnly="1" outline="0" fieldPosition="0">
        <references count="3">
          <reference field="0" count="1" selected="0">
            <x v="13"/>
          </reference>
          <reference field="2" count="1" selected="0">
            <x v="13"/>
          </reference>
          <reference field="3" count="1">
            <x v="13"/>
          </reference>
        </references>
      </pivotArea>
    </format>
    <format dxfId="120">
      <pivotArea dataOnly="0" labelOnly="1" outline="0" fieldPosition="0">
        <references count="3">
          <reference field="0" count="1" selected="0">
            <x v="14"/>
          </reference>
          <reference field="2" count="1" selected="0">
            <x v="14"/>
          </reference>
          <reference field="3" count="1">
            <x v="14"/>
          </reference>
        </references>
      </pivotArea>
    </format>
    <format dxfId="119">
      <pivotArea dataOnly="0" labelOnly="1" outline="0" fieldPosition="0">
        <references count="3">
          <reference field="0" count="1" selected="0">
            <x v="15"/>
          </reference>
          <reference field="2" count="1" selected="0">
            <x v="15"/>
          </reference>
          <reference field="3" count="1">
            <x v="15"/>
          </reference>
        </references>
      </pivotArea>
    </format>
    <format dxfId="118">
      <pivotArea dataOnly="0" labelOnly="1" outline="0" fieldPosition="0">
        <references count="3">
          <reference field="0" count="1" selected="0">
            <x v="16"/>
          </reference>
          <reference field="2" count="1" selected="0">
            <x v="16"/>
          </reference>
          <reference field="3" count="1">
            <x v="16"/>
          </reference>
        </references>
      </pivotArea>
    </format>
    <format dxfId="117">
      <pivotArea dataOnly="0" labelOnly="1" outline="0" fieldPosition="0">
        <references count="3">
          <reference field="0" count="1" selected="0">
            <x v="17"/>
          </reference>
          <reference field="2" count="1" selected="0">
            <x v="17"/>
          </reference>
          <reference field="3" count="1">
            <x v="17"/>
          </reference>
        </references>
      </pivotArea>
    </format>
    <format dxfId="116">
      <pivotArea dataOnly="0" labelOnly="1" outline="0" fieldPosition="0">
        <references count="3">
          <reference field="0" count="1" selected="0">
            <x v="8"/>
          </reference>
          <reference field="2" count="1" selected="0">
            <x v="8"/>
          </reference>
          <reference field="3" count="1">
            <x v="8"/>
          </reference>
        </references>
      </pivotArea>
    </format>
    <format dxfId="115">
      <pivotArea dataOnly="0" labelOnly="1" outline="0" fieldPosition="0">
        <references count="3">
          <reference field="0" count="1" selected="0">
            <x v="9"/>
          </reference>
          <reference field="2" count="1" selected="0">
            <x v="9"/>
          </reference>
          <reference field="3" count="1">
            <x v="9"/>
          </reference>
        </references>
      </pivotArea>
    </format>
    <format dxfId="114">
      <pivotArea dataOnly="0" labelOnly="1" outline="0" fieldPosition="0">
        <references count="3">
          <reference field="0" count="1" selected="0">
            <x v="10"/>
          </reference>
          <reference field="2" count="1" selected="0">
            <x v="10"/>
          </reference>
          <reference field="3" count="1">
            <x v="10"/>
          </reference>
        </references>
      </pivotArea>
    </format>
    <format dxfId="113">
      <pivotArea dataOnly="0" labelOnly="1" outline="0" fieldPosition="0">
        <references count="3">
          <reference field="0" count="1" selected="0">
            <x v="15"/>
          </reference>
          <reference field="2" count="1" selected="0">
            <x v="15"/>
          </reference>
          <reference field="3" count="1">
            <x v="15"/>
          </reference>
        </references>
      </pivotArea>
    </format>
    <format dxfId="112">
      <pivotArea outline="0" fieldPosition="0">
        <references count="4">
          <reference field="0" count="3" selected="0">
            <x v="8"/>
            <x v="9"/>
            <x v="10"/>
          </reference>
          <reference field="2" count="3" selected="0">
            <x v="8"/>
            <x v="9"/>
            <x v="10"/>
          </reference>
          <reference field="3" count="3" selected="0">
            <x v="8"/>
            <x v="9"/>
            <x v="10"/>
          </reference>
          <reference field="6" count="1" selected="0">
            <x v="4"/>
          </reference>
        </references>
      </pivotArea>
    </format>
    <format dxfId="111">
      <pivotArea outline="0" fieldPosition="0">
        <references count="4">
          <reference field="0" count="3" selected="0">
            <x v="8"/>
            <x v="9"/>
            <x v="10"/>
          </reference>
          <reference field="2" count="3" selected="0">
            <x v="8"/>
            <x v="9"/>
            <x v="10"/>
          </reference>
          <reference field="3" count="3" selected="0">
            <x v="8"/>
            <x v="9"/>
            <x v="10"/>
          </reference>
          <reference field="6" count="1" selected="0">
            <x v="4"/>
          </reference>
        </references>
      </pivotArea>
    </format>
    <format dxfId="110">
      <pivotArea outline="0" fieldPosition="0">
        <references count="4">
          <reference field="0" count="1" selected="0">
            <x v="15"/>
          </reference>
          <reference field="2" count="1" selected="0">
            <x v="15"/>
          </reference>
          <reference field="3" count="1" selected="0">
            <x v="15"/>
          </reference>
          <reference field="6" count="1" selected="0">
            <x v="4"/>
          </reference>
        </references>
      </pivotArea>
    </format>
    <format dxfId="109">
      <pivotArea outline="0" fieldPosition="0">
        <references count="4">
          <reference field="0" count="1" selected="0">
            <x v="15"/>
          </reference>
          <reference field="2" count="1" selected="0">
            <x v="15"/>
          </reference>
          <reference field="3" count="1" selected="0">
            <x v="15"/>
          </reference>
          <reference field="6" count="1" selected="0">
            <x v="4"/>
          </reference>
        </references>
      </pivotArea>
    </format>
    <format dxfId="108">
      <pivotArea dataOnly="0" labelOnly="1" outline="0" fieldPosition="0">
        <references count="1">
          <reference field="0" count="0"/>
        </references>
      </pivotArea>
    </format>
    <format dxfId="107">
      <pivotArea dataOnly="0" labelOnly="1" outline="0" fieldPosition="0">
        <references count="1">
          <reference field="0" count="3">
            <x v="8"/>
            <x v="9"/>
            <x v="10"/>
          </reference>
        </references>
      </pivotArea>
    </format>
    <format dxfId="106">
      <pivotArea dataOnly="0" labelOnly="1" outline="0" fieldPosition="0">
        <references count="1">
          <reference field="0" count="1">
            <x v="15"/>
          </reference>
        </references>
      </pivotArea>
    </format>
    <format dxfId="105">
      <pivotArea outline="0" fieldPosition="0">
        <references count="4">
          <reference field="0" count="3" selected="0">
            <x v="8"/>
            <x v="9"/>
            <x v="10"/>
          </reference>
          <reference field="2" count="3" selected="0">
            <x v="8"/>
            <x v="9"/>
            <x v="10"/>
          </reference>
          <reference field="3" count="3" selected="0">
            <x v="8"/>
            <x v="9"/>
            <x v="10"/>
          </reference>
          <reference field="6" count="1" selected="0">
            <x v="4"/>
          </reference>
        </references>
      </pivotArea>
    </format>
    <format dxfId="104">
      <pivotArea outline="0" fieldPosition="0">
        <references count="4">
          <reference field="0" count="1" selected="0">
            <x v="15"/>
          </reference>
          <reference field="2" count="1" selected="0">
            <x v="15"/>
          </reference>
          <reference field="3" count="1" selected="0">
            <x v="15"/>
          </reference>
          <reference field="6" count="1" selected="0">
            <x v="4"/>
          </reference>
        </references>
      </pivotArea>
    </format>
    <format dxfId="103">
      <pivotArea field="3" grandCol="1" outline="0" axis="axisRow" fieldPosition="2">
        <references count="3">
          <reference field="0" count="1" selected="0">
            <x v="10"/>
          </reference>
          <reference field="2" count="1" selected="0">
            <x v="10"/>
          </reference>
          <reference field="3" count="1" selected="0">
            <x v="10"/>
          </reference>
        </references>
      </pivotArea>
    </format>
    <format dxfId="102">
      <pivotArea field="3" grandCol="1" outline="0" axis="axisRow" fieldPosition="2">
        <references count="3">
          <reference field="0" count="1" selected="0">
            <x v="10"/>
          </reference>
          <reference field="2" count="1" selected="0">
            <x v="10"/>
          </reference>
          <reference field="3" count="1" selected="0">
            <x v="10"/>
          </reference>
        </references>
      </pivotArea>
    </format>
    <format dxfId="101">
      <pivotArea dataOnly="0" labelOnly="1" outline="0" fieldPosition="0">
        <references count="1">
          <reference field="0" count="0"/>
        </references>
      </pivotArea>
    </format>
    <format dxfId="100">
      <pivotArea dataOnly="0" labelOnly="1" outline="0" fieldPosition="0">
        <references count="1">
          <reference field="3" count="0"/>
        </references>
      </pivotArea>
    </format>
    <format dxfId="99">
      <pivotArea dataOnly="0" labelOnly="1" outline="0" fieldPosition="0">
        <references count="1">
          <reference field="3" count="0"/>
        </references>
      </pivotArea>
    </format>
    <format dxfId="98">
      <pivotArea dataOnly="0" labelOnly="1" outline="0" fieldPosition="0">
        <references count="1">
          <reference field="0" count="0"/>
        </references>
      </pivotArea>
    </format>
    <format dxfId="97">
      <pivotArea dataOnly="0" labelOnly="1" outline="0" fieldPosition="0">
        <references count="2">
          <reference field="0" count="1" selected="0">
            <x v="20"/>
          </reference>
          <reference field="2" count="1">
            <x v="18"/>
          </reference>
        </references>
      </pivotArea>
    </format>
    <format dxfId="96">
      <pivotArea dataOnly="0" labelOnly="1" outline="0" fieldPosition="0">
        <references count="3">
          <reference field="0" count="1" selected="0">
            <x v="20"/>
          </reference>
          <reference field="2" count="1" selected="0">
            <x v="18"/>
          </reference>
          <reference field="3" count="1">
            <x v="18"/>
          </reference>
        </references>
      </pivotArea>
    </format>
    <format dxfId="95">
      <pivotArea field="3" grandCol="1" outline="0" axis="axisRow" fieldPosition="2">
        <references count="3">
          <reference field="0" count="1" selected="0">
            <x v="10"/>
          </reference>
          <reference field="2" count="1" selected="0">
            <x v="10"/>
          </reference>
          <reference field="3" count="1" selected="0">
            <x v="10"/>
          </reference>
        </references>
      </pivotArea>
    </format>
    <format dxfId="94">
      <pivotArea field="3" grandCol="1" outline="0" axis="axisRow" fieldPosition="2">
        <references count="3">
          <reference field="0" count="2" selected="0">
            <x v="18"/>
            <x v="19"/>
          </reference>
          <reference field="2" count="2" selected="0">
            <x v="20"/>
            <x v="21"/>
          </reference>
          <reference field="3" count="2" selected="0">
            <x v="20"/>
            <x v="21"/>
          </reference>
        </references>
      </pivotArea>
    </format>
    <format dxfId="93">
      <pivotArea dataOnly="0" labelOnly="1" outline="0" fieldPosition="0">
        <references count="2">
          <reference field="0" count="1" selected="0">
            <x v="18"/>
          </reference>
          <reference field="2" count="1">
            <x v="20"/>
          </reference>
        </references>
      </pivotArea>
    </format>
    <format dxfId="92">
      <pivotArea dataOnly="0" labelOnly="1" outline="0" fieldPosition="0">
        <references count="2">
          <reference field="0" count="1" selected="0">
            <x v="19"/>
          </reference>
          <reference field="2" count="1">
            <x v="21"/>
          </reference>
        </references>
      </pivotArea>
    </format>
    <format dxfId="91">
      <pivotArea dataOnly="0" labelOnly="1" outline="0" fieldPosition="0">
        <references count="3">
          <reference field="0" count="1" selected="0">
            <x v="18"/>
          </reference>
          <reference field="2" count="1" selected="0">
            <x v="20"/>
          </reference>
          <reference field="3" count="1">
            <x v="20"/>
          </reference>
        </references>
      </pivotArea>
    </format>
    <format dxfId="90">
      <pivotArea dataOnly="0" labelOnly="1" outline="0" fieldPosition="0">
        <references count="3">
          <reference field="0" count="1" selected="0">
            <x v="19"/>
          </reference>
          <reference field="2" count="1" selected="0">
            <x v="21"/>
          </reference>
          <reference field="3" count="1">
            <x v="21"/>
          </reference>
        </references>
      </pivotArea>
    </format>
    <format dxfId="89">
      <pivotArea dataOnly="0" labelOnly="1" outline="0" fieldPosition="0">
        <references count="1">
          <reference field="0" count="20">
            <x v="0"/>
            <x v="1"/>
            <x v="2"/>
            <x v="3"/>
            <x v="4"/>
            <x v="5"/>
            <x v="6"/>
            <x v="7"/>
            <x v="8"/>
            <x v="9"/>
            <x v="10"/>
            <x v="11"/>
            <x v="12"/>
            <x v="13"/>
            <x v="14"/>
            <x v="15"/>
            <x v="16"/>
            <x v="17"/>
            <x v="18"/>
            <x v="19"/>
          </reference>
        </references>
      </pivotArea>
    </format>
    <format dxfId="88">
      <pivotArea field="0" type="button" dataOnly="0" labelOnly="1" outline="0" axis="axisRow" fieldPosition="0"/>
    </format>
    <format dxfId="87">
      <pivotArea dataOnly="0" labelOnly="1" outline="0" fieldPosition="0">
        <references count="1">
          <reference field="0" count="20">
            <x v="0"/>
            <x v="1"/>
            <x v="2"/>
            <x v="3"/>
            <x v="4"/>
            <x v="5"/>
            <x v="6"/>
            <x v="7"/>
            <x v="8"/>
            <x v="9"/>
            <x v="10"/>
            <x v="11"/>
            <x v="12"/>
            <x v="13"/>
            <x v="14"/>
            <x v="15"/>
            <x v="16"/>
            <x v="17"/>
            <x v="18"/>
            <x v="19"/>
          </reference>
        </references>
      </pivotArea>
    </format>
    <format dxfId="86">
      <pivotArea outline="0" fieldPosition="0">
        <references count="3">
          <reference field="0" count="1" selected="0">
            <x v="20"/>
          </reference>
          <reference field="2" count="1" selected="0">
            <x v="18"/>
          </reference>
          <reference field="3" count="1" selected="0">
            <x v="18"/>
          </reference>
        </references>
      </pivotArea>
    </format>
    <format dxfId="85">
      <pivotArea dataOnly="0" labelOnly="1" outline="0" fieldPosition="0">
        <references count="1">
          <reference field="0" count="21">
            <x v="0"/>
            <x v="1"/>
            <x v="2"/>
            <x v="3"/>
            <x v="4"/>
            <x v="5"/>
            <x v="6"/>
            <x v="7"/>
            <x v="8"/>
            <x v="9"/>
            <x v="10"/>
            <x v="11"/>
            <x v="12"/>
            <x v="13"/>
            <x v="14"/>
            <x v="15"/>
            <x v="16"/>
            <x v="17"/>
            <x v="18"/>
            <x v="19"/>
            <x v="20"/>
          </reference>
        </references>
      </pivotArea>
    </format>
    <format dxfId="84">
      <pivotArea dataOnly="0" labelOnly="1" outline="0" fieldPosition="0">
        <references count="2">
          <reference field="0" count="1" selected="0">
            <x v="0"/>
          </reference>
          <reference field="2" count="1">
            <x v="0"/>
          </reference>
        </references>
      </pivotArea>
    </format>
    <format dxfId="83">
      <pivotArea dataOnly="0" labelOnly="1" outline="0" fieldPosition="0">
        <references count="2">
          <reference field="0" count="1" selected="0">
            <x v="1"/>
          </reference>
          <reference field="2" count="1">
            <x v="1"/>
          </reference>
        </references>
      </pivotArea>
    </format>
    <format dxfId="82">
      <pivotArea dataOnly="0" labelOnly="1" outline="0" fieldPosition="0">
        <references count="2">
          <reference field="0" count="1" selected="0">
            <x v="2"/>
          </reference>
          <reference field="2" count="1">
            <x v="2"/>
          </reference>
        </references>
      </pivotArea>
    </format>
    <format dxfId="81">
      <pivotArea dataOnly="0" labelOnly="1" outline="0" fieldPosition="0">
        <references count="2">
          <reference field="0" count="1" selected="0">
            <x v="3"/>
          </reference>
          <reference field="2" count="1">
            <x v="3"/>
          </reference>
        </references>
      </pivotArea>
    </format>
    <format dxfId="80">
      <pivotArea dataOnly="0" labelOnly="1" outline="0" fieldPosition="0">
        <references count="2">
          <reference field="0" count="1" selected="0">
            <x v="4"/>
          </reference>
          <reference field="2" count="1">
            <x v="4"/>
          </reference>
        </references>
      </pivotArea>
    </format>
    <format dxfId="79">
      <pivotArea dataOnly="0" labelOnly="1" outline="0" fieldPosition="0">
        <references count="2">
          <reference field="0" count="1" selected="0">
            <x v="5"/>
          </reference>
          <reference field="2" count="1">
            <x v="5"/>
          </reference>
        </references>
      </pivotArea>
    </format>
    <format dxfId="78">
      <pivotArea dataOnly="0" labelOnly="1" outline="0" fieldPosition="0">
        <references count="2">
          <reference field="0" count="1" selected="0">
            <x v="6"/>
          </reference>
          <reference field="2" count="1">
            <x v="6"/>
          </reference>
        </references>
      </pivotArea>
    </format>
    <format dxfId="77">
      <pivotArea dataOnly="0" labelOnly="1" outline="0" fieldPosition="0">
        <references count="2">
          <reference field="0" count="1" selected="0">
            <x v="7"/>
          </reference>
          <reference field="2" count="1">
            <x v="7"/>
          </reference>
        </references>
      </pivotArea>
    </format>
    <format dxfId="76">
      <pivotArea dataOnly="0" labelOnly="1" outline="0" fieldPosition="0">
        <references count="2">
          <reference field="0" count="1" selected="0">
            <x v="8"/>
          </reference>
          <reference field="2" count="1">
            <x v="8"/>
          </reference>
        </references>
      </pivotArea>
    </format>
    <format dxfId="75">
      <pivotArea dataOnly="0" labelOnly="1" outline="0" fieldPosition="0">
        <references count="2">
          <reference field="0" count="1" selected="0">
            <x v="9"/>
          </reference>
          <reference field="2" count="1">
            <x v="9"/>
          </reference>
        </references>
      </pivotArea>
    </format>
    <format dxfId="74">
      <pivotArea dataOnly="0" labelOnly="1" outline="0" fieldPosition="0">
        <references count="2">
          <reference field="0" count="1" selected="0">
            <x v="10"/>
          </reference>
          <reference field="2" count="1">
            <x v="10"/>
          </reference>
        </references>
      </pivotArea>
    </format>
    <format dxfId="73">
      <pivotArea dataOnly="0" labelOnly="1" outline="0" fieldPosition="0">
        <references count="2">
          <reference field="0" count="1" selected="0">
            <x v="11"/>
          </reference>
          <reference field="2" count="1">
            <x v="11"/>
          </reference>
        </references>
      </pivotArea>
    </format>
    <format dxfId="72">
      <pivotArea dataOnly="0" labelOnly="1" outline="0" fieldPosition="0">
        <references count="2">
          <reference field="0" count="1" selected="0">
            <x v="12"/>
          </reference>
          <reference field="2" count="1">
            <x v="12"/>
          </reference>
        </references>
      </pivotArea>
    </format>
    <format dxfId="71">
      <pivotArea dataOnly="0" labelOnly="1" outline="0" fieldPosition="0">
        <references count="2">
          <reference field="0" count="1" selected="0">
            <x v="13"/>
          </reference>
          <reference field="2" count="1">
            <x v="13"/>
          </reference>
        </references>
      </pivotArea>
    </format>
    <format dxfId="70">
      <pivotArea dataOnly="0" labelOnly="1" outline="0" fieldPosition="0">
        <references count="2">
          <reference field="0" count="1" selected="0">
            <x v="14"/>
          </reference>
          <reference field="2" count="1">
            <x v="14"/>
          </reference>
        </references>
      </pivotArea>
    </format>
    <format dxfId="69">
      <pivotArea dataOnly="0" labelOnly="1" outline="0" fieldPosition="0">
        <references count="2">
          <reference field="0" count="1" selected="0">
            <x v="15"/>
          </reference>
          <reference field="2" count="1">
            <x v="15"/>
          </reference>
        </references>
      </pivotArea>
    </format>
    <format dxfId="68">
      <pivotArea dataOnly="0" labelOnly="1" outline="0" fieldPosition="0">
        <references count="2">
          <reference field="0" count="1" selected="0">
            <x v="16"/>
          </reference>
          <reference field="2" count="1">
            <x v="16"/>
          </reference>
        </references>
      </pivotArea>
    </format>
    <format dxfId="67">
      <pivotArea dataOnly="0" labelOnly="1" outline="0" fieldPosition="0">
        <references count="2">
          <reference field="0" count="1" selected="0">
            <x v="17"/>
          </reference>
          <reference field="2" count="1">
            <x v="17"/>
          </reference>
        </references>
      </pivotArea>
    </format>
    <format dxfId="66">
      <pivotArea dataOnly="0" labelOnly="1" outline="0" fieldPosition="0">
        <references count="2">
          <reference field="0" count="1" selected="0">
            <x v="18"/>
          </reference>
          <reference field="2" count="1">
            <x v="20"/>
          </reference>
        </references>
      </pivotArea>
    </format>
    <format dxfId="65">
      <pivotArea dataOnly="0" labelOnly="1" outline="0" fieldPosition="0">
        <references count="2">
          <reference field="0" count="1" selected="0">
            <x v="19"/>
          </reference>
          <reference field="2" count="1">
            <x v="21"/>
          </reference>
        </references>
      </pivotArea>
    </format>
    <format dxfId="64">
      <pivotArea dataOnly="0" labelOnly="1" outline="0" fieldPosition="0">
        <references count="2">
          <reference field="0" count="1" selected="0">
            <x v="20"/>
          </reference>
          <reference field="2" count="1">
            <x v="18"/>
          </reference>
        </references>
      </pivotArea>
    </format>
    <format dxfId="63">
      <pivotArea dataOnly="0" labelOnly="1" outline="0" fieldPosition="0">
        <references count="3">
          <reference field="0" count="1" selected="0">
            <x v="0"/>
          </reference>
          <reference field="2" count="1" selected="0">
            <x v="0"/>
          </reference>
          <reference field="3" count="1">
            <x v="0"/>
          </reference>
        </references>
      </pivotArea>
    </format>
    <format dxfId="62">
      <pivotArea dataOnly="0" labelOnly="1" outline="0" fieldPosition="0">
        <references count="3">
          <reference field="0" count="1" selected="0">
            <x v="1"/>
          </reference>
          <reference field="2" count="1" selected="0">
            <x v="1"/>
          </reference>
          <reference field="3" count="1">
            <x v="1"/>
          </reference>
        </references>
      </pivotArea>
    </format>
    <format dxfId="61">
      <pivotArea dataOnly="0" labelOnly="1" outline="0" fieldPosition="0">
        <references count="3">
          <reference field="0" count="1" selected="0">
            <x v="2"/>
          </reference>
          <reference field="2" count="1" selected="0">
            <x v="2"/>
          </reference>
          <reference field="3" count="1">
            <x v="2"/>
          </reference>
        </references>
      </pivotArea>
    </format>
    <format dxfId="60">
      <pivotArea dataOnly="0" labelOnly="1" outline="0" fieldPosition="0">
        <references count="3">
          <reference field="0" count="1" selected="0">
            <x v="3"/>
          </reference>
          <reference field="2" count="1" selected="0">
            <x v="3"/>
          </reference>
          <reference field="3" count="1">
            <x v="3"/>
          </reference>
        </references>
      </pivotArea>
    </format>
    <format dxfId="59">
      <pivotArea dataOnly="0" labelOnly="1" outline="0" fieldPosition="0">
        <references count="3">
          <reference field="0" count="1" selected="0">
            <x v="4"/>
          </reference>
          <reference field="2" count="1" selected="0">
            <x v="4"/>
          </reference>
          <reference field="3" count="1">
            <x v="4"/>
          </reference>
        </references>
      </pivotArea>
    </format>
    <format dxfId="58">
      <pivotArea dataOnly="0" labelOnly="1" outline="0" fieldPosition="0">
        <references count="3">
          <reference field="0" count="1" selected="0">
            <x v="5"/>
          </reference>
          <reference field="2" count="1" selected="0">
            <x v="5"/>
          </reference>
          <reference field="3" count="1">
            <x v="5"/>
          </reference>
        </references>
      </pivotArea>
    </format>
    <format dxfId="57">
      <pivotArea dataOnly="0" labelOnly="1" outline="0" fieldPosition="0">
        <references count="3">
          <reference field="0" count="1" selected="0">
            <x v="6"/>
          </reference>
          <reference field="2" count="1" selected="0">
            <x v="6"/>
          </reference>
          <reference field="3" count="1">
            <x v="6"/>
          </reference>
        </references>
      </pivotArea>
    </format>
    <format dxfId="56">
      <pivotArea dataOnly="0" labelOnly="1" outline="0" fieldPosition="0">
        <references count="3">
          <reference field="0" count="1" selected="0">
            <x v="7"/>
          </reference>
          <reference field="2" count="1" selected="0">
            <x v="7"/>
          </reference>
          <reference field="3" count="1">
            <x v="7"/>
          </reference>
        </references>
      </pivotArea>
    </format>
    <format dxfId="55">
      <pivotArea dataOnly="0" labelOnly="1" outline="0" fieldPosition="0">
        <references count="3">
          <reference field="0" count="1" selected="0">
            <x v="8"/>
          </reference>
          <reference field="2" count="1" selected="0">
            <x v="8"/>
          </reference>
          <reference field="3" count="1">
            <x v="8"/>
          </reference>
        </references>
      </pivotArea>
    </format>
    <format dxfId="54">
      <pivotArea dataOnly="0" labelOnly="1" outline="0" fieldPosition="0">
        <references count="3">
          <reference field="0" count="1" selected="0">
            <x v="9"/>
          </reference>
          <reference field="2" count="1" selected="0">
            <x v="9"/>
          </reference>
          <reference field="3" count="1">
            <x v="9"/>
          </reference>
        </references>
      </pivotArea>
    </format>
    <format dxfId="53">
      <pivotArea dataOnly="0" labelOnly="1" outline="0" fieldPosition="0">
        <references count="3">
          <reference field="0" count="1" selected="0">
            <x v="10"/>
          </reference>
          <reference field="2" count="1" selected="0">
            <x v="10"/>
          </reference>
          <reference field="3" count="1">
            <x v="10"/>
          </reference>
        </references>
      </pivotArea>
    </format>
    <format dxfId="52">
      <pivotArea dataOnly="0" labelOnly="1" outline="0" fieldPosition="0">
        <references count="3">
          <reference field="0" count="1" selected="0">
            <x v="11"/>
          </reference>
          <reference field="2" count="1" selected="0">
            <x v="11"/>
          </reference>
          <reference field="3" count="1">
            <x v="11"/>
          </reference>
        </references>
      </pivotArea>
    </format>
    <format dxfId="51">
      <pivotArea dataOnly="0" labelOnly="1" outline="0" fieldPosition="0">
        <references count="3">
          <reference field="0" count="1" selected="0">
            <x v="12"/>
          </reference>
          <reference field="2" count="1" selected="0">
            <x v="12"/>
          </reference>
          <reference field="3" count="1">
            <x v="12"/>
          </reference>
        </references>
      </pivotArea>
    </format>
    <format dxfId="50">
      <pivotArea dataOnly="0" labelOnly="1" outline="0" fieldPosition="0">
        <references count="3">
          <reference field="0" count="1" selected="0">
            <x v="13"/>
          </reference>
          <reference field="2" count="1" selected="0">
            <x v="13"/>
          </reference>
          <reference field="3" count="1">
            <x v="13"/>
          </reference>
        </references>
      </pivotArea>
    </format>
    <format dxfId="49">
      <pivotArea dataOnly="0" labelOnly="1" outline="0" fieldPosition="0">
        <references count="3">
          <reference field="0" count="1" selected="0">
            <x v="14"/>
          </reference>
          <reference field="2" count="1" selected="0">
            <x v="14"/>
          </reference>
          <reference field="3" count="1">
            <x v="14"/>
          </reference>
        </references>
      </pivotArea>
    </format>
    <format dxfId="48">
      <pivotArea dataOnly="0" labelOnly="1" outline="0" fieldPosition="0">
        <references count="3">
          <reference field="0" count="1" selected="0">
            <x v="15"/>
          </reference>
          <reference field="2" count="1" selected="0">
            <x v="15"/>
          </reference>
          <reference field="3" count="1">
            <x v="15"/>
          </reference>
        </references>
      </pivotArea>
    </format>
    <format dxfId="47">
      <pivotArea dataOnly="0" labelOnly="1" outline="0" fieldPosition="0">
        <references count="3">
          <reference field="0" count="1" selected="0">
            <x v="16"/>
          </reference>
          <reference field="2" count="1" selected="0">
            <x v="16"/>
          </reference>
          <reference field="3" count="1">
            <x v="16"/>
          </reference>
        </references>
      </pivotArea>
    </format>
    <format dxfId="46">
      <pivotArea dataOnly="0" labelOnly="1" outline="0" fieldPosition="0">
        <references count="3">
          <reference field="0" count="1" selected="0">
            <x v="17"/>
          </reference>
          <reference field="2" count="1" selected="0">
            <x v="17"/>
          </reference>
          <reference field="3" count="1">
            <x v="17"/>
          </reference>
        </references>
      </pivotArea>
    </format>
    <format dxfId="45">
      <pivotArea dataOnly="0" labelOnly="1" outline="0" fieldPosition="0">
        <references count="3">
          <reference field="0" count="1" selected="0">
            <x v="18"/>
          </reference>
          <reference field="2" count="1" selected="0">
            <x v="20"/>
          </reference>
          <reference field="3" count="1">
            <x v="20"/>
          </reference>
        </references>
      </pivotArea>
    </format>
    <format dxfId="44">
      <pivotArea dataOnly="0" labelOnly="1" outline="0" fieldPosition="0">
        <references count="3">
          <reference field="0" count="1" selected="0">
            <x v="19"/>
          </reference>
          <reference field="2" count="1" selected="0">
            <x v="21"/>
          </reference>
          <reference field="3" count="1">
            <x v="21"/>
          </reference>
        </references>
      </pivotArea>
    </format>
    <format dxfId="43">
      <pivotArea dataOnly="0" labelOnly="1" outline="0" fieldPosition="0">
        <references count="3">
          <reference field="0" count="1" selected="0">
            <x v="20"/>
          </reference>
          <reference field="2" count="1" selected="0">
            <x v="18"/>
          </reference>
          <reference field="3" count="1">
            <x v="18"/>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A1D24A2-234B-4EE2-BBE4-70762031307F}" name="PivotTable1" cacheId="2" applyNumberFormats="0" applyBorderFormats="0" applyFontFormats="0" applyPatternFormats="0" applyAlignmentFormats="0" applyWidthHeightFormats="1" dataCaption="Values" grandTotalCaption="Total" updatedVersion="8" minRefreshableVersion="3" useAutoFormatting="1" rowGrandTotals="0" itemPrintTitles="1" createdVersion="7" indent="0" compact="0" compactData="0" multipleFieldFilters="0">
  <location ref="A3:L47" firstHeaderRow="1" firstDataRow="2" firstDataCol="1"/>
  <pivotFields count="35">
    <pivotField compact="0" outline="0" showAll="0"/>
    <pivotField compact="0" outline="0" showAll="0"/>
    <pivotField axis="axisRow" compact="0" outline="0" showAll="0" defaultSubtotal="0">
      <items count="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h="1" x="44"/>
        <item x="42"/>
        <item h="1" x="43"/>
      </items>
    </pivotField>
    <pivotField compact="0" outline="0" showAll="0" defaultSubtotal="0"/>
    <pivotField compact="0" outline="0" showAll="0" defaultSubtotal="0">
      <items count="47">
        <item h="1" x="5"/>
        <item h="1" x="6"/>
        <item h="1" x="7"/>
        <item h="1" x="8"/>
        <item h="1" x="9"/>
        <item h="1" x="10"/>
        <item h="1" x="11"/>
        <item h="1" x="12"/>
        <item h="1" x="13"/>
        <item h="1" x="14"/>
        <item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6"/>
        <item h="1" x="0"/>
        <item h="1" x="1"/>
        <item h="1" x="2"/>
        <item h="1" x="3"/>
        <item h="1" x="4"/>
        <item h="1" x="44"/>
        <item h="1" x="45"/>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Col" compact="0" outline="0" showAll="0">
      <items count="12">
        <item x="0"/>
        <item x="1"/>
        <item x="2"/>
        <item x="3"/>
        <item x="4"/>
        <item x="5"/>
        <item x="6"/>
        <item x="7"/>
        <item x="8"/>
        <item x="9"/>
        <item x="10"/>
        <item t="default"/>
      </items>
    </pivotField>
    <pivotField compact="0" outline="0" showAll="0"/>
    <pivotField compact="0" outline="0" showAll="0">
      <items count="6">
        <item x="0"/>
        <item x="1"/>
        <item x="2"/>
        <item x="3"/>
        <item x="4"/>
        <item t="default"/>
      </items>
    </pivotField>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2"/>
  </rowFields>
  <rowItems count="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3"/>
    </i>
  </rowItems>
  <colFields count="1">
    <field x="19"/>
  </colFields>
  <colItems count="11">
    <i>
      <x/>
    </i>
    <i>
      <x v="1"/>
    </i>
    <i>
      <x v="2"/>
    </i>
    <i>
      <x v="3"/>
    </i>
    <i>
      <x v="4"/>
    </i>
    <i>
      <x v="5"/>
    </i>
    <i>
      <x v="6"/>
    </i>
    <i>
      <x v="7"/>
    </i>
    <i>
      <x v="8"/>
    </i>
    <i>
      <x v="9"/>
    </i>
    <i t="grand">
      <x/>
    </i>
  </colItems>
  <dataFields count="1">
    <dataField name="Ok Returns (Best)" fld="25" showDataAs="percentOfRow" baseField="2" baseItem="6" numFmtId="10"/>
  </dataFields>
  <formats count="27">
    <format dxfId="42">
      <pivotArea outline="0" collapsedLevelsAreSubtotals="1" fieldPosition="0"/>
    </format>
    <format dxfId="41">
      <pivotArea field="2" type="button" dataOnly="0" labelOnly="1" outline="0" axis="axisRow" fieldPosition="0"/>
    </format>
    <format dxfId="40">
      <pivotArea field="4" type="button" dataOnly="0" labelOnly="1" outline="0"/>
    </format>
    <format dxfId="39">
      <pivotArea field="2" type="button" dataOnly="0" labelOnly="1" outline="0" axis="axisRow" fieldPosition="0"/>
    </format>
    <format dxfId="38">
      <pivotArea type="origin" dataOnly="0" labelOnly="1" outline="0" fieldPosition="0"/>
    </format>
    <format dxfId="37">
      <pivotArea field="2" type="button" dataOnly="0" labelOnly="1" outline="0" axis="axisRow" fieldPosition="0"/>
    </format>
    <format dxfId="36">
      <pivotArea field="21" type="button" dataOnly="0" labelOnly="1" outline="0"/>
    </format>
    <format dxfId="35">
      <pivotArea type="topRight" dataOnly="0" labelOnly="1" outline="0" fieldPosition="0"/>
    </format>
    <format dxfId="34">
      <pivotArea field="21" type="button" dataOnly="0" labelOnly="1" outline="0"/>
    </format>
    <format dxfId="33">
      <pivotArea type="topRight" dataOnly="0" labelOnly="1" outline="0" fieldPosition="0"/>
    </format>
    <format dxfId="32">
      <pivotArea dataOnly="0" labelOnly="1" grandCol="1" outline="0" fieldPosition="0"/>
    </format>
    <format dxfId="31">
      <pivotArea type="origin" dataOnly="0" labelOnly="1" outline="0" fieldPosition="0"/>
    </format>
    <format dxfId="30">
      <pivotArea field="2" type="button" dataOnly="0" labelOnly="1" outline="0" axis="axisRow" fieldPosition="0"/>
    </format>
    <format dxfId="29">
      <pivotArea dataOnly="0" labelOnly="1" outline="0" fieldPosition="0">
        <references count="1">
          <reference field="2" count="0"/>
        </references>
      </pivotArea>
    </format>
    <format dxfId="28">
      <pivotArea dataOnly="0" labelOnly="1" outline="0" fieldPosition="0">
        <references count="1">
          <reference field="2" count="0"/>
        </references>
      </pivotArea>
    </format>
    <format dxfId="27">
      <pivotArea outline="0" collapsedLevelsAreSubtotals="1" fieldPosition="0"/>
    </format>
    <format dxfId="26">
      <pivotArea outline="0" collapsedLevelsAreSubtotals="1" fieldPosition="0"/>
    </format>
    <format dxfId="25">
      <pivotArea field="2" grandCol="1" outline="0" axis="axisRow" fieldPosition="0">
        <references count="1">
          <reference field="2" count="42" selected="0">
            <x v="0"/>
            <x v="1"/>
            <x v="2"/>
            <x v="3"/>
            <x v="4"/>
            <x v="5"/>
            <x v="6"/>
            <x v="7"/>
            <x v="8"/>
            <x v="9"/>
            <x v="10"/>
            <x v="11"/>
            <x v="12"/>
            <x v="13"/>
            <x v="14"/>
            <x v="15"/>
            <x v="16"/>
            <x v="17"/>
            <x v="18"/>
            <x v="19"/>
            <x v="20"/>
            <x v="21"/>
            <x v="22"/>
            <x v="23"/>
            <x v="24"/>
            <x v="25"/>
            <x v="26"/>
            <x v="27"/>
            <x v="28"/>
            <x v="29"/>
            <x v="30"/>
            <x v="31"/>
            <x v="32"/>
            <x v="33"/>
            <x v="34"/>
            <x v="35"/>
            <x v="36"/>
            <x v="37"/>
            <x v="38"/>
            <x v="39"/>
            <x v="40"/>
            <x v="41"/>
          </reference>
        </references>
      </pivotArea>
    </format>
    <format dxfId="24">
      <pivotArea outline="0" fieldPosition="0">
        <references count="2">
          <reference field="2" count="1" selected="0">
            <x v="33"/>
          </reference>
          <reference field="19" count="0" selected="0"/>
        </references>
      </pivotArea>
    </format>
    <format dxfId="23">
      <pivotArea field="2" grandCol="1" outline="0" axis="axisRow" fieldPosition="0">
        <references count="1">
          <reference field="2" count="1" selected="0">
            <x v="43"/>
          </reference>
        </references>
      </pivotArea>
    </format>
    <format dxfId="22">
      <pivotArea outline="0" fieldPosition="0">
        <references count="2">
          <reference field="2" count="1" selected="0">
            <x v="33"/>
          </reference>
          <reference field="19" count="10" selected="0">
            <x v="0"/>
            <x v="1"/>
            <x v="2"/>
            <x v="3"/>
            <x v="4"/>
            <x v="5"/>
            <x v="6"/>
            <x v="7"/>
            <x v="8"/>
            <x v="9"/>
          </reference>
        </references>
      </pivotArea>
    </format>
    <format dxfId="21">
      <pivotArea dataOnly="0" labelOnly="1" outline="0" fieldPosition="0">
        <references count="1">
          <reference field="2" count="1">
            <x v="33"/>
          </reference>
        </references>
      </pivotArea>
    </format>
    <format dxfId="20">
      <pivotArea outline="0" collapsedLevelsAreSubtotals="1" fieldPosition="0"/>
    </format>
    <format dxfId="19">
      <pivotArea dataOnly="0" labelOnly="1" outline="0" fieldPosition="0">
        <references count="1">
          <reference field="2" count="0"/>
        </references>
      </pivotArea>
    </format>
    <format dxfId="18">
      <pivotArea outline="0" fieldPosition="0">
        <references count="1">
          <reference field="19" count="7" selected="0">
            <x v="0"/>
            <x v="1"/>
            <x v="2"/>
            <x v="3"/>
            <x v="4"/>
            <x v="5"/>
            <x v="6"/>
          </reference>
        </references>
      </pivotArea>
    </format>
    <format dxfId="17">
      <pivotArea outline="0" fieldPosition="0">
        <references count="2">
          <reference field="2" count="1" selected="0">
            <x v="43"/>
          </reference>
          <reference field="19" count="10" selected="0">
            <x v="0"/>
            <x v="1"/>
            <x v="2"/>
            <x v="3"/>
            <x v="4"/>
            <x v="5"/>
            <x v="6"/>
            <x v="7"/>
            <x v="8"/>
            <x v="9"/>
          </reference>
        </references>
      </pivotArea>
    </format>
    <format dxfId="16">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5DBFE1D-91D0-436F-81CF-CB0051736B34}" name="PivotTable1" cacheId="1" applyNumberFormats="0" applyBorderFormats="0" applyFontFormats="0" applyPatternFormats="0" applyAlignmentFormats="0" applyWidthHeightFormats="1" dataCaption="Values" grandTotalCaption="Total" updatedVersion="8" minRefreshableVersion="3" useAutoFormatting="1" rowGrandTotals="0" itemPrintTitles="1" createdVersion="7" indent="0" compact="0" compactData="0" multipleFieldFilters="0">
  <location ref="A3:L50" firstHeaderRow="1" firstDataRow="2" firstDataCol="1"/>
  <pivotFields count="35">
    <pivotField compact="0" outline="0" showAll="0"/>
    <pivotField compact="0" outline="0" showAll="0"/>
    <pivotField compact="0" outline="0" showAll="0" defaultSubtotal="0">
      <items count="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h="1" x="44"/>
        <item h="1" x="42"/>
        <item h="1" x="43"/>
      </items>
    </pivotField>
    <pivotField compact="0" outline="0" showAll="0" defaultSubtotal="0"/>
    <pivotField axis="axisRow" compact="0" outline="0" showAll="0" sortType="ascending">
      <items count="48">
        <item x="2"/>
        <item x="1"/>
        <item x="0"/>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Col" compact="0" outline="0" showAll="0">
      <items count="12">
        <item x="0"/>
        <item x="1"/>
        <item x="2"/>
        <item x="3"/>
        <item x="4"/>
        <item x="5"/>
        <item x="6"/>
        <item x="7"/>
        <item x="8"/>
        <item x="9"/>
        <item h="1" x="10"/>
        <item t="default"/>
      </items>
    </pivotField>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4"/>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rowItems>
  <colFields count="1">
    <field x="19"/>
  </colFields>
  <colItems count="11">
    <i>
      <x/>
    </i>
    <i>
      <x v="1"/>
    </i>
    <i>
      <x v="2"/>
    </i>
    <i>
      <x v="3"/>
    </i>
    <i>
      <x v="4"/>
    </i>
    <i>
      <x v="5"/>
    </i>
    <i>
      <x v="6"/>
    </i>
    <i>
      <x v="7"/>
    </i>
    <i>
      <x v="8"/>
    </i>
    <i>
      <x v="9"/>
    </i>
    <i t="grand">
      <x/>
    </i>
  </colItems>
  <dataFields count="1">
    <dataField name="Ok Returns (Best)" fld="25" baseField="4" baseItem="34" numFmtId="172"/>
  </dataFields>
  <formats count="16">
    <format dxfId="15">
      <pivotArea outline="0" collapsedLevelsAreSubtotals="1" fieldPosition="0"/>
    </format>
    <format dxfId="14">
      <pivotArea field="2" type="button" dataOnly="0" labelOnly="1" outline="0"/>
    </format>
    <format dxfId="13">
      <pivotArea dataOnly="0" labelOnly="1" outline="0" fieldPosition="0">
        <references count="1">
          <reference field="19" count="0"/>
        </references>
      </pivotArea>
    </format>
    <format dxfId="12">
      <pivotArea dataOnly="0" labelOnly="1" grandCol="1" outline="0" fieldPosition="0"/>
    </format>
    <format dxfId="11">
      <pivotArea outline="0" fieldPosition="0">
        <references count="1">
          <reference field="4294967294" count="1">
            <x v="0"/>
          </reference>
        </references>
      </pivotArea>
    </format>
    <format dxfId="10">
      <pivotArea type="origin" dataOnly="0" labelOnly="1" outline="0" fieldPosition="0"/>
    </format>
    <format dxfId="9">
      <pivotArea field="4" type="button" dataOnly="0" labelOnly="1" outline="0" axis="axisRow" fieldPosition="0"/>
    </format>
    <format dxfId="8">
      <pivotArea field="4" type="button" dataOnly="0" labelOnly="1" outline="0" axis="axisRow" fieldPosition="0"/>
    </format>
    <format dxfId="7">
      <pivotArea field="2" type="button" dataOnly="0" labelOnly="1" outline="0"/>
    </format>
    <format dxfId="6">
      <pivotArea outline="0" collapsedLevelsAreSubtotals="1" fieldPosition="0"/>
    </format>
    <format dxfId="5">
      <pivotArea field="4" type="button" dataOnly="0" labelOnly="1" outline="0" axis="axisRow" fieldPosition="0"/>
    </format>
    <format dxfId="4">
      <pivotArea dataOnly="0" labelOnly="1" outline="0" fieldPosition="0">
        <references count="1">
          <reference field="4" count="45">
            <x v="0"/>
            <x v="1"/>
            <x v="2"/>
            <x v="3"/>
            <x v="4"/>
            <x v="5"/>
            <x v="6"/>
            <x v="7"/>
            <x v="8"/>
            <x v="9"/>
            <x v="10"/>
            <x v="11"/>
            <x v="12"/>
            <x v="13"/>
            <x v="14"/>
            <x v="15"/>
            <x v="16"/>
            <x v="17"/>
            <x v="18"/>
            <x v="19"/>
            <x v="20"/>
            <x v="21"/>
            <x v="22"/>
            <x v="23"/>
            <x v="24"/>
            <x v="25"/>
            <x v="26"/>
            <x v="27"/>
            <x v="28"/>
            <x v="29"/>
            <x v="30"/>
            <x v="31"/>
            <x v="32"/>
            <x v="33"/>
            <x v="34"/>
            <x v="35"/>
            <x v="36"/>
            <x v="37"/>
            <x v="38"/>
            <x v="39"/>
            <x v="40"/>
            <x v="41"/>
            <x v="42"/>
            <x v="43"/>
            <x v="44"/>
          </reference>
        </references>
      </pivotArea>
    </format>
    <format dxfId="3">
      <pivotArea dataOnly="0" labelOnly="1" outline="0" fieldPosition="0">
        <references count="1">
          <reference field="19" count="0"/>
        </references>
      </pivotArea>
    </format>
    <format dxfId="2">
      <pivotArea dataOnly="0" labelOnly="1" grandCol="1" outline="0" fieldPosition="0"/>
    </format>
    <format dxfId="1">
      <pivotArea dataOnly="0" labelOnly="1" outline="0" fieldPosition="0">
        <references count="1">
          <reference field="4" count="45">
            <x v="0"/>
            <x v="1"/>
            <x v="2"/>
            <x v="3"/>
            <x v="4"/>
            <x v="5"/>
            <x v="6"/>
            <x v="7"/>
            <x v="8"/>
            <x v="9"/>
            <x v="10"/>
            <x v="11"/>
            <x v="12"/>
            <x v="13"/>
            <x v="14"/>
            <x v="15"/>
            <x v="16"/>
            <x v="17"/>
            <x v="18"/>
            <x v="19"/>
            <x v="20"/>
            <x v="21"/>
            <x v="22"/>
            <x v="23"/>
            <x v="24"/>
            <x v="25"/>
            <x v="26"/>
            <x v="27"/>
            <x v="28"/>
            <x v="29"/>
            <x v="30"/>
            <x v="31"/>
            <x v="32"/>
            <x v="33"/>
            <x v="34"/>
            <x v="35"/>
            <x v="36"/>
            <x v="37"/>
            <x v="38"/>
            <x v="39"/>
            <x v="40"/>
            <x v="41"/>
            <x v="42"/>
            <x v="43"/>
            <x v="44"/>
          </reference>
        </references>
      </pivotArea>
    </format>
    <format dxfId="0">
      <pivotArea field="4" grandCol="1" outline="0" axis="axisRow" fieldPosition="0">
        <references count="1">
          <reference field="4" count="35" selected="0">
            <x v="8"/>
            <x v="9"/>
            <x v="10"/>
            <x v="11"/>
            <x v="12"/>
            <x v="13"/>
            <x v="14"/>
            <x v="15"/>
            <x v="16"/>
            <x v="17"/>
            <x v="18"/>
            <x v="19"/>
            <x v="20"/>
            <x v="21"/>
            <x v="22"/>
            <x v="23"/>
            <x v="24"/>
            <x v="25"/>
            <x v="26"/>
            <x v="27"/>
            <x v="28"/>
            <x v="29"/>
            <x v="30"/>
            <x v="31"/>
            <x v="32"/>
            <x v="33"/>
            <x v="34"/>
            <x v="35"/>
            <x v="36"/>
            <x v="37"/>
            <x v="38"/>
            <x v="39"/>
            <x v="40"/>
            <x v="41"/>
            <x v="4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B2" dT="2023-02-07T05:07:00.88" personId="{294E98C2-59BB-4772-9417-CDE16FB47E13}" id="{8DB5EA0A-E5F8-405B-AD03-B8635DBBDA4C}">
    <text>Based on TOTAL LIMNETIC FISH estimates from ATS</text>
  </threadedComment>
  <threadedComment ref="AB2" dT="2023-09-18T23:30:19.09" personId="{294E98C2-59BB-4772-9417-CDE16FB47E13}" id="{29E226E8-BE9C-4E5D-B011-BDF737F570A0}" parentId="{8DB5EA0A-E5F8-405B-AD03-B8635DBBDA4C}">
    <text>SY 2011, 2013, 2014 also contain H-O fish</text>
  </threadedComment>
  <threadedComment ref="AB2" dT="2023-09-18T23:30:45.48" personId="{294E98C2-59BB-4772-9417-CDE16FB47E13}" id="{D5B8DDB5-DC1B-4005-804F-3D61BBB9BA0E}" parentId="{8DB5EA0A-E5F8-405B-AD03-B8635DBBDA4C}">
    <text>Estimated H-O numbers to deduct are listed in Hatchery Survivors</text>
  </threadedComment>
</ThreadedComments>
</file>

<file path=xl/threadedComments/threadedComment2.xml><?xml version="1.0" encoding="utf-8"?>
<ThreadedComments xmlns="http://schemas.microsoft.com/office/spreadsheetml/2018/threadedcomments" xmlns:x="http://schemas.openxmlformats.org/spreadsheetml/2006/main">
  <threadedComment ref="W227" dT="2022-06-14T23:00:26.97" personId="{294E98C2-59BB-4772-9417-CDE16FB47E13}" id="{42B5370C-9C94-493D-A306-C461B4AEBCB5}">
    <text>Age comp (prelim) from JF 22.05.06 email</text>
  </threadedComment>
  <threadedComment ref="W233" dT="2022-06-14T23:00:26.97" personId="{294E98C2-59BB-4772-9417-CDE16FB47E13}" id="{6669782B-7F58-4FE5-B91C-013AF5B5DA5D}">
    <text>Age comp (prelim) from JF 22.05.06 email</text>
  </threadedComment>
</ThreadedComments>
</file>

<file path=xl/threadedComments/threadedComment3.xml><?xml version="1.0" encoding="utf-8"?>
<ThreadedComments xmlns="http://schemas.microsoft.com/office/spreadsheetml/2018/threadedcomments" xmlns:x="http://schemas.openxmlformats.org/spreadsheetml/2006/main">
  <threadedComment ref="AM30" dT="2023-03-08T18:31:41.36" personId="{294E98C2-59BB-4772-9417-CDE16FB47E13}" id="{9230DE44-6321-4C61-B0A0-70613B8B13C4}">
    <text>Recfish data for 2005 N/A [23.03.06]</text>
  </threadedComment>
  <threadedComment ref="AN30" dT="2023-03-08T18:31:41.36" personId="{294E98C2-59BB-4772-9417-CDE16FB47E13}" id="{92C20FDC-115C-451A-8A61-7C4116E12377}">
    <text>Recfish data for 2005 N/A [23.03.06]</text>
  </threadedComment>
  <threadedComment ref="AO30" dT="2023-03-08T18:31:41.36" personId="{294E98C2-59BB-4772-9417-CDE16FB47E13}" id="{6DAC55CD-FB69-4F46-A5C3-BE3830DBDFFC}">
    <text>Recfish data for 2005 N/A [23.03.06]</text>
  </threadedComment>
</ThreadedComments>
</file>

<file path=xl/threadedComments/threadedComment4.xml><?xml version="1.0" encoding="utf-8"?>
<ThreadedComments xmlns="http://schemas.microsoft.com/office/spreadsheetml/2018/threadedcomments" xmlns:x="http://schemas.openxmlformats.org/spreadsheetml/2006/main">
  <threadedComment ref="C11" dT="2023-04-18T17:38:41.56" personId="{294E98C2-59BB-4772-9417-CDE16FB47E13}" id="{89595FC2-4B6D-44DF-B141-E7376D0E0A19}">
    <text>McIntyre dam floodgates re-engineered in 2009 to ease upstream passage (to mid-OK River)</text>
  </threadedComment>
  <threadedComment ref="C13" dT="2023-04-18T17:42:06.27" personId="{294E98C2-59BB-4772-9417-CDE16FB47E13}" id="{EBBED8E3-33F3-486C-831D-E128766C01F3}">
    <text>Fishway below Skaha Lake (Ok Falls Dam) opened for fish passage after 2011. Allows access to upper Ok River (Pen Channel and Shingle Creek).</text>
  </threadedComment>
  <threadedComment ref="C26" dT="2023-04-18T17:38:41.56" personId="{294E98C2-59BB-4772-9417-CDE16FB47E13}" id="{CECA664E-D315-49F8-9EB7-A451141AE097}">
    <text>McIntyre dam floodgates re-engineered in 2009 to ease upstream passage (to mid-OK River)</text>
  </threadedComment>
  <threadedComment ref="C28" dT="2023-04-18T17:42:06.27" personId="{294E98C2-59BB-4772-9417-CDE16FB47E13}" id="{855050CD-8921-4B0B-8500-7B26435165EE}">
    <text>Fishway below Skaha Lake (Ok Falls Dam) opened for fish passage after 2011. Allows access to upper Ok River (Pen Channel and Shingle Creek).</text>
  </threadedComment>
  <threadedComment ref="C41" dT="2023-04-18T17:42:06.27" personId="{294E98C2-59BB-4772-9417-CDE16FB47E13}" id="{72BDB58C-2D87-4A93-A4F5-447078BACFBE}">
    <text>Fishway below Skaha Lake (Ok Falls Dam) opened for fish passage after 2011. Allows access to upper Ok River (Pen Channel and Shingle Creek).</text>
  </threadedComment>
</ThreadedComment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8" Type="http://schemas.openxmlformats.org/officeDocument/2006/relationships/hyperlink" Target="mailto:howard.stiff@dfo-mpo.gc.ca" TargetMode="External"/><Relationship Id="rId13" Type="http://schemas.openxmlformats.org/officeDocument/2006/relationships/hyperlink" Target="mailto:athena.ogden@dfo-mpo.gc.ca" TargetMode="External"/><Relationship Id="rId3" Type="http://schemas.openxmlformats.org/officeDocument/2006/relationships/hyperlink" Target="mailto:howard.stiff@dfo-mpo.gc.ca" TargetMode="External"/><Relationship Id="rId7" Type="http://schemas.openxmlformats.org/officeDocument/2006/relationships/hyperlink" Target="mailto:howard.stiff@dfo-mpo.gc.ca" TargetMode="External"/><Relationship Id="rId12" Type="http://schemas.openxmlformats.org/officeDocument/2006/relationships/hyperlink" Target="mailto:howard.stiff@dfo-mpo.gc.ca" TargetMode="External"/><Relationship Id="rId17" Type="http://schemas.microsoft.com/office/2017/10/relationships/threadedComment" Target="../threadedComments/threadedComment1.xml"/><Relationship Id="rId2" Type="http://schemas.openxmlformats.org/officeDocument/2006/relationships/hyperlink" Target="mailto:howard.stiff@dfo-mpo.gc.ca" TargetMode="External"/><Relationship Id="rId16" Type="http://schemas.openxmlformats.org/officeDocument/2006/relationships/comments" Target="../comments2.xml"/><Relationship Id="rId1" Type="http://schemas.openxmlformats.org/officeDocument/2006/relationships/hyperlink" Target="mailto:howard.stiff@dfo-mpo.gc.ca" TargetMode="External"/><Relationship Id="rId6" Type="http://schemas.openxmlformats.org/officeDocument/2006/relationships/hyperlink" Target="mailto:howard.stiff@dfo-mpo.gc.ca" TargetMode="External"/><Relationship Id="rId11" Type="http://schemas.openxmlformats.org/officeDocument/2006/relationships/hyperlink" Target="mailto:howard.stiff@dfo-mpo.gc.ca" TargetMode="External"/><Relationship Id="rId5" Type="http://schemas.openxmlformats.org/officeDocument/2006/relationships/hyperlink" Target="mailto:howard.stiff@dfo-mpo.gc.ca" TargetMode="External"/><Relationship Id="rId15" Type="http://schemas.openxmlformats.org/officeDocument/2006/relationships/vmlDrawing" Target="../drawings/vmlDrawing2.vml"/><Relationship Id="rId10" Type="http://schemas.openxmlformats.org/officeDocument/2006/relationships/hyperlink" Target="mailto:howard.stiff@dfo-mpo.gc.ca" TargetMode="External"/><Relationship Id="rId4" Type="http://schemas.openxmlformats.org/officeDocument/2006/relationships/hyperlink" Target="mailto:howard.stiff@dfo-mpo.gc.ca" TargetMode="External"/><Relationship Id="rId9" Type="http://schemas.openxmlformats.org/officeDocument/2006/relationships/hyperlink" Target="mailto:howard.stiff@dfo-mpo.gc.ca" TargetMode="External"/><Relationship Id="rId14"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8" Type="http://schemas.openxmlformats.org/officeDocument/2006/relationships/hyperlink" Target="https://critfc.org/wp-content/uploads/2021/08/20_01.pdf" TargetMode="External"/><Relationship Id="rId13" Type="http://schemas.openxmlformats.org/officeDocument/2006/relationships/vmlDrawing" Target="../drawings/vmlDrawing3.vml"/><Relationship Id="rId3" Type="http://schemas.openxmlformats.org/officeDocument/2006/relationships/hyperlink" Target="https://critfc.org/wp-content/uploads/2021/08/14-01.pdf" TargetMode="External"/><Relationship Id="rId7" Type="http://schemas.openxmlformats.org/officeDocument/2006/relationships/hyperlink" Target="https://critfc.org/wp-content/uploads/2021/08/18-02.pdf" TargetMode="External"/><Relationship Id="rId12" Type="http://schemas.openxmlformats.org/officeDocument/2006/relationships/hyperlink" Target="https://www.researchgate.net/publication/242419169_Fallback_by_Adult_Sockeye_Salmon_at_Columbia_River_Dams" TargetMode="External"/><Relationship Id="rId2" Type="http://schemas.openxmlformats.org/officeDocument/2006/relationships/hyperlink" Target="https://critfc.org/wp-content/uploads/2021/08/16-02.pdf" TargetMode="External"/><Relationship Id="rId1" Type="http://schemas.openxmlformats.org/officeDocument/2006/relationships/hyperlink" Target="https://critfc.org/wp-content/uploads/2024/02/24-01.pdf" TargetMode="External"/><Relationship Id="rId6" Type="http://schemas.openxmlformats.org/officeDocument/2006/relationships/hyperlink" Target="https://critfc.org/wp-content/uploads/2021/08/18-02.pdf" TargetMode="External"/><Relationship Id="rId11" Type="http://schemas.openxmlformats.org/officeDocument/2006/relationships/hyperlink" Target="https://critfc.org/wp-content/uploads/2024/02/24-01.pdf" TargetMode="External"/><Relationship Id="rId5" Type="http://schemas.openxmlformats.org/officeDocument/2006/relationships/hyperlink" Target="https://critfc.org/wp-content/uploads/2021/08/17-06.pdf" TargetMode="External"/><Relationship Id="rId10" Type="http://schemas.openxmlformats.org/officeDocument/2006/relationships/hyperlink" Target="https://critfc.org/wp-content/uploads/2022/06/22_02.pdf" TargetMode="External"/><Relationship Id="rId4" Type="http://schemas.openxmlformats.org/officeDocument/2006/relationships/hyperlink" Target="https://critfc.org/wp-content/uploads/2021/08/15-01.pdf" TargetMode="External"/><Relationship Id="rId9" Type="http://schemas.openxmlformats.org/officeDocument/2006/relationships/hyperlink" Target="https://critfc.org/wp-content/uploads/2022/06/21_01.pdf" TargetMode="External"/><Relationship Id="rId14" Type="http://schemas.openxmlformats.org/officeDocument/2006/relationships/comments" Target="../comments3.xml"/></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3" Type="http://schemas.openxmlformats.org/officeDocument/2006/relationships/hyperlink" Target="mailto:howard.stiff@shaw.ca" TargetMode="External"/><Relationship Id="rId18" Type="http://schemas.openxmlformats.org/officeDocument/2006/relationships/hyperlink" Target="mailto:howard.stiff@shaw.ca" TargetMode="External"/><Relationship Id="rId26" Type="http://schemas.openxmlformats.org/officeDocument/2006/relationships/hyperlink" Target="mailto:howard.stiff@shaw.ca" TargetMode="External"/><Relationship Id="rId39" Type="http://schemas.openxmlformats.org/officeDocument/2006/relationships/drawing" Target="../drawings/drawing2.xml"/><Relationship Id="rId21" Type="http://schemas.openxmlformats.org/officeDocument/2006/relationships/hyperlink" Target="mailto:howard.stiff@shaw.ca" TargetMode="External"/><Relationship Id="rId34" Type="http://schemas.openxmlformats.org/officeDocument/2006/relationships/hyperlink" Target="mailto:howard.stiff@shaw.ca" TargetMode="External"/><Relationship Id="rId7" Type="http://schemas.openxmlformats.org/officeDocument/2006/relationships/hyperlink" Target="mailto:howard.stiff@shaw.ca" TargetMode="External"/><Relationship Id="rId2" Type="http://schemas.openxmlformats.org/officeDocument/2006/relationships/hyperlink" Target="mailto:howard.stiff@shaw.ca" TargetMode="External"/><Relationship Id="rId16" Type="http://schemas.openxmlformats.org/officeDocument/2006/relationships/hyperlink" Target="mailto:howard.stiff@shaw.ca" TargetMode="External"/><Relationship Id="rId20" Type="http://schemas.openxmlformats.org/officeDocument/2006/relationships/hyperlink" Target="mailto:howard.stiff@shaw.ca" TargetMode="External"/><Relationship Id="rId29" Type="http://schemas.openxmlformats.org/officeDocument/2006/relationships/hyperlink" Target="mailto:howard.stiff@shaw.ca" TargetMode="External"/><Relationship Id="rId41" Type="http://schemas.openxmlformats.org/officeDocument/2006/relationships/comments" Target="../comments6.xml"/><Relationship Id="rId1" Type="http://schemas.openxmlformats.org/officeDocument/2006/relationships/hyperlink" Target="mailto:howard.stiff@shaw.ca" TargetMode="External"/><Relationship Id="rId6" Type="http://schemas.openxmlformats.org/officeDocument/2006/relationships/hyperlink" Target="mailto:howard.stiff@shaw.ca" TargetMode="External"/><Relationship Id="rId11" Type="http://schemas.openxmlformats.org/officeDocument/2006/relationships/hyperlink" Target="mailto:howard.stiff@shaw.ca" TargetMode="External"/><Relationship Id="rId24" Type="http://schemas.openxmlformats.org/officeDocument/2006/relationships/hyperlink" Target="mailto:howard.stiff@shaw.ca" TargetMode="External"/><Relationship Id="rId32" Type="http://schemas.openxmlformats.org/officeDocument/2006/relationships/hyperlink" Target="mailto:howard.stiff@shaw.ca" TargetMode="External"/><Relationship Id="rId37" Type="http://schemas.openxmlformats.org/officeDocument/2006/relationships/hyperlink" Target="mailto:howard.stiff@shaw.ca" TargetMode="External"/><Relationship Id="rId40" Type="http://schemas.openxmlformats.org/officeDocument/2006/relationships/vmlDrawing" Target="../drawings/vmlDrawing6.vml"/><Relationship Id="rId5" Type="http://schemas.openxmlformats.org/officeDocument/2006/relationships/hyperlink" Target="mailto:howard.stiff@shaw.ca" TargetMode="External"/><Relationship Id="rId15" Type="http://schemas.openxmlformats.org/officeDocument/2006/relationships/hyperlink" Target="mailto:howard.stiff@shaw.ca" TargetMode="External"/><Relationship Id="rId23" Type="http://schemas.openxmlformats.org/officeDocument/2006/relationships/hyperlink" Target="mailto:howard.stiff@shaw.ca" TargetMode="External"/><Relationship Id="rId28" Type="http://schemas.openxmlformats.org/officeDocument/2006/relationships/hyperlink" Target="mailto:howard.stiff@shaw.ca" TargetMode="External"/><Relationship Id="rId36" Type="http://schemas.openxmlformats.org/officeDocument/2006/relationships/hyperlink" Target="mailto:howard.stiff@shaw.ca" TargetMode="External"/><Relationship Id="rId10" Type="http://schemas.openxmlformats.org/officeDocument/2006/relationships/hyperlink" Target="mailto:howard.stiff@shaw.ca" TargetMode="External"/><Relationship Id="rId19" Type="http://schemas.openxmlformats.org/officeDocument/2006/relationships/hyperlink" Target="mailto:howard.stiff@shaw.ca" TargetMode="External"/><Relationship Id="rId31" Type="http://schemas.openxmlformats.org/officeDocument/2006/relationships/hyperlink" Target="mailto:howard.stiff@shaw.ca" TargetMode="External"/><Relationship Id="rId4" Type="http://schemas.openxmlformats.org/officeDocument/2006/relationships/hyperlink" Target="mailto:howard.stiff@shaw.ca" TargetMode="External"/><Relationship Id="rId9" Type="http://schemas.openxmlformats.org/officeDocument/2006/relationships/hyperlink" Target="mailto:howard.stiff@shaw.ca" TargetMode="External"/><Relationship Id="rId14" Type="http://schemas.openxmlformats.org/officeDocument/2006/relationships/hyperlink" Target="mailto:howard.stiff@shaw.ca" TargetMode="External"/><Relationship Id="rId22" Type="http://schemas.openxmlformats.org/officeDocument/2006/relationships/hyperlink" Target="mailto:howard.stiff@shaw.ca" TargetMode="External"/><Relationship Id="rId27" Type="http://schemas.openxmlformats.org/officeDocument/2006/relationships/hyperlink" Target="mailto:howard.stiff@shaw.ca" TargetMode="External"/><Relationship Id="rId30" Type="http://schemas.openxmlformats.org/officeDocument/2006/relationships/hyperlink" Target="mailto:howard.stiff@shaw.ca" TargetMode="External"/><Relationship Id="rId35" Type="http://schemas.openxmlformats.org/officeDocument/2006/relationships/hyperlink" Target="mailto:howard.stiff@shaw.ca" TargetMode="External"/><Relationship Id="rId8" Type="http://schemas.openxmlformats.org/officeDocument/2006/relationships/hyperlink" Target="mailto:howard.stiff@shaw.ca" TargetMode="External"/><Relationship Id="rId3" Type="http://schemas.openxmlformats.org/officeDocument/2006/relationships/hyperlink" Target="mailto:howard.stiff@shaw.ca" TargetMode="External"/><Relationship Id="rId12" Type="http://schemas.openxmlformats.org/officeDocument/2006/relationships/hyperlink" Target="mailto:howard.stiff@shaw.ca" TargetMode="External"/><Relationship Id="rId17" Type="http://schemas.openxmlformats.org/officeDocument/2006/relationships/hyperlink" Target="mailto:howard.stiff@shaw.ca" TargetMode="External"/><Relationship Id="rId25" Type="http://schemas.openxmlformats.org/officeDocument/2006/relationships/hyperlink" Target="mailto:howard.stiff@shaw.ca" TargetMode="External"/><Relationship Id="rId33" Type="http://schemas.openxmlformats.org/officeDocument/2006/relationships/hyperlink" Target="mailto:howard.stiff@shaw.ca" TargetMode="External"/><Relationship Id="rId38"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3.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4.xml"/><Relationship Id="rId1" Type="http://schemas.openxmlformats.org/officeDocument/2006/relationships/printerSettings" Target="../printerSettings/printerSettings11.bin"/><Relationship Id="rId4" Type="http://schemas.openxmlformats.org/officeDocument/2006/relationships/comments" Target="../comments11.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hyperlink" Target="https://wdfw.wa.gov/sites/default/files/2022-12/2023-spring-summer-forecasts.pdf" TargetMode="External"/></Relationships>
</file>

<file path=xl/worksheets/_rels/sheet15.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2.bin"/><Relationship Id="rId4" Type="http://schemas.microsoft.com/office/2017/10/relationships/threadedComment" Target="../threadedComments/threadedComment2.xml"/></Relationships>
</file>

<file path=xl/worksheets/_rels/sheet16.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hyperlink" Target="https://wdfw.wa.gov/sites/default/files/2022-12/2023-spring-summer-forecasts.pdf" TargetMode="External"/></Relationships>
</file>

<file path=xl/worksheets/_rels/sheet18.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13.bin"/></Relationships>
</file>

<file path=xl/worksheets/_rels/sheet19.xml.rels><?xml version="1.0" encoding="UTF-8" standalone="yes"?>
<Relationships xmlns="http://schemas.openxmlformats.org/package/2006/relationships"><Relationship Id="rId2" Type="http://schemas.openxmlformats.org/officeDocument/2006/relationships/comments" Target="../comments16.xml"/><Relationship Id="rId1" Type="http://schemas.openxmlformats.org/officeDocument/2006/relationships/vmlDrawing" Target="../drawings/vmlDrawing16.vml"/></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17.vml"/><Relationship Id="rId2" Type="http://schemas.openxmlformats.org/officeDocument/2006/relationships/drawing" Target="../drawings/drawing5.xml"/><Relationship Id="rId1" Type="http://schemas.openxmlformats.org/officeDocument/2006/relationships/printerSettings" Target="../printerSettings/printerSettings14.bin"/><Relationship Id="rId5" Type="http://schemas.microsoft.com/office/2017/10/relationships/threadedComment" Target="../threadedComments/threadedComment3.xml"/><Relationship Id="rId4" Type="http://schemas.openxmlformats.org/officeDocument/2006/relationships/comments" Target="../comments17.xm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4.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printerSettings" Target="../printerSettings/printerSettings16.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19.vml"/><Relationship Id="rId1" Type="http://schemas.openxmlformats.org/officeDocument/2006/relationships/drawing" Target="../drawings/drawing6.xml"/><Relationship Id="rId4" Type="http://schemas.microsoft.com/office/2017/10/relationships/threadedComment" Target="../threadedComments/threadedComment4.xml"/></Relationships>
</file>

<file path=xl/worksheets/_rels/sheet26.xml.rels><?xml version="1.0" encoding="UTF-8" standalone="yes"?>
<Relationships xmlns="http://schemas.openxmlformats.org/package/2006/relationships"><Relationship Id="rId3" Type="http://schemas.openxmlformats.org/officeDocument/2006/relationships/comments" Target="../comments20.xml"/><Relationship Id="rId2" Type="http://schemas.openxmlformats.org/officeDocument/2006/relationships/vmlDrawing" Target="../drawings/vmlDrawing20.vml"/><Relationship Id="rId1" Type="http://schemas.openxmlformats.org/officeDocument/2006/relationships/pivotTable" Target="../pivotTables/pivotTable2.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3.xml"/></Relationships>
</file>

<file path=xl/worksheets/_rels/sheet30.xml.rels><?xml version="1.0" encoding="UTF-8" standalone="yes"?>
<Relationships xmlns="http://schemas.openxmlformats.org/package/2006/relationships"><Relationship Id="rId2" Type="http://schemas.openxmlformats.org/officeDocument/2006/relationships/comments" Target="../comments21.xml"/><Relationship Id="rId1" Type="http://schemas.openxmlformats.org/officeDocument/2006/relationships/vmlDrawing" Target="../drawings/vmlDrawing21.vml"/></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4.xml"/></Relationships>
</file>

<file path=xl/worksheets/_rels/sheet32.xml.rels><?xml version="1.0" encoding="UTF-8" standalone="yes"?>
<Relationships xmlns="http://schemas.openxmlformats.org/package/2006/relationships"><Relationship Id="rId3" Type="http://schemas.openxmlformats.org/officeDocument/2006/relationships/comments" Target="../comments22.xml"/><Relationship Id="rId2" Type="http://schemas.openxmlformats.org/officeDocument/2006/relationships/vmlDrawing" Target="../drawings/vmlDrawing22.vml"/><Relationship Id="rId1" Type="http://schemas.openxmlformats.org/officeDocument/2006/relationships/pivotTable" Target="../pivotTables/pivotTable5.xml"/></Relationships>
</file>

<file path=xl/worksheets/_rels/sheet33.xml.rels><?xml version="1.0" encoding="UTF-8" standalone="yes"?>
<Relationships xmlns="http://schemas.openxmlformats.org/package/2006/relationships"><Relationship Id="rId3" Type="http://schemas.openxmlformats.org/officeDocument/2006/relationships/comments" Target="../comments23.xml"/><Relationship Id="rId2" Type="http://schemas.openxmlformats.org/officeDocument/2006/relationships/vmlDrawing" Target="../drawings/vmlDrawing23.vml"/><Relationship Id="rId1" Type="http://schemas.openxmlformats.org/officeDocument/2006/relationships/printerSettings" Target="../printerSettings/printerSettings17.bin"/></Relationships>
</file>

<file path=xl/worksheets/_rels/sheet34.xml.rels><?xml version="1.0" encoding="UTF-8" standalone="yes"?>
<Relationships xmlns="http://schemas.openxmlformats.org/package/2006/relationships"><Relationship Id="rId3" Type="http://schemas.openxmlformats.org/officeDocument/2006/relationships/comments" Target="../comments24.xml"/><Relationship Id="rId2" Type="http://schemas.openxmlformats.org/officeDocument/2006/relationships/vmlDrawing" Target="../drawings/vmlDrawing24.vml"/><Relationship Id="rId1" Type="http://schemas.openxmlformats.org/officeDocument/2006/relationships/drawing" Target="../drawings/drawing9.xml"/></Relationships>
</file>

<file path=xl/worksheets/_rels/sheet36.xml.rels><?xml version="1.0" encoding="UTF-8" standalone="yes"?>
<Relationships xmlns="http://schemas.openxmlformats.org/package/2006/relationships"><Relationship Id="rId2" Type="http://schemas.openxmlformats.org/officeDocument/2006/relationships/comments" Target="../comments25.xml"/><Relationship Id="rId1" Type="http://schemas.openxmlformats.org/officeDocument/2006/relationships/vmlDrawing" Target="../drawings/vmlDrawing25.vml"/></Relationships>
</file>

<file path=xl/worksheets/_rels/sheet37.xml.rels><?xml version="1.0" encoding="UTF-8" standalone="yes"?>
<Relationships xmlns="http://schemas.openxmlformats.org/package/2006/relationships"><Relationship Id="rId8" Type="http://schemas.openxmlformats.org/officeDocument/2006/relationships/hyperlink" Target="https://www.cbr.washington.edu/dart/wrapper?outputFormat=inventory&amp;report=adult_inventory_years&amp;proj=ZOS&amp;nab=fa" TargetMode="External"/><Relationship Id="rId13" Type="http://schemas.openxmlformats.org/officeDocument/2006/relationships/drawing" Target="../drawings/drawing10.xml"/><Relationship Id="rId3" Type="http://schemas.openxmlformats.org/officeDocument/2006/relationships/hyperlink" Target="https://www.cbr.washington.edu/dart/wrapper?outputFormat=inventory&amp;report=adult_inventory_years&amp;proj=ZOS&amp;nab=fs" TargetMode="External"/><Relationship Id="rId7" Type="http://schemas.openxmlformats.org/officeDocument/2006/relationships/hyperlink" Target="https://www.cbr.washington.edu/dart/wrapper?outputFormat=inventory&amp;report=adult_inventory_years&amp;proj=ZOS&amp;nab=fkj" TargetMode="External"/><Relationship Id="rId12" Type="http://schemas.openxmlformats.org/officeDocument/2006/relationships/hyperlink" Target="https://www.cbr.washington.edu/dart/wrapper?outputFormat=inventory&amp;report=adult_inventory_years&amp;proj=ZOS&amp;nab=fp" TargetMode="External"/><Relationship Id="rId2" Type="http://schemas.openxmlformats.org/officeDocument/2006/relationships/hyperlink" Target="https://www.cbr.washington.edu/dart/wrapper?outputFormat=inventory&amp;report=adult_inventory_years&amp;proj=ZOS&amp;nab=fcj" TargetMode="External"/><Relationship Id="rId1" Type="http://schemas.openxmlformats.org/officeDocument/2006/relationships/hyperlink" Target="https://www.cbr.washington.edu/dart/wrapper?outputFormat=inventory&amp;report=adult_inventory_years&amp;proj=ZOS&amp;nab=fc" TargetMode="External"/><Relationship Id="rId6" Type="http://schemas.openxmlformats.org/officeDocument/2006/relationships/hyperlink" Target="https://www.cbr.washington.edu/dart/wrapper?outputFormat=inventory&amp;report=adult_inventory_years&amp;proj=ZOS&amp;nab=fk" TargetMode="External"/><Relationship Id="rId11" Type="http://schemas.openxmlformats.org/officeDocument/2006/relationships/hyperlink" Target="https://www.cbr.washington.edu/dart/wrapper?outputFormat=inventory&amp;report=adult_inventory_years&amp;proj=ZOS&amp;nab=fe" TargetMode="External"/><Relationship Id="rId5" Type="http://schemas.openxmlformats.org/officeDocument/2006/relationships/hyperlink" Target="https://www.cbr.washington.edu/dart/wrapper?outputFormat=inventory&amp;report=adult_inventory_years&amp;proj=ZOS&amp;nab=fb" TargetMode="External"/><Relationship Id="rId10" Type="http://schemas.openxmlformats.org/officeDocument/2006/relationships/hyperlink" Target="https://www.cbr.washington.edu/dart/wrapper?outputFormat=inventory&amp;report=adult_inventory_years&amp;proj=ZOS&amp;nab=ft" TargetMode="External"/><Relationship Id="rId4" Type="http://schemas.openxmlformats.org/officeDocument/2006/relationships/hyperlink" Target="https://www.cbr.washington.edu/dart/wrapper?outputFormat=inventory&amp;report=adult_inventory_years&amp;proj=ZOS&amp;nab=fsw" TargetMode="External"/><Relationship Id="rId9" Type="http://schemas.openxmlformats.org/officeDocument/2006/relationships/hyperlink" Target="https://www.cbr.washington.edu/dart/wrapper?outputFormat=inventory&amp;report=adult_inventory_years&amp;proj=ZOS&amp;nab=fl" TargetMode="External"/></Relationships>
</file>

<file path=xl/worksheets/_rels/sheet38.xml.rels><?xml version="1.0" encoding="UTF-8" standalone="yes"?>
<Relationships xmlns="http://schemas.openxmlformats.org/package/2006/relationships"><Relationship Id="rId13" Type="http://schemas.openxmlformats.org/officeDocument/2006/relationships/hyperlink" Target="mailto:howard.stiff@shaw.ca" TargetMode="External"/><Relationship Id="rId18" Type="http://schemas.openxmlformats.org/officeDocument/2006/relationships/hyperlink" Target="mailto:howard.stiff@shaw.ca" TargetMode="External"/><Relationship Id="rId26" Type="http://schemas.openxmlformats.org/officeDocument/2006/relationships/hyperlink" Target="mailto:howard.stiff@shaw.ca" TargetMode="External"/><Relationship Id="rId39" Type="http://schemas.openxmlformats.org/officeDocument/2006/relationships/vmlDrawing" Target="../drawings/vmlDrawing26.vml"/><Relationship Id="rId21" Type="http://schemas.openxmlformats.org/officeDocument/2006/relationships/hyperlink" Target="mailto:howard.stiff@shaw.ca" TargetMode="External"/><Relationship Id="rId34" Type="http://schemas.openxmlformats.org/officeDocument/2006/relationships/hyperlink" Target="mailto:howard.stiff@shaw.ca" TargetMode="External"/><Relationship Id="rId7" Type="http://schemas.openxmlformats.org/officeDocument/2006/relationships/hyperlink" Target="mailto:howard.stiff@shaw.ca" TargetMode="External"/><Relationship Id="rId12" Type="http://schemas.openxmlformats.org/officeDocument/2006/relationships/hyperlink" Target="mailto:howard.stiff@shaw.ca" TargetMode="External"/><Relationship Id="rId17" Type="http://schemas.openxmlformats.org/officeDocument/2006/relationships/hyperlink" Target="mailto:howard.stiff@shaw.ca" TargetMode="External"/><Relationship Id="rId25" Type="http://schemas.openxmlformats.org/officeDocument/2006/relationships/hyperlink" Target="mailto:howard.stiff@shaw.ca" TargetMode="External"/><Relationship Id="rId33" Type="http://schemas.openxmlformats.org/officeDocument/2006/relationships/hyperlink" Target="mailto:howard.stiff@shaw.ca" TargetMode="External"/><Relationship Id="rId38" Type="http://schemas.openxmlformats.org/officeDocument/2006/relationships/printerSettings" Target="../printerSettings/printerSettings18.bin"/><Relationship Id="rId2" Type="http://schemas.openxmlformats.org/officeDocument/2006/relationships/hyperlink" Target="mailto:howard.stiff@shaw.ca" TargetMode="External"/><Relationship Id="rId16" Type="http://schemas.openxmlformats.org/officeDocument/2006/relationships/hyperlink" Target="mailto:howard.stiff@shaw.ca" TargetMode="External"/><Relationship Id="rId20" Type="http://schemas.openxmlformats.org/officeDocument/2006/relationships/hyperlink" Target="mailto:howard.stiff@shaw.ca" TargetMode="External"/><Relationship Id="rId29" Type="http://schemas.openxmlformats.org/officeDocument/2006/relationships/hyperlink" Target="mailto:howard.stiff@shaw.ca" TargetMode="External"/><Relationship Id="rId1" Type="http://schemas.openxmlformats.org/officeDocument/2006/relationships/hyperlink" Target="mailto:howard.stiff@shaw.ca" TargetMode="External"/><Relationship Id="rId6" Type="http://schemas.openxmlformats.org/officeDocument/2006/relationships/hyperlink" Target="mailto:howard.stiff@shaw.ca" TargetMode="External"/><Relationship Id="rId11" Type="http://schemas.openxmlformats.org/officeDocument/2006/relationships/hyperlink" Target="mailto:howard.stiff@shaw.ca" TargetMode="External"/><Relationship Id="rId24" Type="http://schemas.openxmlformats.org/officeDocument/2006/relationships/hyperlink" Target="mailto:howard.stiff@shaw.ca" TargetMode="External"/><Relationship Id="rId32" Type="http://schemas.openxmlformats.org/officeDocument/2006/relationships/hyperlink" Target="mailto:howard.stiff@shaw.ca" TargetMode="External"/><Relationship Id="rId37" Type="http://schemas.openxmlformats.org/officeDocument/2006/relationships/hyperlink" Target="mailto:howard.stiff@shaw.ca" TargetMode="External"/><Relationship Id="rId40" Type="http://schemas.openxmlformats.org/officeDocument/2006/relationships/comments" Target="../comments26.xml"/><Relationship Id="rId5" Type="http://schemas.openxmlformats.org/officeDocument/2006/relationships/hyperlink" Target="mailto:howard.stiff@shaw.ca" TargetMode="External"/><Relationship Id="rId15" Type="http://schemas.openxmlformats.org/officeDocument/2006/relationships/hyperlink" Target="mailto:howard.stiff@shaw.ca" TargetMode="External"/><Relationship Id="rId23" Type="http://schemas.openxmlformats.org/officeDocument/2006/relationships/hyperlink" Target="mailto:howard.stiff@shaw.ca" TargetMode="External"/><Relationship Id="rId28" Type="http://schemas.openxmlformats.org/officeDocument/2006/relationships/hyperlink" Target="mailto:howard.stiff@shaw.ca" TargetMode="External"/><Relationship Id="rId36" Type="http://schemas.openxmlformats.org/officeDocument/2006/relationships/hyperlink" Target="mailto:howard.stiff@shaw.ca" TargetMode="External"/><Relationship Id="rId10" Type="http://schemas.openxmlformats.org/officeDocument/2006/relationships/hyperlink" Target="mailto:howard.stiff@shaw.ca" TargetMode="External"/><Relationship Id="rId19" Type="http://schemas.openxmlformats.org/officeDocument/2006/relationships/hyperlink" Target="mailto:howard.stiff@shaw.ca" TargetMode="External"/><Relationship Id="rId31" Type="http://schemas.openxmlformats.org/officeDocument/2006/relationships/hyperlink" Target="mailto:howard.stiff@shaw.ca" TargetMode="External"/><Relationship Id="rId4" Type="http://schemas.openxmlformats.org/officeDocument/2006/relationships/hyperlink" Target="mailto:howard.stiff@shaw.ca" TargetMode="External"/><Relationship Id="rId9" Type="http://schemas.openxmlformats.org/officeDocument/2006/relationships/hyperlink" Target="mailto:howard.stiff@shaw.ca" TargetMode="External"/><Relationship Id="rId14" Type="http://schemas.openxmlformats.org/officeDocument/2006/relationships/hyperlink" Target="mailto:howard.stiff@shaw.ca" TargetMode="External"/><Relationship Id="rId22" Type="http://schemas.openxmlformats.org/officeDocument/2006/relationships/hyperlink" Target="mailto:howard.stiff@shaw.ca" TargetMode="External"/><Relationship Id="rId27" Type="http://schemas.openxmlformats.org/officeDocument/2006/relationships/hyperlink" Target="mailto:howard.stiff@shaw.ca" TargetMode="External"/><Relationship Id="rId30" Type="http://schemas.openxmlformats.org/officeDocument/2006/relationships/hyperlink" Target="mailto:howard.stiff@shaw.ca" TargetMode="External"/><Relationship Id="rId35" Type="http://schemas.openxmlformats.org/officeDocument/2006/relationships/hyperlink" Target="mailto:howard.stiff@shaw.ca" TargetMode="External"/><Relationship Id="rId8" Type="http://schemas.openxmlformats.org/officeDocument/2006/relationships/hyperlink" Target="mailto:howard.stiff@shaw.ca" TargetMode="External"/><Relationship Id="rId3" Type="http://schemas.openxmlformats.org/officeDocument/2006/relationships/hyperlink" Target="mailto:howard.stiff@shaw.ca" TargetMode="External"/></Relationships>
</file>

<file path=xl/worksheets/_rels/sheet39.xml.rels><?xml version="1.0" encoding="UTF-8" standalone="yes"?>
<Relationships xmlns="http://schemas.openxmlformats.org/package/2006/relationships"><Relationship Id="rId2" Type="http://schemas.openxmlformats.org/officeDocument/2006/relationships/comments" Target="../comments27.xml"/><Relationship Id="rId1" Type="http://schemas.openxmlformats.org/officeDocument/2006/relationships/vmlDrawing" Target="../drawings/vmlDrawing27.vml"/></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43.xml.rels><?xml version="1.0" encoding="UTF-8" standalone="yes"?>
<Relationships xmlns="http://schemas.openxmlformats.org/package/2006/relationships"><Relationship Id="rId3" Type="http://schemas.openxmlformats.org/officeDocument/2006/relationships/vmlDrawing" Target="../drawings/vmlDrawing28.vml"/><Relationship Id="rId2" Type="http://schemas.openxmlformats.org/officeDocument/2006/relationships/printerSettings" Target="../printerSettings/printerSettings21.bin"/><Relationship Id="rId1" Type="http://schemas.openxmlformats.org/officeDocument/2006/relationships/pivotTable" Target="../pivotTables/pivotTable6.xml"/><Relationship Id="rId4" Type="http://schemas.openxmlformats.org/officeDocument/2006/relationships/comments" Target="../comments28.xml"/></Relationships>
</file>

<file path=xl/worksheets/_rels/sheet44.xml.rels><?xml version="1.0" encoding="UTF-8" standalone="yes"?>
<Relationships xmlns="http://schemas.openxmlformats.org/package/2006/relationships"><Relationship Id="rId3" Type="http://schemas.openxmlformats.org/officeDocument/2006/relationships/vmlDrawing" Target="../drawings/vmlDrawing29.vml"/><Relationship Id="rId2" Type="http://schemas.openxmlformats.org/officeDocument/2006/relationships/printerSettings" Target="../printerSettings/printerSettings22.bin"/><Relationship Id="rId1" Type="http://schemas.openxmlformats.org/officeDocument/2006/relationships/pivotTable" Target="../pivotTables/pivotTable7.xml"/><Relationship Id="rId4" Type="http://schemas.openxmlformats.org/officeDocument/2006/relationships/comments" Target="../comments29.xml"/></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46.xml.rels><?xml version="1.0" encoding="UTF-8" standalone="yes"?>
<Relationships xmlns="http://schemas.openxmlformats.org/package/2006/relationships"><Relationship Id="rId3" Type="http://schemas.openxmlformats.org/officeDocument/2006/relationships/comments" Target="../comments30.xml"/><Relationship Id="rId2" Type="http://schemas.openxmlformats.org/officeDocument/2006/relationships/vmlDrawing" Target="../drawings/vmlDrawing30.vml"/><Relationship Id="rId1" Type="http://schemas.openxmlformats.org/officeDocument/2006/relationships/drawing" Target="../drawings/drawing12.xml"/></Relationships>
</file>

<file path=xl/worksheets/_rels/sheet47.xml.rels><?xml version="1.0" encoding="UTF-8" standalone="yes"?>
<Relationships xmlns="http://schemas.openxmlformats.org/package/2006/relationships"><Relationship Id="rId3" Type="http://schemas.openxmlformats.org/officeDocument/2006/relationships/comments" Target="../comments31.xml"/><Relationship Id="rId2" Type="http://schemas.openxmlformats.org/officeDocument/2006/relationships/vmlDrawing" Target="../drawings/vmlDrawing31.vml"/><Relationship Id="rId1" Type="http://schemas.openxmlformats.org/officeDocument/2006/relationships/printerSettings" Target="../printerSettings/printerSettings24.bin"/></Relationships>
</file>

<file path=xl/worksheets/_rels/sheet48.xml.rels><?xml version="1.0" encoding="UTF-8" standalone="yes"?>
<Relationships xmlns="http://schemas.openxmlformats.org/package/2006/relationships"><Relationship Id="rId3" Type="http://schemas.openxmlformats.org/officeDocument/2006/relationships/comments" Target="../comments32.xml"/><Relationship Id="rId2" Type="http://schemas.openxmlformats.org/officeDocument/2006/relationships/vmlDrawing" Target="../drawings/vmlDrawing32.vml"/><Relationship Id="rId1" Type="http://schemas.openxmlformats.org/officeDocument/2006/relationships/printerSettings" Target="../printerSettings/printerSettings25.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82987F-AA8A-4AD7-A477-54D824D37EAE}">
  <sheetPr codeName="Sheet33"/>
  <dimension ref="A1:P37"/>
  <sheetViews>
    <sheetView workbookViewId="0">
      <pane xSplit="1" ySplit="1" topLeftCell="B2" activePane="bottomRight" state="frozen"/>
      <selection pane="topRight" activeCell="B1" sqref="B1"/>
      <selection pane="bottomLeft" activeCell="A2" sqref="A2"/>
      <selection pane="bottomRight" activeCell="U37" sqref="U37"/>
    </sheetView>
  </sheetViews>
  <sheetFormatPr defaultRowHeight="14.4" x14ac:dyDescent="0.3"/>
  <cols>
    <col min="1" max="1" width="5.6640625" bestFit="1" customWidth="1"/>
    <col min="2" max="2" width="9.33203125" bestFit="1" customWidth="1"/>
    <col min="3" max="3" width="10.6640625" bestFit="1" customWidth="1"/>
    <col min="4" max="4" width="8.6640625" bestFit="1" customWidth="1"/>
    <col min="5" max="5" width="11.33203125" bestFit="1" customWidth="1"/>
    <col min="6" max="6" width="9.33203125" bestFit="1" customWidth="1"/>
    <col min="8" max="8" width="10.33203125" bestFit="1" customWidth="1"/>
  </cols>
  <sheetData>
    <row r="1" spans="1:16" x14ac:dyDescent="0.3">
      <c r="A1" s="1451" t="s">
        <v>0</v>
      </c>
      <c r="B1" s="1451" t="s">
        <v>1</v>
      </c>
      <c r="C1" s="1453" t="s">
        <v>2</v>
      </c>
      <c r="D1" s="1453" t="s">
        <v>3</v>
      </c>
      <c r="E1" s="1454" t="s">
        <v>4</v>
      </c>
      <c r="F1" s="1454" t="s">
        <v>5</v>
      </c>
    </row>
    <row r="2" spans="1:16" x14ac:dyDescent="0.3">
      <c r="A2">
        <v>1985</v>
      </c>
      <c r="B2" s="444">
        <v>1862581.902</v>
      </c>
      <c r="C2" s="444">
        <v>51275.227057389806</v>
      </c>
      <c r="D2" s="512">
        <v>2.7529112680806992E-2</v>
      </c>
      <c r="E2" s="444">
        <v>51275.227057389806</v>
      </c>
      <c r="F2" s="512">
        <v>2.7529112680806992E-2</v>
      </c>
    </row>
    <row r="3" spans="1:16" x14ac:dyDescent="0.3">
      <c r="A3">
        <v>1986</v>
      </c>
      <c r="B3" s="444">
        <v>2420214.3059999999</v>
      </c>
      <c r="C3" s="444">
        <v>126935.6400094679</v>
      </c>
      <c r="D3" s="512">
        <v>5.2448099201289448E-2</v>
      </c>
      <c r="E3" s="444">
        <v>126935.6400094679</v>
      </c>
      <c r="F3" s="512">
        <v>5.2448099201289448E-2</v>
      </c>
    </row>
    <row r="4" spans="1:16" x14ac:dyDescent="0.3">
      <c r="A4">
        <v>1987</v>
      </c>
      <c r="B4" s="444">
        <v>1310921.2320000001</v>
      </c>
      <c r="C4" s="444">
        <v>23515.581118781651</v>
      </c>
      <c r="D4" s="512">
        <v>1.7938210584098349E-2</v>
      </c>
      <c r="E4" s="444">
        <v>23515.581118781651</v>
      </c>
      <c r="F4" s="512">
        <v>1.7938210584098349E-2</v>
      </c>
    </row>
    <row r="5" spans="1:16" x14ac:dyDescent="0.3">
      <c r="A5">
        <v>1988</v>
      </c>
      <c r="B5" s="444">
        <v>530427.83799999999</v>
      </c>
      <c r="C5" s="444">
        <v>5093.720162293941</v>
      </c>
      <c r="D5" s="512">
        <v>9.6030407859060019E-3</v>
      </c>
      <c r="E5" s="444">
        <v>5093.720162293941</v>
      </c>
      <c r="F5" s="512">
        <v>9.6030407859060019E-3</v>
      </c>
    </row>
    <row r="6" spans="1:16" x14ac:dyDescent="0.3">
      <c r="A6">
        <v>1989</v>
      </c>
      <c r="B6" s="444">
        <v>731366.70200000005</v>
      </c>
      <c r="C6" s="444">
        <v>36913.658555398099</v>
      </c>
      <c r="D6" s="512">
        <v>5.0472161850483171E-2</v>
      </c>
      <c r="E6" s="444">
        <v>36913.658555398099</v>
      </c>
      <c r="F6" s="512">
        <v>5.0472161850483171E-2</v>
      </c>
    </row>
    <row r="7" spans="1:16" x14ac:dyDescent="0.3">
      <c r="A7">
        <v>1990</v>
      </c>
      <c r="B7" s="444">
        <v>315960.77400000003</v>
      </c>
      <c r="C7" s="444">
        <v>56888.042358023275</v>
      </c>
      <c r="D7" s="512">
        <v>0.18004780035772183</v>
      </c>
      <c r="E7" s="444">
        <v>56888.042358023275</v>
      </c>
      <c r="F7" s="512">
        <v>0.18004780035772183</v>
      </c>
    </row>
    <row r="8" spans="1:16" x14ac:dyDescent="0.3">
      <c r="A8">
        <v>1991</v>
      </c>
      <c r="B8" s="444">
        <v>485056.83199999999</v>
      </c>
      <c r="C8" s="444">
        <v>54202.520422611706</v>
      </c>
      <c r="D8" s="512">
        <v>0.11174467989477098</v>
      </c>
      <c r="E8" s="444">
        <v>54202.520422611706</v>
      </c>
      <c r="F8" s="512">
        <v>0.11174467989477098</v>
      </c>
    </row>
    <row r="9" spans="1:16" x14ac:dyDescent="0.3">
      <c r="A9" s="1072">
        <v>1992</v>
      </c>
      <c r="B9" s="1107">
        <v>177380.47</v>
      </c>
      <c r="C9" s="1107">
        <v>463.91148347490662</v>
      </c>
      <c r="D9" s="1452">
        <v>2.6153470191780789E-3</v>
      </c>
      <c r="E9" s="1107">
        <v>473.29361657469013</v>
      </c>
      <c r="F9" s="1452">
        <v>2.6682397254595737E-3</v>
      </c>
      <c r="H9" s="2362" t="s">
        <v>6</v>
      </c>
      <c r="I9" s="2362"/>
      <c r="J9" s="2362"/>
      <c r="K9" s="2362"/>
      <c r="L9" s="2362"/>
      <c r="M9" s="2362"/>
      <c r="N9" s="2362"/>
      <c r="O9" s="2362"/>
      <c r="P9" s="2362"/>
    </row>
    <row r="10" spans="1:16" x14ac:dyDescent="0.3">
      <c r="A10" s="1072">
        <v>1993</v>
      </c>
      <c r="B10" s="1107">
        <v>1479534.14</v>
      </c>
      <c r="C10" s="1107">
        <v>4225.3569691834109</v>
      </c>
      <c r="D10" s="1452">
        <v>2.8558698680541507E-3</v>
      </c>
      <c r="E10" s="1107">
        <v>4596.3120778979292</v>
      </c>
      <c r="F10" s="1452">
        <v>3.1065941323246042E-3</v>
      </c>
      <c r="H10" s="2362"/>
      <c r="I10" s="2362"/>
      <c r="J10" s="2362"/>
      <c r="K10" s="2362"/>
      <c r="L10" s="2362"/>
      <c r="M10" s="2362"/>
      <c r="N10" s="2362"/>
      <c r="O10" s="2362"/>
      <c r="P10" s="2362"/>
    </row>
    <row r="11" spans="1:16" x14ac:dyDescent="0.3">
      <c r="A11" s="1072">
        <v>1994</v>
      </c>
      <c r="B11" s="1107">
        <v>694473.36800000002</v>
      </c>
      <c r="C11" s="1107">
        <v>24415.668000658876</v>
      </c>
      <c r="D11" s="1452">
        <v>3.5157097630645034E-2</v>
      </c>
      <c r="E11" s="1107">
        <v>24755.589899889495</v>
      </c>
      <c r="F11" s="1452">
        <v>3.5646564779269543E-2</v>
      </c>
      <c r="H11" s="2362"/>
      <c r="I11" s="2362"/>
      <c r="J11" s="2362"/>
      <c r="K11" s="2362"/>
      <c r="L11" s="2362"/>
      <c r="M11" s="2362"/>
      <c r="N11" s="2362"/>
      <c r="O11" s="2362"/>
      <c r="P11" s="2362"/>
    </row>
    <row r="12" spans="1:16" x14ac:dyDescent="0.3">
      <c r="A12">
        <v>1995</v>
      </c>
      <c r="B12" s="444">
        <v>979216.21</v>
      </c>
      <c r="C12" s="444">
        <v>37606.193407948944</v>
      </c>
      <c r="D12" s="512">
        <v>3.8404382018909743E-2</v>
      </c>
      <c r="E12" s="444">
        <v>37606.193407948944</v>
      </c>
      <c r="F12" s="512">
        <v>3.8404382018909743E-2</v>
      </c>
      <c r="H12" s="2362"/>
      <c r="I12" s="2362"/>
      <c r="J12" s="2362"/>
      <c r="K12" s="2362"/>
      <c r="L12" s="2362"/>
      <c r="M12" s="2362"/>
      <c r="N12" s="2362"/>
      <c r="O12" s="2362"/>
      <c r="P12" s="2362"/>
    </row>
    <row r="13" spans="1:16" x14ac:dyDescent="0.3">
      <c r="A13">
        <v>1996</v>
      </c>
      <c r="B13" s="444">
        <v>140210.13</v>
      </c>
      <c r="C13" s="444">
        <v>7166.2765720218649</v>
      </c>
      <c r="D13" s="512">
        <v>5.1110975876150065E-2</v>
      </c>
      <c r="E13" s="444">
        <v>7166.2765720218649</v>
      </c>
      <c r="F13" s="512">
        <v>5.1110975876150065E-2</v>
      </c>
      <c r="H13" s="2362"/>
      <c r="I13" s="2362"/>
      <c r="J13" s="2362"/>
      <c r="K13" s="2362"/>
      <c r="L13" s="2362"/>
      <c r="M13" s="2362"/>
      <c r="N13" s="2362"/>
      <c r="O13" s="2362"/>
      <c r="P13" s="2362"/>
    </row>
    <row r="14" spans="1:16" x14ac:dyDescent="0.3">
      <c r="A14" s="1072">
        <v>1997</v>
      </c>
      <c r="B14" s="1107">
        <v>379994.25400000002</v>
      </c>
      <c r="C14" s="1107">
        <v>14645.062023217102</v>
      </c>
      <c r="D14" s="1452">
        <v>3.8540219671892993E-2</v>
      </c>
      <c r="E14" s="1107">
        <v>16278.250774596998</v>
      </c>
      <c r="F14" s="1452">
        <v>4.2838149796330861E-2</v>
      </c>
      <c r="H14" s="2362"/>
      <c r="I14" s="2362"/>
      <c r="J14" s="2362"/>
      <c r="K14" s="2362"/>
      <c r="L14" s="2362"/>
      <c r="M14" s="2362"/>
      <c r="N14" s="2362"/>
      <c r="O14" s="2362"/>
      <c r="P14" s="2362"/>
    </row>
    <row r="15" spans="1:16" x14ac:dyDescent="0.3">
      <c r="A15" s="1072">
        <v>1998</v>
      </c>
      <c r="B15" s="1107">
        <v>1209167</v>
      </c>
      <c r="C15" s="1107">
        <v>69021.006306359996</v>
      </c>
      <c r="D15" s="1452">
        <v>5.7081450541041884E-2</v>
      </c>
      <c r="E15" s="1107">
        <v>69313.402879045214</v>
      </c>
      <c r="F15" s="1452">
        <v>5.7323267074808705E-2</v>
      </c>
      <c r="H15" s="2362"/>
      <c r="I15" s="2362"/>
      <c r="J15" s="2362"/>
      <c r="K15" s="2362"/>
      <c r="L15" s="2362"/>
      <c r="M15" s="2362"/>
      <c r="N15" s="2362"/>
      <c r="O15" s="2362"/>
      <c r="P15" s="2362"/>
    </row>
    <row r="16" spans="1:16" x14ac:dyDescent="0.3">
      <c r="A16">
        <v>1999</v>
      </c>
      <c r="B16" s="444">
        <v>3099743</v>
      </c>
      <c r="C16" s="444">
        <v>95641.66668127208</v>
      </c>
      <c r="D16" s="512">
        <v>3.0854708497211569E-2</v>
      </c>
      <c r="E16" s="444">
        <v>95641.66668127208</v>
      </c>
      <c r="F16" s="512">
        <v>3.0854708497211569E-2</v>
      </c>
      <c r="H16" s="2362"/>
      <c r="I16" s="2362"/>
      <c r="J16" s="2362"/>
      <c r="K16" s="2362"/>
      <c r="L16" s="2362"/>
      <c r="M16" s="2362"/>
      <c r="N16" s="2362"/>
      <c r="O16" s="2362"/>
      <c r="P16" s="2362"/>
    </row>
    <row r="17" spans="1:16" x14ac:dyDescent="0.3">
      <c r="A17">
        <v>2000</v>
      </c>
      <c r="B17" s="444">
        <v>281333</v>
      </c>
      <c r="C17" s="444">
        <v>17280.350382361452</v>
      </c>
      <c r="D17" s="512">
        <v>6.1423119159008902E-2</v>
      </c>
      <c r="E17" s="444">
        <v>17280.350382361452</v>
      </c>
      <c r="F17" s="512">
        <v>6.1423119159008902E-2</v>
      </c>
      <c r="H17" s="2362"/>
      <c r="I17" s="2362"/>
      <c r="J17" s="2362"/>
      <c r="K17" s="2362"/>
      <c r="L17" s="2362"/>
      <c r="M17" s="2362"/>
      <c r="N17" s="2362"/>
      <c r="O17" s="2362"/>
      <c r="P17" s="2362"/>
    </row>
    <row r="18" spans="1:16" x14ac:dyDescent="0.3">
      <c r="A18">
        <v>2001</v>
      </c>
      <c r="B18" s="444">
        <v>1446600</v>
      </c>
      <c r="C18" s="444">
        <v>31742.973712706382</v>
      </c>
      <c r="D18" s="512">
        <v>2.1943158933158013E-2</v>
      </c>
      <c r="E18" s="444">
        <v>31742.973712706382</v>
      </c>
      <c r="F18" s="512">
        <v>2.1943158933158013E-2</v>
      </c>
      <c r="H18" s="2362"/>
      <c r="I18" s="2362"/>
      <c r="J18" s="2362"/>
      <c r="K18" s="2362"/>
      <c r="L18" s="2362"/>
      <c r="M18" s="2362"/>
      <c r="N18" s="2362"/>
      <c r="O18" s="2362"/>
      <c r="P18" s="2362"/>
    </row>
    <row r="19" spans="1:16" x14ac:dyDescent="0.3">
      <c r="A19">
        <v>2002</v>
      </c>
      <c r="B19" s="444">
        <v>2927009</v>
      </c>
      <c r="C19" s="444">
        <v>97613.182944087835</v>
      </c>
      <c r="D19" s="512">
        <v>3.3349122925173044E-2</v>
      </c>
      <c r="E19" s="444">
        <v>97613.182944087835</v>
      </c>
      <c r="F19" s="512">
        <v>3.3349122925173044E-2</v>
      </c>
      <c r="H19" s="2362"/>
      <c r="I19" s="2362"/>
      <c r="J19" s="2362"/>
      <c r="K19" s="2362"/>
      <c r="L19" s="2362"/>
      <c r="M19" s="2362"/>
      <c r="N19" s="2362"/>
      <c r="O19" s="2362"/>
      <c r="P19" s="2362"/>
    </row>
    <row r="20" spans="1:16" x14ac:dyDescent="0.3">
      <c r="A20" s="1072">
        <v>2003</v>
      </c>
      <c r="B20" s="1107">
        <v>2080978</v>
      </c>
      <c r="C20" s="1107">
        <v>62950.560315140756</v>
      </c>
      <c r="D20" s="1452">
        <v>3.0250468921411353E-2</v>
      </c>
      <c r="E20" s="1107">
        <v>62959.553860956228</v>
      </c>
      <c r="F20" s="1452">
        <v>3.0254790709443459E-2</v>
      </c>
      <c r="H20" s="2362"/>
      <c r="I20" s="2362"/>
      <c r="J20" s="2362"/>
      <c r="K20" s="2362"/>
      <c r="L20" s="2362"/>
      <c r="M20" s="2362"/>
      <c r="N20" s="2362"/>
      <c r="O20" s="2362"/>
      <c r="P20" s="2362"/>
    </row>
    <row r="21" spans="1:16" x14ac:dyDescent="0.3">
      <c r="A21" s="1072">
        <v>2004</v>
      </c>
      <c r="B21" s="1107">
        <v>627855</v>
      </c>
      <c r="C21" s="1107">
        <v>28450.326982752053</v>
      </c>
      <c r="D21" s="1452">
        <v>4.5313530962964463E-2</v>
      </c>
      <c r="E21" s="1107">
        <v>28891.010727710127</v>
      </c>
      <c r="F21" s="1452">
        <v>4.601541873157039E-2</v>
      </c>
      <c r="H21" s="2362"/>
      <c r="I21" s="2362"/>
      <c r="J21" s="2362"/>
      <c r="K21" s="2362"/>
      <c r="L21" s="2362"/>
      <c r="M21" s="2362"/>
      <c r="N21" s="2362"/>
      <c r="O21" s="2362"/>
      <c r="P21" s="2362"/>
    </row>
    <row r="22" spans="1:16" x14ac:dyDescent="0.3">
      <c r="A22" s="1072">
        <v>2005</v>
      </c>
      <c r="B22" s="1107">
        <v>735805</v>
      </c>
      <c r="C22" s="1107">
        <v>15204.476795254612</v>
      </c>
      <c r="D22" s="1452">
        <v>2.0663731281052197E-2</v>
      </c>
      <c r="E22" s="1107">
        <v>16814.321496223911</v>
      </c>
      <c r="F22" s="1452">
        <v>2.2851599943223968E-2</v>
      </c>
      <c r="H22" s="2362"/>
      <c r="I22" s="2362"/>
      <c r="J22" s="2362"/>
      <c r="K22" s="2362"/>
      <c r="L22" s="2362"/>
      <c r="M22" s="2362"/>
      <c r="N22" s="2362"/>
      <c r="O22" s="2362"/>
      <c r="P22" s="2362"/>
    </row>
    <row r="23" spans="1:16" x14ac:dyDescent="0.3">
      <c r="A23" s="1072">
        <v>2006</v>
      </c>
      <c r="B23" s="1107">
        <v>1783500</v>
      </c>
      <c r="C23" s="1107">
        <v>186185.67433106541</v>
      </c>
      <c r="D23" s="1452">
        <v>0.10439342547298314</v>
      </c>
      <c r="E23" s="1107">
        <v>187156.97727913628</v>
      </c>
      <c r="F23" s="1452">
        <v>0.10493803043405454</v>
      </c>
      <c r="H23" s="2362"/>
      <c r="I23" s="2362"/>
      <c r="J23" s="2362"/>
      <c r="K23" s="2362"/>
      <c r="L23" s="2362"/>
      <c r="M23" s="2362"/>
      <c r="N23" s="2362"/>
      <c r="O23" s="2362"/>
      <c r="P23" s="2362"/>
    </row>
    <row r="24" spans="1:16" x14ac:dyDescent="0.3">
      <c r="A24">
        <v>2007</v>
      </c>
      <c r="B24" s="444">
        <v>2026709</v>
      </c>
      <c r="C24" s="444">
        <v>148131.27519013989</v>
      </c>
      <c r="D24" s="512">
        <v>7.3089563025643983E-2</v>
      </c>
      <c r="E24" s="444">
        <v>148131.27519013989</v>
      </c>
      <c r="F24" s="512">
        <v>7.3089563025643983E-2</v>
      </c>
    </row>
    <row r="25" spans="1:16" x14ac:dyDescent="0.3">
      <c r="A25">
        <v>2008</v>
      </c>
      <c r="B25" s="444">
        <v>2133694</v>
      </c>
      <c r="C25" s="444">
        <v>302487.05223142891</v>
      </c>
      <c r="D25" s="512">
        <v>0.14176683827738604</v>
      </c>
      <c r="E25" s="444">
        <v>302487.05223142891</v>
      </c>
      <c r="F25" s="512">
        <v>0.14176683827738604</v>
      </c>
    </row>
    <row r="26" spans="1:16" x14ac:dyDescent="0.3">
      <c r="A26">
        <v>2009</v>
      </c>
      <c r="B26" s="444">
        <v>875327</v>
      </c>
      <c r="C26" s="444">
        <v>140718.61966852096</v>
      </c>
      <c r="D26" s="512">
        <v>0.16076120086381543</v>
      </c>
      <c r="E26" s="444">
        <v>140718.61966852096</v>
      </c>
      <c r="F26" s="512">
        <v>0.16076120086381543</v>
      </c>
    </row>
    <row r="27" spans="1:16" x14ac:dyDescent="0.3">
      <c r="A27">
        <v>2010</v>
      </c>
      <c r="B27" s="444">
        <v>7488306</v>
      </c>
      <c r="C27" s="444">
        <v>433930.91703792714</v>
      </c>
      <c r="D27" s="512">
        <v>5.7947807827020845E-2</v>
      </c>
      <c r="E27" s="444">
        <v>433930.91703792714</v>
      </c>
      <c r="F27" s="512">
        <v>5.7947807827020845E-2</v>
      </c>
    </row>
    <row r="28" spans="1:16" x14ac:dyDescent="0.3">
      <c r="A28">
        <v>2011</v>
      </c>
      <c r="B28" s="444">
        <v>929531</v>
      </c>
      <c r="C28" s="444">
        <v>97549.629249305537</v>
      </c>
      <c r="D28" s="512">
        <v>0.10494499833712435</v>
      </c>
      <c r="E28" s="444">
        <v>97549.629249305537</v>
      </c>
      <c r="F28" s="512">
        <v>0.10494499833712435</v>
      </c>
    </row>
    <row r="29" spans="1:16" x14ac:dyDescent="0.3">
      <c r="A29">
        <v>2012</v>
      </c>
      <c r="B29" s="444">
        <v>4435800</v>
      </c>
      <c r="C29" s="444">
        <v>389608.33189660625</v>
      </c>
      <c r="D29" s="512">
        <v>8.7832709296317743E-2</v>
      </c>
      <c r="E29" s="444">
        <v>389608.33189660625</v>
      </c>
      <c r="F29" s="512">
        <v>8.7832709296317743E-2</v>
      </c>
    </row>
    <row r="30" spans="1:16" x14ac:dyDescent="0.3">
      <c r="A30">
        <v>2013</v>
      </c>
      <c r="B30" s="444">
        <v>2898435</v>
      </c>
      <c r="C30" s="444">
        <v>207101.63431709507</v>
      </c>
      <c r="D30" s="512">
        <v>7.1452916597092936E-2</v>
      </c>
      <c r="E30" s="444">
        <v>207101.63431709507</v>
      </c>
      <c r="F30" s="512">
        <v>7.1452916597092936E-2</v>
      </c>
    </row>
    <row r="31" spans="1:16" x14ac:dyDescent="0.3">
      <c r="A31">
        <v>2014</v>
      </c>
      <c r="B31" s="444">
        <v>5002124</v>
      </c>
      <c r="C31" s="444">
        <v>166566.0880417155</v>
      </c>
      <c r="D31" s="512">
        <v>3.3299072162488473E-2</v>
      </c>
      <c r="E31" s="444">
        <v>166566.0880417155</v>
      </c>
      <c r="F31" s="512">
        <v>3.3299072162488473E-2</v>
      </c>
    </row>
    <row r="32" spans="1:16" x14ac:dyDescent="0.3">
      <c r="A32">
        <v>2015</v>
      </c>
      <c r="B32" s="444">
        <v>2209546</v>
      </c>
      <c r="C32" s="444">
        <v>15934.98525322123</v>
      </c>
      <c r="D32" s="512">
        <v>7.2118821030298669E-3</v>
      </c>
      <c r="E32" s="444">
        <v>15934.98525322123</v>
      </c>
      <c r="F32" s="512">
        <v>7.2118821030298669E-3</v>
      </c>
    </row>
    <row r="33" spans="1:8" x14ac:dyDescent="0.3">
      <c r="A33">
        <v>2016</v>
      </c>
      <c r="B33" s="444">
        <v>7383151</v>
      </c>
      <c r="C33" s="444">
        <v>112910.21408749247</v>
      </c>
      <c r="D33" s="512">
        <v>1.5292957449670536E-2</v>
      </c>
      <c r="E33" s="444">
        <v>112910.21408749247</v>
      </c>
      <c r="F33" s="512">
        <v>1.5292957449670536E-2</v>
      </c>
    </row>
    <row r="34" spans="1:8" x14ac:dyDescent="0.3">
      <c r="A34">
        <v>2017</v>
      </c>
      <c r="B34" s="444">
        <v>1885712</v>
      </c>
      <c r="C34" s="444">
        <v>19061.130365755518</v>
      </c>
      <c r="D34" s="512">
        <v>1.010818744630968E-2</v>
      </c>
      <c r="E34" s="444">
        <v>19061.130365755518</v>
      </c>
      <c r="F34" s="512">
        <v>1.010818744630968E-2</v>
      </c>
    </row>
    <row r="35" spans="1:8" x14ac:dyDescent="0.3">
      <c r="A35">
        <v>2018</v>
      </c>
      <c r="B35" s="444">
        <v>4122796</v>
      </c>
      <c r="C35" s="444">
        <v>166072.32677022123</v>
      </c>
      <c r="D35" s="512">
        <v>4.0281480522010117E-2</v>
      </c>
      <c r="E35" s="444">
        <v>166072.32677022123</v>
      </c>
      <c r="F35" s="512">
        <v>4.0281480522010117E-2</v>
      </c>
      <c r="H35" s="442" t="s">
        <v>7</v>
      </c>
    </row>
    <row r="36" spans="1:8" x14ac:dyDescent="0.3">
      <c r="A36">
        <v>2019</v>
      </c>
      <c r="B36" s="444">
        <v>1556054</v>
      </c>
      <c r="C36" s="444">
        <v>60684.780831620657</v>
      </c>
      <c r="D36" s="512">
        <v>3.8999148378925576E-2</v>
      </c>
      <c r="E36" s="444">
        <v>60684.780831620657</v>
      </c>
      <c r="F36" s="512">
        <v>3.8999148378925576E-2</v>
      </c>
    </row>
    <row r="37" spans="1:8" x14ac:dyDescent="0.3">
      <c r="A37">
        <v>2020</v>
      </c>
      <c r="B37" s="444">
        <v>2540161</v>
      </c>
      <c r="C37" s="444">
        <v>555915.10080642789</v>
      </c>
      <c r="D37" s="512">
        <v>0.21885034090611891</v>
      </c>
      <c r="E37" s="444">
        <v>555915.10080642789</v>
      </c>
      <c r="F37" s="512">
        <v>0.21885034090611891</v>
      </c>
    </row>
  </sheetData>
  <mergeCells count="1">
    <mergeCell ref="H9:P23"/>
  </mergeCells>
  <conditionalFormatting sqref="D2:D37">
    <cfRule type="colorScale" priority="2">
      <colorScale>
        <cfvo type="min"/>
        <cfvo type="percentile" val="50"/>
        <cfvo type="max"/>
        <color rgb="FFF8696B"/>
        <color rgb="FFFFEB84"/>
        <color rgb="FF63BE7B"/>
      </colorScale>
    </cfRule>
  </conditionalFormatting>
  <conditionalFormatting sqref="F2:F37">
    <cfRule type="colorScale" priority="1">
      <colorScale>
        <cfvo type="min"/>
        <cfvo type="percentile" val="50"/>
        <cfvo type="max"/>
        <color rgb="FFF8696B"/>
        <color rgb="FFFFEB84"/>
        <color rgb="FF63BE7B"/>
      </colorScale>
    </cfRule>
  </conditionalFormatting>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FF00"/>
  </sheetPr>
  <dimension ref="A1:D115"/>
  <sheetViews>
    <sheetView workbookViewId="0">
      <pane ySplit="2" topLeftCell="A104" activePane="bottomLeft" state="frozen"/>
      <selection activeCell="C15" sqref="C15"/>
      <selection pane="bottomLeft" activeCell="C112" sqref="C112"/>
    </sheetView>
  </sheetViews>
  <sheetFormatPr defaultRowHeight="14.4" x14ac:dyDescent="0.3"/>
  <cols>
    <col min="1" max="2" width="15.6640625" customWidth="1"/>
    <col min="3" max="3" width="142.5546875" bestFit="1" customWidth="1"/>
    <col min="6" max="6" width="10.33203125" bestFit="1" customWidth="1"/>
    <col min="7" max="7" width="18" customWidth="1"/>
    <col min="8" max="8" width="9.33203125" bestFit="1" customWidth="1"/>
    <col min="9" max="9" width="10.33203125" bestFit="1" customWidth="1"/>
  </cols>
  <sheetData>
    <row r="1" spans="1:3" ht="39" customHeight="1" thickBot="1" x14ac:dyDescent="0.35">
      <c r="A1" s="2363" t="s">
        <v>8</v>
      </c>
      <c r="B1" s="2364"/>
      <c r="C1" s="2365"/>
    </row>
    <row r="2" spans="1:3" ht="15" thickBot="1" x14ac:dyDescent="0.35">
      <c r="A2" s="243" t="s">
        <v>9</v>
      </c>
      <c r="B2" s="251" t="s">
        <v>10</v>
      </c>
      <c r="C2" s="252" t="s">
        <v>11</v>
      </c>
    </row>
    <row r="3" spans="1:3" ht="21.6" customHeight="1" thickBot="1" x14ac:dyDescent="0.35">
      <c r="A3" s="2386" t="s">
        <v>12</v>
      </c>
      <c r="B3" s="307" t="s">
        <v>13</v>
      </c>
      <c r="C3" s="253" t="s">
        <v>14</v>
      </c>
    </row>
    <row r="4" spans="1:3" ht="18.600000000000001" thickBot="1" x14ac:dyDescent="0.35">
      <c r="A4" s="2387"/>
      <c r="B4" s="245" t="s">
        <v>15</v>
      </c>
      <c r="C4" s="254" t="s">
        <v>16</v>
      </c>
    </row>
    <row r="5" spans="1:3" x14ac:dyDescent="0.3">
      <c r="A5" s="2387"/>
      <c r="B5" s="2380" t="s">
        <v>17</v>
      </c>
      <c r="C5" s="258" t="s">
        <v>18</v>
      </c>
    </row>
    <row r="6" spans="1:3" ht="28.8" x14ac:dyDescent="0.3">
      <c r="A6" s="2387"/>
      <c r="B6" s="2381"/>
      <c r="C6" s="259" t="s">
        <v>19</v>
      </c>
    </row>
    <row r="7" spans="1:3" ht="15" thickBot="1" x14ac:dyDescent="0.35">
      <c r="A7" s="2387"/>
      <c r="B7" s="2382"/>
      <c r="C7" s="260" t="s">
        <v>20</v>
      </c>
    </row>
    <row r="8" spans="1:3" ht="28.8" x14ac:dyDescent="0.3">
      <c r="A8" s="2387"/>
      <c r="B8" s="2383" t="s">
        <v>21</v>
      </c>
      <c r="C8" s="261" t="s">
        <v>22</v>
      </c>
    </row>
    <row r="9" spans="1:3" x14ac:dyDescent="0.3">
      <c r="A9" s="2387"/>
      <c r="B9" s="2384"/>
      <c r="C9" s="268" t="s">
        <v>23</v>
      </c>
    </row>
    <row r="10" spans="1:3" ht="29.4" thickBot="1" x14ac:dyDescent="0.35">
      <c r="A10" s="2387"/>
      <c r="B10" s="2385"/>
      <c r="C10" s="262" t="s">
        <v>24</v>
      </c>
    </row>
    <row r="11" spans="1:3" ht="23.7" customHeight="1" x14ac:dyDescent="0.3">
      <c r="A11" s="2387"/>
      <c r="B11" s="2366" t="s">
        <v>25</v>
      </c>
      <c r="C11" s="263" t="s">
        <v>26</v>
      </c>
    </row>
    <row r="12" spans="1:3" ht="23.7" customHeight="1" thickBot="1" x14ac:dyDescent="0.35">
      <c r="A12" s="2388"/>
      <c r="B12" s="2367"/>
      <c r="C12" s="264" t="s">
        <v>27</v>
      </c>
    </row>
    <row r="13" spans="1:3" ht="23.7" customHeight="1" x14ac:dyDescent="0.3">
      <c r="A13" s="2388"/>
      <c r="B13" s="2377" t="s">
        <v>28</v>
      </c>
      <c r="C13" s="255" t="s">
        <v>29</v>
      </c>
    </row>
    <row r="14" spans="1:3" ht="30" customHeight="1" x14ac:dyDescent="0.3">
      <c r="A14" s="2388"/>
      <c r="B14" s="2378"/>
      <c r="C14" s="256" t="s">
        <v>22</v>
      </c>
    </row>
    <row r="15" spans="1:3" ht="30.6" customHeight="1" thickBot="1" x14ac:dyDescent="0.35">
      <c r="A15" s="2388"/>
      <c r="B15" s="2379"/>
      <c r="C15" s="257" t="s">
        <v>30</v>
      </c>
    </row>
    <row r="16" spans="1:3" ht="28.8" x14ac:dyDescent="0.3">
      <c r="A16" s="2388"/>
      <c r="B16" s="2368" t="s">
        <v>31</v>
      </c>
      <c r="C16" s="265" t="s">
        <v>32</v>
      </c>
    </row>
    <row r="17" spans="1:3" ht="28.8" x14ac:dyDescent="0.3">
      <c r="A17" s="2388"/>
      <c r="B17" s="2369"/>
      <c r="C17" s="266" t="s">
        <v>33</v>
      </c>
    </row>
    <row r="18" spans="1:3" ht="19.95" customHeight="1" thickBot="1" x14ac:dyDescent="0.35">
      <c r="A18" s="2389"/>
      <c r="B18" s="2370"/>
      <c r="C18" s="267" t="s">
        <v>34</v>
      </c>
    </row>
    <row r="19" spans="1:3" ht="18.600000000000001" thickBot="1" x14ac:dyDescent="0.35">
      <c r="A19" s="2374" t="s">
        <v>35</v>
      </c>
      <c r="B19" s="307" t="s">
        <v>13</v>
      </c>
      <c r="C19" s="253" t="s">
        <v>14</v>
      </c>
    </row>
    <row r="20" spans="1:3" ht="18" customHeight="1" thickBot="1" x14ac:dyDescent="0.35">
      <c r="A20" s="2375"/>
      <c r="B20" s="245" t="s">
        <v>15</v>
      </c>
      <c r="C20" s="254" t="s">
        <v>36</v>
      </c>
    </row>
    <row r="21" spans="1:3" ht="43.2" x14ac:dyDescent="0.3">
      <c r="A21" s="2375"/>
      <c r="B21" s="2393" t="s">
        <v>37</v>
      </c>
      <c r="C21" s="258" t="s">
        <v>38</v>
      </c>
    </row>
    <row r="22" spans="1:3" ht="28.8" x14ac:dyDescent="0.3">
      <c r="A22" s="2375"/>
      <c r="B22" s="2394"/>
      <c r="C22" s="259" t="s">
        <v>39</v>
      </c>
    </row>
    <row r="23" spans="1:3" ht="15" thickBot="1" x14ac:dyDescent="0.35">
      <c r="A23" s="2375"/>
      <c r="B23" s="2395"/>
      <c r="C23" s="260" t="s">
        <v>40</v>
      </c>
    </row>
    <row r="24" spans="1:3" ht="43.2" x14ac:dyDescent="0.3">
      <c r="A24" s="2375"/>
      <c r="B24" s="2383" t="s">
        <v>41</v>
      </c>
      <c r="C24" s="261" t="s">
        <v>42</v>
      </c>
    </row>
    <row r="25" spans="1:3" x14ac:dyDescent="0.3">
      <c r="A25" s="2375"/>
      <c r="B25" s="2390"/>
      <c r="C25" s="268" t="s">
        <v>23</v>
      </c>
    </row>
    <row r="26" spans="1:3" ht="15" thickBot="1" x14ac:dyDescent="0.35">
      <c r="A26" s="2375"/>
      <c r="B26" s="2385"/>
      <c r="C26" s="262" t="s">
        <v>43</v>
      </c>
    </row>
    <row r="27" spans="1:3" ht="21" customHeight="1" x14ac:dyDescent="0.3">
      <c r="A27" s="2375"/>
      <c r="B27" s="2391" t="s">
        <v>25</v>
      </c>
      <c r="C27" s="263" t="s">
        <v>44</v>
      </c>
    </row>
    <row r="28" spans="1:3" ht="21" customHeight="1" thickBot="1" x14ac:dyDescent="0.35">
      <c r="A28" s="2375"/>
      <c r="B28" s="2392"/>
      <c r="C28" s="269" t="s">
        <v>45</v>
      </c>
    </row>
    <row r="29" spans="1:3" ht="28.8" x14ac:dyDescent="0.3">
      <c r="A29" s="2375"/>
      <c r="B29" s="2371" t="s">
        <v>31</v>
      </c>
      <c r="C29" s="265" t="s">
        <v>46</v>
      </c>
    </row>
    <row r="30" spans="1:3" ht="29.4" thickBot="1" x14ac:dyDescent="0.35">
      <c r="A30" s="2375"/>
      <c r="B30" s="2372"/>
      <c r="C30" s="267" t="s">
        <v>47</v>
      </c>
    </row>
    <row r="31" spans="1:3" ht="16.2" customHeight="1" thickBot="1" x14ac:dyDescent="0.35">
      <c r="A31" s="2376"/>
      <c r="B31" s="2373"/>
      <c r="C31" s="267" t="s">
        <v>48</v>
      </c>
    </row>
    <row r="32" spans="1:3" ht="64.2" customHeight="1" thickBot="1" x14ac:dyDescent="0.35">
      <c r="A32" s="2408" t="s">
        <v>49</v>
      </c>
      <c r="B32" s="2396" t="s">
        <v>50</v>
      </c>
      <c r="C32" s="2397"/>
    </row>
    <row r="33" spans="1:3" ht="61.2" customHeight="1" thickBot="1" x14ac:dyDescent="0.35">
      <c r="A33" s="2409"/>
      <c r="B33" s="2396" t="s">
        <v>51</v>
      </c>
      <c r="C33" s="2397"/>
    </row>
    <row r="34" spans="1:3" s="246" customFormat="1" ht="54.6" customHeight="1" thickBot="1" x14ac:dyDescent="0.35">
      <c r="A34" s="2409"/>
      <c r="B34" s="2396" t="s">
        <v>52</v>
      </c>
      <c r="C34" s="2397"/>
    </row>
    <row r="35" spans="1:3" ht="18" x14ac:dyDescent="0.3">
      <c r="A35" s="2409"/>
      <c r="B35" s="307" t="s">
        <v>13</v>
      </c>
      <c r="C35" s="253" t="s">
        <v>14</v>
      </c>
    </row>
    <row r="36" spans="1:3" ht="18" customHeight="1" x14ac:dyDescent="0.3">
      <c r="A36" s="2409"/>
      <c r="B36" s="247" t="s">
        <v>15</v>
      </c>
      <c r="C36" s="270" t="s">
        <v>16</v>
      </c>
    </row>
    <row r="37" spans="1:3" ht="18" customHeight="1" x14ac:dyDescent="0.3">
      <c r="A37" s="2409"/>
      <c r="B37" s="248" t="s">
        <v>53</v>
      </c>
      <c r="C37" s="259" t="s">
        <v>54</v>
      </c>
    </row>
    <row r="38" spans="1:3" ht="18" x14ac:dyDescent="0.3">
      <c r="A38" s="2409"/>
      <c r="B38" s="249" t="s">
        <v>55</v>
      </c>
      <c r="C38" s="268" t="s">
        <v>56</v>
      </c>
    </row>
    <row r="39" spans="1:3" ht="18" customHeight="1" x14ac:dyDescent="0.3">
      <c r="A39" s="2409"/>
      <c r="B39" s="250" t="s">
        <v>57</v>
      </c>
      <c r="C39" s="271" t="s">
        <v>58</v>
      </c>
    </row>
    <row r="40" spans="1:3" ht="14.7" customHeight="1" x14ac:dyDescent="0.3">
      <c r="A40" s="2409"/>
      <c r="B40" s="2410" t="s">
        <v>31</v>
      </c>
      <c r="C40" s="272" t="s">
        <v>59</v>
      </c>
    </row>
    <row r="41" spans="1:3" ht="15.6" customHeight="1" x14ac:dyDescent="0.3">
      <c r="A41" s="2409"/>
      <c r="B41" s="2410"/>
      <c r="C41" s="273" t="s">
        <v>60</v>
      </c>
    </row>
    <row r="42" spans="1:3" ht="28.8" x14ac:dyDescent="0.3">
      <c r="A42" s="2409"/>
      <c r="B42" s="2410"/>
      <c r="C42" s="272" t="s">
        <v>61</v>
      </c>
    </row>
    <row r="43" spans="1:3" ht="28.8" x14ac:dyDescent="0.3">
      <c r="A43" s="2409"/>
      <c r="B43" s="2410"/>
      <c r="C43" s="274" t="s">
        <v>62</v>
      </c>
    </row>
    <row r="44" spans="1:3" x14ac:dyDescent="0.3">
      <c r="A44" s="2409"/>
      <c r="B44" s="2411"/>
      <c r="C44" s="275" t="s">
        <v>63</v>
      </c>
    </row>
    <row r="45" spans="1:3" ht="15" customHeight="1" thickBot="1" x14ac:dyDescent="0.35">
      <c r="A45" s="2409"/>
      <c r="B45" s="2411"/>
      <c r="C45" s="294" t="s">
        <v>64</v>
      </c>
    </row>
    <row r="46" spans="1:3" ht="19.95" customHeight="1" x14ac:dyDescent="0.35">
      <c r="A46" s="2406" t="s">
        <v>65</v>
      </c>
      <c r="B46" s="295" t="s">
        <v>65</v>
      </c>
      <c r="C46" s="354" t="s">
        <v>66</v>
      </c>
    </row>
    <row r="47" spans="1:3" ht="19.95" customHeight="1" thickBot="1" x14ac:dyDescent="0.4">
      <c r="A47" s="2407"/>
      <c r="B47" s="296" t="s">
        <v>67</v>
      </c>
      <c r="C47" s="355" t="s">
        <v>68</v>
      </c>
    </row>
    <row r="48" spans="1:3" ht="19.95" customHeight="1" x14ac:dyDescent="0.3"/>
    <row r="49" spans="1:3" ht="19.95" customHeight="1" x14ac:dyDescent="0.3">
      <c r="A49" s="2403" t="s">
        <v>69</v>
      </c>
      <c r="B49" s="2401" t="s">
        <v>70</v>
      </c>
      <c r="C49" s="2402"/>
    </row>
    <row r="50" spans="1:3" x14ac:dyDescent="0.3">
      <c r="A50" s="2403"/>
      <c r="B50" s="2399" t="s">
        <v>71</v>
      </c>
      <c r="C50" s="2400"/>
    </row>
    <row r="51" spans="1:3" ht="16.2" x14ac:dyDescent="0.3">
      <c r="A51" s="2403"/>
      <c r="B51" s="2401" t="s">
        <v>72</v>
      </c>
      <c r="C51" s="2402"/>
    </row>
    <row r="52" spans="1:3" x14ac:dyDescent="0.3">
      <c r="A52" s="302"/>
      <c r="B52" s="2404"/>
      <c r="C52" s="2405"/>
    </row>
    <row r="54" spans="1:3" ht="27.6" customHeight="1" x14ac:dyDescent="0.3">
      <c r="A54" s="2398" t="s">
        <v>73</v>
      </c>
      <c r="B54" s="461" t="s">
        <v>74</v>
      </c>
      <c r="C54" s="461" t="s">
        <v>75</v>
      </c>
    </row>
    <row r="55" spans="1:3" ht="27.6" customHeight="1" x14ac:dyDescent="0.3">
      <c r="A55" s="2398"/>
      <c r="B55" s="462"/>
      <c r="C55" s="462" t="s">
        <v>76</v>
      </c>
    </row>
    <row r="56" spans="1:3" ht="15.6" customHeight="1" x14ac:dyDescent="0.3">
      <c r="A56" s="2398"/>
      <c r="B56" s="461" t="s">
        <v>74</v>
      </c>
      <c r="C56" s="463" t="s">
        <v>77</v>
      </c>
    </row>
    <row r="57" spans="1:3" ht="14.7" customHeight="1" x14ac:dyDescent="0.3">
      <c r="A57" s="2398"/>
      <c r="B57" s="464"/>
      <c r="C57" s="464"/>
    </row>
    <row r="58" spans="1:3" ht="14.7" customHeight="1" x14ac:dyDescent="0.3">
      <c r="A58" s="2398"/>
      <c r="B58" s="461" t="s">
        <v>74</v>
      </c>
      <c r="C58" s="465" t="s">
        <v>78</v>
      </c>
    </row>
    <row r="59" spans="1:3" ht="14.7" customHeight="1" x14ac:dyDescent="0.3">
      <c r="A59" s="2398"/>
      <c r="B59" s="466"/>
      <c r="C59" s="466" t="s">
        <v>79</v>
      </c>
    </row>
    <row r="60" spans="1:3" ht="15.6" customHeight="1" x14ac:dyDescent="0.3">
      <c r="A60" s="2398"/>
      <c r="B60" s="467"/>
      <c r="C60" s="467" t="s">
        <v>80</v>
      </c>
    </row>
    <row r="61" spans="1:3" ht="14.7" customHeight="1" x14ac:dyDescent="0.3">
      <c r="A61" s="2398"/>
      <c r="B61" s="463"/>
      <c r="C61" s="463"/>
    </row>
    <row r="62" spans="1:3" ht="14.7" customHeight="1" x14ac:dyDescent="0.3">
      <c r="A62" s="2398"/>
      <c r="B62" s="461" t="s">
        <v>74</v>
      </c>
      <c r="C62" s="463" t="s">
        <v>81</v>
      </c>
    </row>
    <row r="63" spans="1:3" x14ac:dyDescent="0.3">
      <c r="A63" s="2398"/>
      <c r="B63" s="463"/>
      <c r="C63" s="463"/>
    </row>
    <row r="64" spans="1:3" x14ac:dyDescent="0.3">
      <c r="A64" s="2398"/>
      <c r="B64" s="461" t="s">
        <v>82</v>
      </c>
      <c r="C64" s="463" t="s">
        <v>83</v>
      </c>
    </row>
    <row r="65" spans="1:3" x14ac:dyDescent="0.3">
      <c r="A65" s="2398"/>
      <c r="B65" s="461" t="s">
        <v>82</v>
      </c>
      <c r="C65" s="463" t="s">
        <v>84</v>
      </c>
    </row>
    <row r="66" spans="1:3" x14ac:dyDescent="0.3">
      <c r="A66" s="2398"/>
      <c r="B66" s="461" t="s">
        <v>82</v>
      </c>
      <c r="C66" s="463" t="s">
        <v>85</v>
      </c>
    </row>
    <row r="67" spans="1:3" x14ac:dyDescent="0.3">
      <c r="A67" s="2398"/>
      <c r="B67" s="463" t="s">
        <v>82</v>
      </c>
      <c r="C67" s="463" t="s">
        <v>86</v>
      </c>
    </row>
    <row r="68" spans="1:3" x14ac:dyDescent="0.3">
      <c r="A68" s="2398"/>
      <c r="B68" s="463" t="s">
        <v>87</v>
      </c>
      <c r="C68" s="463" t="s">
        <v>88</v>
      </c>
    </row>
    <row r="69" spans="1:3" x14ac:dyDescent="0.3">
      <c r="A69" s="2398"/>
      <c r="B69" s="463"/>
      <c r="C69" s="463" t="s">
        <v>89</v>
      </c>
    </row>
    <row r="70" spans="1:3" x14ac:dyDescent="0.3">
      <c r="A70" s="2398"/>
      <c r="B70" s="463" t="s">
        <v>90</v>
      </c>
      <c r="C70" s="463" t="s">
        <v>91</v>
      </c>
    </row>
    <row r="71" spans="1:3" x14ac:dyDescent="0.3">
      <c r="A71" s="2398"/>
      <c r="B71" s="463" t="s">
        <v>92</v>
      </c>
      <c r="C71" s="463" t="s">
        <v>93</v>
      </c>
    </row>
    <row r="72" spans="1:3" ht="28.2" customHeight="1" x14ac:dyDescent="0.3">
      <c r="A72" s="2398"/>
      <c r="B72" s="463" t="s">
        <v>94</v>
      </c>
      <c r="C72" s="461" t="s">
        <v>95</v>
      </c>
    </row>
    <row r="73" spans="1:3" x14ac:dyDescent="0.3">
      <c r="A73" s="2398"/>
      <c r="B73" s="463"/>
      <c r="C73" s="463" t="s">
        <v>96</v>
      </c>
    </row>
    <row r="74" spans="1:3" x14ac:dyDescent="0.3">
      <c r="A74" s="2398"/>
      <c r="B74" s="463" t="s">
        <v>97</v>
      </c>
      <c r="C74" s="463" t="s">
        <v>98</v>
      </c>
    </row>
    <row r="75" spans="1:3" x14ac:dyDescent="0.3">
      <c r="A75" s="302"/>
      <c r="B75" s="463" t="s">
        <v>99</v>
      </c>
      <c r="C75" s="463" t="s">
        <v>100</v>
      </c>
    </row>
    <row r="76" spans="1:3" ht="57.6" x14ac:dyDescent="0.3">
      <c r="A76" s="302"/>
      <c r="B76" s="463" t="s">
        <v>101</v>
      </c>
      <c r="C76" s="461" t="s">
        <v>102</v>
      </c>
    </row>
    <row r="77" spans="1:3" x14ac:dyDescent="0.3">
      <c r="A77" s="302"/>
      <c r="B77" s="463" t="s">
        <v>103</v>
      </c>
      <c r="C77" s="463" t="s">
        <v>104</v>
      </c>
    </row>
    <row r="78" spans="1:3" x14ac:dyDescent="0.3">
      <c r="A78" s="302"/>
      <c r="B78" s="463" t="s">
        <v>105</v>
      </c>
      <c r="C78" s="463" t="s">
        <v>106</v>
      </c>
    </row>
    <row r="79" spans="1:3" x14ac:dyDescent="0.3">
      <c r="A79" s="302"/>
      <c r="B79" s="463" t="s">
        <v>107</v>
      </c>
      <c r="C79" s="463" t="s">
        <v>108</v>
      </c>
    </row>
    <row r="80" spans="1:3" s="318" customFormat="1" ht="58.95" customHeight="1" x14ac:dyDescent="0.3">
      <c r="A80" s="677" t="s">
        <v>109</v>
      </c>
      <c r="B80" s="461" t="s">
        <v>110</v>
      </c>
      <c r="C80" s="461" t="s">
        <v>111</v>
      </c>
    </row>
    <row r="81" spans="1:3" s="318" customFormat="1" ht="45.6" customHeight="1" x14ac:dyDescent="0.3">
      <c r="A81" s="519"/>
      <c r="B81" s="461" t="s">
        <v>112</v>
      </c>
      <c r="C81" s="461" t="s">
        <v>113</v>
      </c>
    </row>
    <row r="82" spans="1:3" s="318" customFormat="1" ht="64.2" customHeight="1" x14ac:dyDescent="0.3">
      <c r="A82" s="519"/>
      <c r="B82" s="461" t="s">
        <v>114</v>
      </c>
      <c r="C82" s="461" t="s">
        <v>115</v>
      </c>
    </row>
    <row r="83" spans="1:3" s="318" customFormat="1" ht="120" customHeight="1" x14ac:dyDescent="0.3">
      <c r="A83" s="519"/>
      <c r="B83" s="461" t="s">
        <v>114</v>
      </c>
      <c r="C83" s="461" t="s">
        <v>116</v>
      </c>
    </row>
    <row r="84" spans="1:3" s="318" customFormat="1" ht="78.599999999999994" customHeight="1" x14ac:dyDescent="0.3">
      <c r="A84" s="519"/>
      <c r="B84" s="461" t="s">
        <v>117</v>
      </c>
      <c r="C84" s="461" t="s">
        <v>118</v>
      </c>
    </row>
    <row r="85" spans="1:3" ht="69" customHeight="1" x14ac:dyDescent="0.3">
      <c r="A85" s="302"/>
      <c r="B85" s="671" t="s">
        <v>119</v>
      </c>
      <c r="C85" s="745" t="s">
        <v>120</v>
      </c>
    </row>
    <row r="86" spans="1:3" ht="57.6" x14ac:dyDescent="0.3">
      <c r="A86" s="302"/>
      <c r="B86" s="671" t="s">
        <v>119</v>
      </c>
      <c r="C86" s="671" t="s">
        <v>121</v>
      </c>
    </row>
    <row r="87" spans="1:3" ht="57.6" x14ac:dyDescent="0.3">
      <c r="A87" s="302"/>
      <c r="B87" s="671" t="s">
        <v>122</v>
      </c>
      <c r="C87" s="671" t="s">
        <v>123</v>
      </c>
    </row>
    <row r="88" spans="1:3" ht="28.8" x14ac:dyDescent="0.3">
      <c r="A88" s="302"/>
      <c r="B88" s="671" t="s">
        <v>122</v>
      </c>
      <c r="C88" s="671" t="s">
        <v>124</v>
      </c>
    </row>
    <row r="89" spans="1:3" x14ac:dyDescent="0.3">
      <c r="A89" s="302"/>
      <c r="B89" s="671" t="s">
        <v>125</v>
      </c>
      <c r="C89" s="671" t="s">
        <v>126</v>
      </c>
    </row>
    <row r="90" spans="1:3" x14ac:dyDescent="0.3">
      <c r="A90" s="302"/>
      <c r="B90" s="671" t="s">
        <v>127</v>
      </c>
      <c r="C90" s="671" t="s">
        <v>128</v>
      </c>
    </row>
    <row r="91" spans="1:3" ht="28.8" x14ac:dyDescent="0.3">
      <c r="A91" s="302"/>
      <c r="B91" s="671" t="s">
        <v>129</v>
      </c>
      <c r="C91" s="671" t="s">
        <v>130</v>
      </c>
    </row>
    <row r="92" spans="1:3" ht="72" x14ac:dyDescent="0.3">
      <c r="A92" s="677" t="s">
        <v>109</v>
      </c>
      <c r="B92" s="671" t="s">
        <v>131</v>
      </c>
      <c r="C92" s="671" t="s">
        <v>132</v>
      </c>
    </row>
    <row r="93" spans="1:3" ht="57.6" x14ac:dyDescent="0.3">
      <c r="A93" s="302"/>
      <c r="B93" s="671" t="s">
        <v>131</v>
      </c>
      <c r="C93" s="521" t="s">
        <v>133</v>
      </c>
    </row>
    <row r="94" spans="1:3" ht="57.6" x14ac:dyDescent="0.3">
      <c r="A94" s="302"/>
      <c r="B94" s="671" t="s">
        <v>134</v>
      </c>
      <c r="C94" s="521" t="s">
        <v>135</v>
      </c>
    </row>
    <row r="95" spans="1:3" ht="28.8" x14ac:dyDescent="0.3">
      <c r="A95" s="302"/>
      <c r="B95" s="671" t="s">
        <v>134</v>
      </c>
      <c r="C95" s="671" t="s">
        <v>136</v>
      </c>
    </row>
    <row r="96" spans="1:3" ht="28.8" x14ac:dyDescent="0.3">
      <c r="A96" s="302"/>
      <c r="B96" s="671" t="s">
        <v>137</v>
      </c>
      <c r="C96" s="671" t="s">
        <v>138</v>
      </c>
    </row>
    <row r="97" spans="1:3" ht="43.2" x14ac:dyDescent="0.3">
      <c r="A97" s="302"/>
      <c r="B97" s="671" t="s">
        <v>137</v>
      </c>
      <c r="C97" s="671" t="s">
        <v>139</v>
      </c>
    </row>
    <row r="98" spans="1:3" ht="28.8" x14ac:dyDescent="0.3">
      <c r="A98" s="302"/>
      <c r="B98" s="671" t="s">
        <v>140</v>
      </c>
      <c r="C98" s="671" t="s">
        <v>141</v>
      </c>
    </row>
    <row r="99" spans="1:3" ht="28.8" x14ac:dyDescent="0.3">
      <c r="A99" s="302"/>
      <c r="B99" s="671" t="s">
        <v>140</v>
      </c>
      <c r="C99" s="671" t="s">
        <v>142</v>
      </c>
    </row>
    <row r="100" spans="1:3" ht="28.8" x14ac:dyDescent="0.3">
      <c r="A100" s="302"/>
      <c r="B100" s="671" t="s">
        <v>143</v>
      </c>
      <c r="C100" s="671" t="s">
        <v>144</v>
      </c>
    </row>
    <row r="101" spans="1:3" ht="72" x14ac:dyDescent="0.3">
      <c r="A101" s="302"/>
      <c r="B101" s="671" t="s">
        <v>143</v>
      </c>
      <c r="C101" s="671" t="s">
        <v>145</v>
      </c>
    </row>
    <row r="102" spans="1:3" ht="28.8" x14ac:dyDescent="0.3">
      <c r="A102" s="302"/>
      <c r="B102" s="671" t="s">
        <v>146</v>
      </c>
      <c r="C102" s="671" t="s">
        <v>147</v>
      </c>
    </row>
    <row r="103" spans="1:3" ht="43.2" x14ac:dyDescent="0.3">
      <c r="A103" s="302"/>
      <c r="B103" s="671" t="s">
        <v>148</v>
      </c>
      <c r="C103" s="671" t="s">
        <v>149</v>
      </c>
    </row>
    <row r="104" spans="1:3" ht="43.2" x14ac:dyDescent="0.3">
      <c r="A104" s="302"/>
      <c r="B104" s="671" t="s">
        <v>150</v>
      </c>
      <c r="C104" s="671" t="s">
        <v>151</v>
      </c>
    </row>
    <row r="105" spans="1:3" ht="28.8" x14ac:dyDescent="0.3">
      <c r="A105" s="302"/>
      <c r="B105" s="671" t="s">
        <v>152</v>
      </c>
      <c r="C105" s="671" t="s">
        <v>153</v>
      </c>
    </row>
    <row r="106" spans="1:3" ht="43.2" x14ac:dyDescent="0.3">
      <c r="A106" s="302"/>
      <c r="B106" s="671" t="s">
        <v>154</v>
      </c>
      <c r="C106" s="671" t="s">
        <v>155</v>
      </c>
    </row>
    <row r="107" spans="1:3" ht="43.2" x14ac:dyDescent="0.3">
      <c r="A107" s="302"/>
      <c r="B107" s="671" t="s">
        <v>156</v>
      </c>
      <c r="C107" s="671" t="s">
        <v>157</v>
      </c>
    </row>
    <row r="108" spans="1:3" x14ac:dyDescent="0.3">
      <c r="A108" s="302"/>
      <c r="B108" s="671" t="s">
        <v>158</v>
      </c>
      <c r="C108" s="671" t="s">
        <v>159</v>
      </c>
    </row>
    <row r="109" spans="1:3" ht="28.8" x14ac:dyDescent="0.3">
      <c r="A109" s="302"/>
      <c r="B109" s="520" t="s">
        <v>160</v>
      </c>
      <c r="C109" s="521" t="s">
        <v>161</v>
      </c>
    </row>
    <row r="110" spans="1:3" ht="43.2" x14ac:dyDescent="0.3">
      <c r="A110" s="302"/>
      <c r="B110" s="671" t="s">
        <v>162</v>
      </c>
      <c r="C110" s="1710" t="s">
        <v>163</v>
      </c>
    </row>
    <row r="111" spans="1:3" ht="28.8" x14ac:dyDescent="0.3">
      <c r="A111" s="302"/>
      <c r="B111" s="671" t="s">
        <v>164</v>
      </c>
      <c r="C111" s="1710" t="s">
        <v>165</v>
      </c>
    </row>
    <row r="112" spans="1:3" x14ac:dyDescent="0.3">
      <c r="A112" s="302"/>
      <c r="B112" s="671" t="s">
        <v>1325</v>
      </c>
      <c r="C112" s="1710" t="s">
        <v>1326</v>
      </c>
    </row>
    <row r="113" spans="1:4" x14ac:dyDescent="0.3">
      <c r="A113" s="302"/>
      <c r="B113" s="302"/>
      <c r="C113" s="519"/>
    </row>
    <row r="114" spans="1:4" x14ac:dyDescent="0.3">
      <c r="A114" s="302"/>
      <c r="B114" s="302"/>
      <c r="C114" s="519"/>
    </row>
    <row r="115" spans="1:4" ht="106.2" customHeight="1" x14ac:dyDescent="0.3">
      <c r="D115" s="963"/>
    </row>
  </sheetData>
  <sortState xmlns:xlrd2="http://schemas.microsoft.com/office/spreadsheetml/2017/richdata2" ref="E116:J122">
    <sortCondition ref="E116:E122"/>
  </sortState>
  <mergeCells count="24">
    <mergeCell ref="B32:C32"/>
    <mergeCell ref="B33:C33"/>
    <mergeCell ref="A54:A74"/>
    <mergeCell ref="B50:C50"/>
    <mergeCell ref="B51:C51"/>
    <mergeCell ref="B49:C49"/>
    <mergeCell ref="A49:A51"/>
    <mergeCell ref="B52:C52"/>
    <mergeCell ref="A46:A47"/>
    <mergeCell ref="A32:A45"/>
    <mergeCell ref="B40:B45"/>
    <mergeCell ref="B34:C34"/>
    <mergeCell ref="A1:C1"/>
    <mergeCell ref="B11:B12"/>
    <mergeCell ref="B16:B18"/>
    <mergeCell ref="B29:B31"/>
    <mergeCell ref="A19:A31"/>
    <mergeCell ref="B13:B15"/>
    <mergeCell ref="B5:B7"/>
    <mergeCell ref="B8:B10"/>
    <mergeCell ref="A3:A18"/>
    <mergeCell ref="B24:B26"/>
    <mergeCell ref="B27:B28"/>
    <mergeCell ref="B21:B23"/>
  </mergeCells>
  <phoneticPr fontId="58" type="noConversion"/>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tabColor theme="1"/>
  </sheetPr>
  <dimension ref="A2:F38"/>
  <sheetViews>
    <sheetView workbookViewId="0">
      <selection activeCell="C12" sqref="C12"/>
    </sheetView>
  </sheetViews>
  <sheetFormatPr defaultRowHeight="14.4" x14ac:dyDescent="0.3"/>
  <cols>
    <col min="1" max="1" width="10.33203125" bestFit="1" customWidth="1"/>
    <col min="2" max="2" width="26.44140625" bestFit="1" customWidth="1"/>
    <col min="3" max="3" width="91.44140625" customWidth="1"/>
    <col min="4" max="4" width="2.6640625" customWidth="1"/>
    <col min="5" max="5" width="10.33203125" bestFit="1" customWidth="1"/>
    <col min="6" max="6" width="45.33203125" customWidth="1"/>
  </cols>
  <sheetData>
    <row r="2" spans="1:6" ht="18" x14ac:dyDescent="0.35">
      <c r="A2" s="2413" t="s">
        <v>166</v>
      </c>
      <c r="B2" s="2414"/>
      <c r="C2" s="2414"/>
      <c r="D2" s="2414"/>
      <c r="E2" s="2414"/>
      <c r="F2" s="2415"/>
    </row>
    <row r="4" spans="1:6" x14ac:dyDescent="0.3">
      <c r="A4" s="2416" t="s">
        <v>65</v>
      </c>
      <c r="B4" s="319" t="s">
        <v>167</v>
      </c>
      <c r="C4" s="320" t="s">
        <v>168</v>
      </c>
      <c r="E4" s="2412" t="s">
        <v>169</v>
      </c>
      <c r="F4" s="319" t="s">
        <v>170</v>
      </c>
    </row>
    <row r="5" spans="1:6" ht="158.4" x14ac:dyDescent="0.3">
      <c r="A5" s="2417"/>
      <c r="B5" s="319" t="s">
        <v>171</v>
      </c>
      <c r="C5" s="1693" t="s">
        <v>172</v>
      </c>
      <c r="E5" s="2412"/>
      <c r="F5" s="469" t="s">
        <v>173</v>
      </c>
    </row>
    <row r="6" spans="1:6" ht="28.8" x14ac:dyDescent="0.3">
      <c r="A6" s="2417"/>
      <c r="B6" s="297" t="s">
        <v>174</v>
      </c>
      <c r="C6" s="694" t="s">
        <v>175</v>
      </c>
      <c r="E6" s="2412"/>
      <c r="F6" s="298" t="s">
        <v>176</v>
      </c>
    </row>
    <row r="7" spans="1:6" ht="43.2" x14ac:dyDescent="0.3">
      <c r="A7" s="2417"/>
      <c r="B7" s="297" t="s">
        <v>177</v>
      </c>
      <c r="C7" s="298" t="s">
        <v>178</v>
      </c>
      <c r="E7" s="2412"/>
      <c r="F7" s="299" t="s">
        <v>179</v>
      </c>
    </row>
    <row r="8" spans="1:6" ht="28.8" x14ac:dyDescent="0.3">
      <c r="A8" s="2417"/>
      <c r="B8" s="299" t="s">
        <v>180</v>
      </c>
      <c r="C8" s="694" t="s">
        <v>181</v>
      </c>
      <c r="E8" s="2412"/>
      <c r="F8" s="468" t="s">
        <v>182</v>
      </c>
    </row>
    <row r="9" spans="1:6" ht="57.6" x14ac:dyDescent="0.3">
      <c r="A9" s="2417"/>
      <c r="B9" s="299" t="s">
        <v>183</v>
      </c>
      <c r="C9" s="694" t="s">
        <v>184</v>
      </c>
      <c r="E9" s="2412"/>
      <c r="F9" s="299" t="s">
        <v>185</v>
      </c>
    </row>
    <row r="10" spans="1:6" ht="57.6" x14ac:dyDescent="0.3">
      <c r="A10" s="2417"/>
      <c r="B10" s="299" t="s">
        <v>186</v>
      </c>
      <c r="C10" s="299" t="s">
        <v>187</v>
      </c>
      <c r="E10" s="2412"/>
      <c r="F10" s="454" t="s">
        <v>188</v>
      </c>
    </row>
    <row r="11" spans="1:6" ht="28.8" x14ac:dyDescent="0.3">
      <c r="A11" s="2417"/>
      <c r="B11" s="299" t="s">
        <v>189</v>
      </c>
      <c r="C11" s="1076" t="s">
        <v>190</v>
      </c>
      <c r="E11" s="2412"/>
      <c r="F11" s="299" t="s">
        <v>191</v>
      </c>
    </row>
    <row r="12" spans="1:6" ht="43.2" x14ac:dyDescent="0.3">
      <c r="A12" s="2417"/>
      <c r="B12" s="299" t="s">
        <v>192</v>
      </c>
      <c r="C12" s="299" t="s">
        <v>193</v>
      </c>
      <c r="E12" s="2412"/>
      <c r="F12" s="299" t="s">
        <v>194</v>
      </c>
    </row>
    <row r="13" spans="1:6" ht="360" x14ac:dyDescent="0.3">
      <c r="A13" s="2417"/>
      <c r="B13" s="299" t="s">
        <v>195</v>
      </c>
      <c r="C13" s="298" t="s">
        <v>196</v>
      </c>
      <c r="E13" s="2412"/>
      <c r="F13" s="299" t="s">
        <v>197</v>
      </c>
    </row>
    <row r="14" spans="1:6" ht="28.8" x14ac:dyDescent="0.3">
      <c r="A14" s="2417"/>
      <c r="B14" s="297" t="s">
        <v>198</v>
      </c>
      <c r="C14" s="298" t="s">
        <v>199</v>
      </c>
      <c r="E14" s="2412"/>
      <c r="F14" s="468" t="s">
        <v>200</v>
      </c>
    </row>
    <row r="15" spans="1:6" ht="28.8" x14ac:dyDescent="0.3">
      <c r="A15" s="2417"/>
      <c r="B15" s="695" t="s">
        <v>201</v>
      </c>
      <c r="C15" s="696"/>
      <c r="E15" s="2412"/>
      <c r="F15" s="299" t="s">
        <v>202</v>
      </c>
    </row>
    <row r="16" spans="1:6" ht="57.6" x14ac:dyDescent="0.3">
      <c r="A16" s="2417"/>
      <c r="B16" s="297" t="s">
        <v>203</v>
      </c>
      <c r="C16" s="697" t="s">
        <v>204</v>
      </c>
      <c r="F16" s="317"/>
    </row>
    <row r="17" spans="1:6" x14ac:dyDescent="0.3">
      <c r="A17" s="2417"/>
      <c r="B17" s="300"/>
      <c r="C17" s="300"/>
      <c r="F17" s="317"/>
    </row>
    <row r="18" spans="1:6" ht="57.6" x14ac:dyDescent="0.3">
      <c r="A18" s="2417"/>
      <c r="B18" s="297" t="s">
        <v>205</v>
      </c>
      <c r="C18" s="299" t="s">
        <v>206</v>
      </c>
      <c r="F18" s="317"/>
    </row>
    <row r="19" spans="1:6" x14ac:dyDescent="0.3">
      <c r="A19" s="2417"/>
      <c r="B19" s="300"/>
      <c r="C19" s="300"/>
      <c r="F19" s="317"/>
    </row>
    <row r="20" spans="1:6" ht="72" x14ac:dyDescent="0.3">
      <c r="A20" s="2417"/>
      <c r="B20" s="297" t="s">
        <v>207</v>
      </c>
      <c r="C20" s="697" t="s">
        <v>208</v>
      </c>
      <c r="F20" s="317"/>
    </row>
    <row r="21" spans="1:6" x14ac:dyDescent="0.3">
      <c r="A21" s="2417"/>
      <c r="B21" s="301"/>
      <c r="C21" s="301"/>
      <c r="F21" s="317"/>
    </row>
    <row r="22" spans="1:6" x14ac:dyDescent="0.3">
      <c r="A22" s="2417"/>
      <c r="B22" s="301"/>
      <c r="C22" s="301"/>
      <c r="F22" s="317"/>
    </row>
    <row r="23" spans="1:6" x14ac:dyDescent="0.3">
      <c r="A23" s="2417"/>
      <c r="B23" s="301"/>
      <c r="C23" s="301"/>
      <c r="F23" s="317"/>
    </row>
    <row r="24" spans="1:6" x14ac:dyDescent="0.3">
      <c r="A24" s="2417"/>
      <c r="B24" s="301"/>
      <c r="C24" s="301"/>
      <c r="F24" s="317"/>
    </row>
    <row r="25" spans="1:6" x14ac:dyDescent="0.3">
      <c r="A25" s="2417"/>
      <c r="B25" s="301"/>
      <c r="C25" s="301">
        <v>10.5</v>
      </c>
      <c r="F25" s="317"/>
    </row>
    <row r="26" spans="1:6" x14ac:dyDescent="0.3">
      <c r="A26" s="2417"/>
      <c r="B26" s="301"/>
      <c r="C26" s="301">
        <f>EXP(C25)</f>
        <v>36315.502674246636</v>
      </c>
      <c r="F26" s="317"/>
    </row>
    <row r="27" spans="1:6" x14ac:dyDescent="0.3">
      <c r="A27" s="2417"/>
      <c r="B27" s="301"/>
      <c r="C27" s="301"/>
      <c r="F27" s="317"/>
    </row>
    <row r="28" spans="1:6" x14ac:dyDescent="0.3">
      <c r="A28" s="2417"/>
      <c r="B28" s="301"/>
      <c r="C28" s="301"/>
      <c r="F28" s="317"/>
    </row>
    <row r="29" spans="1:6" x14ac:dyDescent="0.3">
      <c r="A29" s="2417"/>
      <c r="B29" s="301"/>
      <c r="C29" s="301"/>
      <c r="F29" s="317"/>
    </row>
    <row r="30" spans="1:6" x14ac:dyDescent="0.3">
      <c r="A30" s="2417"/>
      <c r="B30" s="301"/>
      <c r="C30" s="301"/>
      <c r="F30" s="317"/>
    </row>
    <row r="31" spans="1:6" x14ac:dyDescent="0.3">
      <c r="A31" s="2417"/>
      <c r="B31" s="301"/>
      <c r="C31" s="301"/>
      <c r="F31" s="318"/>
    </row>
    <row r="32" spans="1:6" x14ac:dyDescent="0.3">
      <c r="A32" s="2417"/>
      <c r="B32" s="301"/>
      <c r="C32" s="301"/>
      <c r="F32" s="318"/>
    </row>
    <row r="33" spans="1:6" x14ac:dyDescent="0.3">
      <c r="A33" s="2417"/>
      <c r="B33" s="301"/>
      <c r="C33" s="301"/>
      <c r="F33" s="318"/>
    </row>
    <row r="34" spans="1:6" x14ac:dyDescent="0.3">
      <c r="A34" s="2417"/>
      <c r="B34" s="301"/>
      <c r="C34" s="301"/>
    </row>
    <row r="35" spans="1:6" x14ac:dyDescent="0.3">
      <c r="A35" s="2417"/>
      <c r="B35" s="301"/>
      <c r="C35" s="301"/>
    </row>
    <row r="36" spans="1:6" x14ac:dyDescent="0.3">
      <c r="B36" s="301"/>
      <c r="C36" s="301"/>
    </row>
    <row r="37" spans="1:6" x14ac:dyDescent="0.3">
      <c r="B37" s="301"/>
      <c r="C37" s="301"/>
    </row>
    <row r="38" spans="1:6" x14ac:dyDescent="0.3">
      <c r="B38" s="301"/>
      <c r="C38" s="301"/>
    </row>
  </sheetData>
  <sheetProtection sheet="1" formatCells="0" formatColumns="0" formatRows="0" insertColumns="0" insertRows="0" insertHyperlinks="0" sort="0" autoFilter="0"/>
  <mergeCells count="3">
    <mergeCell ref="E4:E15"/>
    <mergeCell ref="A2:F2"/>
    <mergeCell ref="A4:A35"/>
  </mergeCells>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tabColor theme="4" tint="0.59999389629810485"/>
  </sheetPr>
  <dimension ref="A1:BL61"/>
  <sheetViews>
    <sheetView zoomScaleNormal="100" workbookViewId="0">
      <pane xSplit="2" ySplit="3" topLeftCell="C35" activePane="bottomRight" state="frozen"/>
      <selection pane="topRight" activeCell="C15" sqref="C15"/>
      <selection pane="bottomLeft" activeCell="C15" sqref="C15"/>
      <selection pane="bottomRight" activeCell="AB46" sqref="AB46"/>
    </sheetView>
  </sheetViews>
  <sheetFormatPr defaultRowHeight="14.4" x14ac:dyDescent="0.3"/>
  <cols>
    <col min="1" max="1" width="19.6640625" customWidth="1"/>
    <col min="2" max="2" width="10.33203125" customWidth="1"/>
    <col min="3" max="3" width="9.33203125" bestFit="1" customWidth="1"/>
    <col min="4" max="4" width="9.33203125" customWidth="1"/>
    <col min="5" max="5" width="8.109375" bestFit="1" customWidth="1"/>
    <col min="6" max="6" width="10.33203125" bestFit="1" customWidth="1"/>
    <col min="7" max="7" width="65.6640625" customWidth="1"/>
    <col min="8" max="16" width="4.44140625" customWidth="1"/>
    <col min="17" max="17" width="13" customWidth="1"/>
    <col min="18" max="18" width="5.33203125" bestFit="1" customWidth="1"/>
    <col min="19" max="19" width="9.6640625" customWidth="1"/>
    <col min="20" max="20" width="8.6640625" bestFit="1" customWidth="1"/>
    <col min="21" max="21" width="9.44140625" customWidth="1"/>
    <col min="22" max="22" width="9.33203125" bestFit="1" customWidth="1"/>
    <col min="23" max="25" width="14.44140625" customWidth="1"/>
    <col min="26" max="26" width="8.5546875" bestFit="1" customWidth="1"/>
    <col min="27" max="27" width="55.6640625" customWidth="1"/>
    <col min="28" max="28" width="15.5546875" bestFit="1" customWidth="1"/>
    <col min="29" max="29" width="9.6640625" customWidth="1"/>
    <col min="30" max="30" width="9.33203125" customWidth="1"/>
    <col min="31" max="31" width="6.6640625" bestFit="1" customWidth="1"/>
    <col min="32" max="32" width="6.6640625" customWidth="1"/>
    <col min="33" max="34" width="7.5546875" customWidth="1"/>
    <col min="35" max="35" width="43.6640625" customWidth="1"/>
    <col min="36" max="36" width="29.33203125" customWidth="1"/>
    <col min="37" max="37" width="27.33203125" customWidth="1"/>
  </cols>
  <sheetData>
    <row r="1" spans="1:64" s="2" customFormat="1" ht="26.7" customHeight="1" x14ac:dyDescent="0.3">
      <c r="A1" s="2418" t="s">
        <v>209</v>
      </c>
      <c r="B1" s="2421" t="s">
        <v>210</v>
      </c>
      <c r="C1" s="2429" t="s">
        <v>211</v>
      </c>
      <c r="D1" s="2430"/>
      <c r="E1" s="2431"/>
      <c r="F1" s="2431"/>
      <c r="G1" s="2432"/>
      <c r="H1" s="2470" t="s">
        <v>212</v>
      </c>
      <c r="I1" s="2471"/>
      <c r="J1" s="2471"/>
      <c r="K1" s="2471"/>
      <c r="L1" s="2471"/>
      <c r="M1" s="2471"/>
      <c r="N1" s="2471"/>
      <c r="O1" s="2471"/>
      <c r="P1" s="2471"/>
      <c r="Q1" s="2471"/>
      <c r="R1" s="2471"/>
      <c r="S1" s="2471"/>
      <c r="T1" s="2471"/>
      <c r="U1" s="2472"/>
      <c r="V1" s="2460" t="s">
        <v>213</v>
      </c>
      <c r="W1" s="2461"/>
      <c r="X1" s="2461"/>
      <c r="Y1" s="2461"/>
      <c r="Z1" s="2462"/>
      <c r="AA1" s="2463"/>
      <c r="AB1" s="2424" t="s">
        <v>214</v>
      </c>
      <c r="AC1" s="2425"/>
      <c r="AD1" s="2425"/>
      <c r="AE1" s="2425"/>
      <c r="AF1" s="2426"/>
      <c r="AG1" s="2426"/>
      <c r="AH1" s="2427"/>
      <c r="AI1" s="2428"/>
      <c r="AJ1" s="2464" t="s">
        <v>215</v>
      </c>
      <c r="AK1" s="2467" t="s">
        <v>216</v>
      </c>
      <c r="AL1" s="2457" t="s">
        <v>217</v>
      </c>
      <c r="AM1"/>
      <c r="AU1"/>
      <c r="AV1"/>
      <c r="AW1"/>
      <c r="AX1"/>
      <c r="AY1"/>
      <c r="AZ1"/>
      <c r="BA1"/>
      <c r="BB1"/>
      <c r="BC1"/>
      <c r="BD1"/>
      <c r="BE1"/>
      <c r="BF1"/>
      <c r="BG1"/>
      <c r="BH1"/>
      <c r="BI1"/>
      <c r="BJ1"/>
      <c r="BK1"/>
      <c r="BL1"/>
    </row>
    <row r="2" spans="1:64" s="2" customFormat="1" ht="26.7" customHeight="1" x14ac:dyDescent="0.3">
      <c r="A2" s="2419"/>
      <c r="B2" s="2422"/>
      <c r="C2" s="2437" t="s">
        <v>218</v>
      </c>
      <c r="D2" s="2439" t="s">
        <v>219</v>
      </c>
      <c r="E2" s="2439" t="s">
        <v>220</v>
      </c>
      <c r="F2" s="2441" t="s">
        <v>221</v>
      </c>
      <c r="G2" s="2443" t="s">
        <v>222</v>
      </c>
      <c r="H2" s="2473" t="s">
        <v>218</v>
      </c>
      <c r="I2" s="2474"/>
      <c r="J2" s="2474"/>
      <c r="K2" s="2474" t="s">
        <v>219</v>
      </c>
      <c r="L2" s="2474"/>
      <c r="M2" s="2474"/>
      <c r="N2" s="2474" t="s">
        <v>220</v>
      </c>
      <c r="O2" s="2474"/>
      <c r="P2" s="2474"/>
      <c r="Q2" s="2453" t="s">
        <v>223</v>
      </c>
      <c r="R2" s="2450" t="s">
        <v>224</v>
      </c>
      <c r="S2" s="2450"/>
      <c r="T2" s="2450"/>
      <c r="U2" s="2475" t="s">
        <v>222</v>
      </c>
      <c r="V2" s="2481" t="s">
        <v>225</v>
      </c>
      <c r="W2" s="2447" t="s">
        <v>226</v>
      </c>
      <c r="X2" s="2447" t="s">
        <v>227</v>
      </c>
      <c r="Y2" s="2447" t="s">
        <v>228</v>
      </c>
      <c r="Z2" s="2447" t="s">
        <v>229</v>
      </c>
      <c r="AA2" s="2477" t="s">
        <v>222</v>
      </c>
      <c r="AB2" s="2433" t="s">
        <v>230</v>
      </c>
      <c r="AC2" s="2479" t="s">
        <v>231</v>
      </c>
      <c r="AD2" s="2451" t="s">
        <v>232</v>
      </c>
      <c r="AE2" s="2445" t="s">
        <v>233</v>
      </c>
      <c r="AF2" s="2446"/>
      <c r="AG2" s="2446"/>
      <c r="AH2" s="2446"/>
      <c r="AI2" s="2435" t="s">
        <v>222</v>
      </c>
      <c r="AJ2" s="2465"/>
      <c r="AK2" s="2468"/>
      <c r="AL2" s="2458"/>
      <c r="AM2"/>
      <c r="AU2"/>
      <c r="AV2"/>
      <c r="AW2"/>
      <c r="AX2"/>
      <c r="AY2"/>
      <c r="AZ2"/>
      <c r="BA2"/>
      <c r="BB2"/>
      <c r="BC2"/>
      <c r="BD2"/>
      <c r="BE2"/>
      <c r="BF2"/>
      <c r="BG2"/>
      <c r="BH2"/>
      <c r="BI2"/>
      <c r="BJ2"/>
      <c r="BK2"/>
      <c r="BL2"/>
    </row>
    <row r="3" spans="1:64" s="1" customFormat="1" ht="43.8" thickBot="1" x14ac:dyDescent="0.35">
      <c r="A3" s="2420"/>
      <c r="B3" s="2423"/>
      <c r="C3" s="2438"/>
      <c r="D3" s="2440"/>
      <c r="E3" s="2440"/>
      <c r="F3" s="2442"/>
      <c r="G3" s="2444"/>
      <c r="H3" s="328" t="s">
        <v>234</v>
      </c>
      <c r="I3" s="329" t="s">
        <v>235</v>
      </c>
      <c r="J3" s="329" t="s">
        <v>236</v>
      </c>
      <c r="K3" s="329" t="s">
        <v>234</v>
      </c>
      <c r="L3" s="329" t="s">
        <v>235</v>
      </c>
      <c r="M3" s="329" t="s">
        <v>236</v>
      </c>
      <c r="N3" s="329" t="s">
        <v>234</v>
      </c>
      <c r="O3" s="329" t="s">
        <v>235</v>
      </c>
      <c r="P3" s="329" t="s">
        <v>236</v>
      </c>
      <c r="Q3" s="2454"/>
      <c r="R3" s="356" t="s">
        <v>237</v>
      </c>
      <c r="S3" s="357" t="s">
        <v>238</v>
      </c>
      <c r="T3" s="357" t="s">
        <v>239</v>
      </c>
      <c r="U3" s="2476"/>
      <c r="V3" s="2482"/>
      <c r="W3" s="2448"/>
      <c r="X3" s="2448"/>
      <c r="Y3" s="2448"/>
      <c r="Z3" s="2448"/>
      <c r="AA3" s="2478"/>
      <c r="AB3" s="2434"/>
      <c r="AC3" s="2480"/>
      <c r="AD3" s="2452"/>
      <c r="AE3" s="1061" t="s">
        <v>234</v>
      </c>
      <c r="AF3" s="1061" t="s">
        <v>240</v>
      </c>
      <c r="AG3" s="1061" t="s">
        <v>241</v>
      </c>
      <c r="AH3" s="1061" t="s">
        <v>242</v>
      </c>
      <c r="AI3" s="2436"/>
      <c r="AJ3" s="2466"/>
      <c r="AK3" s="2469"/>
      <c r="AL3" s="2459" t="s">
        <v>217</v>
      </c>
      <c r="AM3"/>
      <c r="AU3"/>
      <c r="AV3"/>
      <c r="AW3"/>
      <c r="AX3"/>
      <c r="AY3"/>
      <c r="AZ3"/>
      <c r="BA3"/>
      <c r="BB3"/>
      <c r="BC3"/>
      <c r="BD3"/>
      <c r="BE3"/>
      <c r="BF3"/>
      <c r="BG3"/>
      <c r="BH3"/>
      <c r="BI3"/>
      <c r="BJ3"/>
      <c r="BK3"/>
      <c r="BL3"/>
    </row>
    <row r="4" spans="1:64" s="1" customFormat="1" x14ac:dyDescent="0.3">
      <c r="A4" s="244" t="s">
        <v>243</v>
      </c>
      <c r="B4" s="351">
        <v>1980</v>
      </c>
      <c r="C4" s="819"/>
      <c r="D4" s="820"/>
      <c r="E4" s="821"/>
      <c r="F4" s="311" t="str">
        <f>IF(C4,SUM(C4:E4),"")</f>
        <v/>
      </c>
      <c r="G4" s="362"/>
      <c r="H4" s="2266"/>
      <c r="I4" s="2267"/>
      <c r="J4" s="2268"/>
      <c r="K4" s="2269"/>
      <c r="L4" s="2267"/>
      <c r="M4" s="2268"/>
      <c r="N4" s="2269"/>
      <c r="O4" s="2267"/>
      <c r="P4" s="2270"/>
      <c r="Q4" s="401"/>
      <c r="R4" s="358" t="str">
        <f>IF(0&lt;(SUM(H4,K4,N4)),SUM(H4,K4,N4),"")</f>
        <v/>
      </c>
      <c r="S4" s="278" t="str">
        <f>IF(ISNUMBER($R4),(IF(ISNUMBER($H4),$I4*H4)+IF(ISNUMBER($K4),$K4*L4)+IF(ISNUMBER($N4),$N4*O4))/$R4,"")</f>
        <v/>
      </c>
      <c r="T4" s="278" t="str">
        <f>IF(ISNUMBER($R4),(IF(ISNUMBER($H4),$H4*J4)+IF(ISNUMBER($K4),$K4*M4)+IF(ISNUMBER($N4),$N4*P4))/$R4,"")</f>
        <v/>
      </c>
      <c r="U4" s="276"/>
      <c r="V4" s="321"/>
      <c r="W4" s="322"/>
      <c r="X4" s="322"/>
      <c r="Y4" s="322"/>
      <c r="Z4" s="323"/>
      <c r="AA4" s="225"/>
      <c r="AB4" s="2271"/>
      <c r="AC4" s="2272"/>
      <c r="AD4" s="2272"/>
      <c r="AE4" s="2273"/>
      <c r="AF4" s="2274"/>
      <c r="AG4" s="2275"/>
      <c r="AH4" s="2275"/>
      <c r="AI4" s="2276"/>
      <c r="AJ4" s="682"/>
      <c r="AK4" s="57"/>
      <c r="AL4" s="324"/>
      <c r="AM4"/>
      <c r="AU4"/>
      <c r="AV4"/>
      <c r="AW4"/>
      <c r="AX4"/>
      <c r="AY4"/>
      <c r="AZ4"/>
      <c r="BA4"/>
      <c r="BB4"/>
      <c r="BC4"/>
      <c r="BD4"/>
      <c r="BE4"/>
      <c r="BF4"/>
      <c r="BG4"/>
      <c r="BH4"/>
      <c r="BI4"/>
      <c r="BJ4"/>
      <c r="BK4"/>
      <c r="BL4"/>
    </row>
    <row r="5" spans="1:64" s="1" customFormat="1" x14ac:dyDescent="0.3">
      <c r="A5" s="244" t="s">
        <v>243</v>
      </c>
      <c r="B5" s="352">
        <v>1981</v>
      </c>
      <c r="C5" s="819"/>
      <c r="D5" s="820"/>
      <c r="E5" s="821"/>
      <c r="F5" s="311" t="str">
        <f>IF(C5,SUM(C5:E5),"")</f>
        <v/>
      </c>
      <c r="G5" s="362"/>
      <c r="H5" s="2266"/>
      <c r="I5" s="2267"/>
      <c r="J5" s="2268"/>
      <c r="K5" s="2269"/>
      <c r="L5" s="2267"/>
      <c r="M5" s="2268"/>
      <c r="N5" s="2269"/>
      <c r="O5" s="2267"/>
      <c r="P5" s="2270"/>
      <c r="Q5" s="401"/>
      <c r="R5" s="359" t="str">
        <f t="shared" ref="R5:R58" si="0">IF(0&lt;(SUM(H5,K5,N5)),SUM(H5,K5,N5),"")</f>
        <v/>
      </c>
      <c r="S5" s="279" t="str">
        <f t="shared" ref="S5:S58" si="1">IF(ISNUMBER($R5),(IF(ISNUMBER($H5),$I5*H5)+IF(ISNUMBER($K5),$K5*L5)+IF(ISNUMBER($N5),$N5*O5))/$R5,"")</f>
        <v/>
      </c>
      <c r="T5" s="279" t="str">
        <f t="shared" ref="T5:T58" si="2">IF(ISNUMBER($R5),(IF(ISNUMBER($H5),$H5*J5)+IF(ISNUMBER($K5),$K5*M5)+IF(ISNUMBER($N5),$N5*P5))/$R5,"")</f>
        <v/>
      </c>
      <c r="U5" s="276"/>
      <c r="V5" s="321"/>
      <c r="W5" s="322"/>
      <c r="X5" s="322"/>
      <c r="Y5" s="322"/>
      <c r="Z5" s="323"/>
      <c r="AA5" s="225"/>
      <c r="AB5" s="2271"/>
      <c r="AC5" s="2277"/>
      <c r="AD5" s="2277"/>
      <c r="AE5" s="2278"/>
      <c r="AF5" s="2279"/>
      <c r="AG5" s="2280"/>
      <c r="AH5" s="2280"/>
      <c r="AI5" s="2281"/>
      <c r="AJ5" s="682"/>
      <c r="AK5" s="57"/>
      <c r="AL5" s="324"/>
      <c r="AM5"/>
      <c r="AU5"/>
      <c r="AV5"/>
      <c r="AW5"/>
      <c r="AX5"/>
      <c r="AY5"/>
      <c r="AZ5"/>
      <c r="BA5"/>
      <c r="BB5"/>
      <c r="BC5"/>
      <c r="BD5"/>
      <c r="BE5"/>
      <c r="BF5"/>
      <c r="BG5"/>
      <c r="BH5"/>
      <c r="BI5"/>
      <c r="BJ5"/>
      <c r="BK5"/>
      <c r="BL5"/>
    </row>
    <row r="6" spans="1:64" s="1" customFormat="1" x14ac:dyDescent="0.3">
      <c r="A6" s="244" t="s">
        <v>243</v>
      </c>
      <c r="B6" s="352">
        <v>1982</v>
      </c>
      <c r="C6" s="819"/>
      <c r="D6" s="820"/>
      <c r="E6" s="821"/>
      <c r="F6" s="311" t="str">
        <f>IF(C6,SUM(C6:E6),"")</f>
        <v/>
      </c>
      <c r="G6" s="362"/>
      <c r="H6" s="2266"/>
      <c r="I6" s="2267"/>
      <c r="J6" s="2268"/>
      <c r="K6" s="2269"/>
      <c r="L6" s="2267"/>
      <c r="M6" s="2268"/>
      <c r="N6" s="2269"/>
      <c r="O6" s="2267"/>
      <c r="P6" s="2270"/>
      <c r="Q6" s="401"/>
      <c r="R6" s="359" t="str">
        <f t="shared" si="0"/>
        <v/>
      </c>
      <c r="S6" s="279" t="str">
        <f t="shared" si="1"/>
        <v/>
      </c>
      <c r="T6" s="279" t="str">
        <f t="shared" si="2"/>
        <v/>
      </c>
      <c r="U6" s="276"/>
      <c r="V6" s="321"/>
      <c r="W6" s="322"/>
      <c r="X6" s="322"/>
      <c r="Y6" s="322"/>
      <c r="Z6" s="323"/>
      <c r="AA6" s="225"/>
      <c r="AB6" s="2271"/>
      <c r="AC6" s="2277"/>
      <c r="AD6" s="2277"/>
      <c r="AE6" s="2278"/>
      <c r="AF6" s="2279"/>
      <c r="AG6" s="2280"/>
      <c r="AH6" s="2280"/>
      <c r="AI6" s="2281"/>
      <c r="AJ6" s="682"/>
      <c r="AK6" s="57"/>
      <c r="AL6" s="324"/>
      <c r="AM6"/>
      <c r="AU6"/>
      <c r="AV6"/>
      <c r="AW6"/>
      <c r="AX6"/>
      <c r="AY6"/>
      <c r="AZ6"/>
      <c r="BA6"/>
      <c r="BB6"/>
      <c r="BC6"/>
      <c r="BD6"/>
      <c r="BE6"/>
      <c r="BF6"/>
      <c r="BG6"/>
      <c r="BH6"/>
      <c r="BI6"/>
      <c r="BJ6"/>
      <c r="BK6"/>
      <c r="BL6"/>
    </row>
    <row r="7" spans="1:64" s="1" customFormat="1" x14ac:dyDescent="0.3">
      <c r="A7" s="244" t="s">
        <v>243</v>
      </c>
      <c r="B7" s="352">
        <v>1983</v>
      </c>
      <c r="C7" s="819"/>
      <c r="D7" s="820"/>
      <c r="E7" s="821"/>
      <c r="F7" s="311" t="str">
        <f>IF(C7,SUM(C7:E7),"")</f>
        <v/>
      </c>
      <c r="G7" s="362"/>
      <c r="H7" s="2266"/>
      <c r="I7" s="2267"/>
      <c r="J7" s="2268"/>
      <c r="K7" s="2269"/>
      <c r="L7" s="2267"/>
      <c r="M7" s="2268"/>
      <c r="N7" s="2269"/>
      <c r="O7" s="2268"/>
      <c r="P7" s="2270"/>
      <c r="Q7" s="401"/>
      <c r="R7" s="359" t="str">
        <f t="shared" si="0"/>
        <v/>
      </c>
      <c r="S7" s="279" t="str">
        <f t="shared" si="1"/>
        <v/>
      </c>
      <c r="T7" s="279" t="str">
        <f t="shared" si="2"/>
        <v/>
      </c>
      <c r="U7" s="276"/>
      <c r="V7" s="321"/>
      <c r="W7" s="322"/>
      <c r="X7" s="322"/>
      <c r="Y7" s="322"/>
      <c r="Z7" s="323"/>
      <c r="AA7" s="225"/>
      <c r="AB7" s="2271"/>
      <c r="AC7" s="2277"/>
      <c r="AD7" s="2277"/>
      <c r="AE7" s="2278"/>
      <c r="AF7" s="2279"/>
      <c r="AG7" s="2280"/>
      <c r="AH7" s="2280"/>
      <c r="AI7" s="2281"/>
      <c r="AJ7" s="682"/>
      <c r="AK7" s="57"/>
      <c r="AL7" s="324"/>
      <c r="AM7"/>
      <c r="AU7"/>
      <c r="AV7"/>
      <c r="AW7"/>
      <c r="AX7"/>
      <c r="AY7"/>
      <c r="AZ7"/>
      <c r="BA7"/>
      <c r="BB7"/>
      <c r="BC7"/>
      <c r="BD7"/>
      <c r="BE7"/>
      <c r="BF7"/>
      <c r="BG7"/>
      <c r="BH7"/>
      <c r="BI7"/>
      <c r="BJ7"/>
      <c r="BK7"/>
      <c r="BL7"/>
    </row>
    <row r="8" spans="1:64" s="1" customFormat="1" x14ac:dyDescent="0.3">
      <c r="A8" s="244" t="s">
        <v>243</v>
      </c>
      <c r="B8" s="352">
        <v>1984</v>
      </c>
      <c r="C8" s="819"/>
      <c r="D8" s="820"/>
      <c r="E8" s="821"/>
      <c r="F8" s="311" t="str">
        <f>IF(C8,SUM(C8:E8),"")</f>
        <v/>
      </c>
      <c r="G8" s="941" t="s">
        <v>244</v>
      </c>
      <c r="H8" s="2266"/>
      <c r="I8" s="2267"/>
      <c r="J8" s="2268"/>
      <c r="K8" s="2269"/>
      <c r="L8" s="2267"/>
      <c r="M8" s="2268"/>
      <c r="N8" s="2269"/>
      <c r="O8" s="2268"/>
      <c r="P8" s="2270"/>
      <c r="Q8" s="401"/>
      <c r="R8" s="359" t="str">
        <f t="shared" si="0"/>
        <v/>
      </c>
      <c r="S8" s="279" t="str">
        <f t="shared" si="1"/>
        <v/>
      </c>
      <c r="T8" s="279" t="str">
        <f t="shared" si="2"/>
        <v/>
      </c>
      <c r="U8" s="276"/>
      <c r="V8" s="321"/>
      <c r="W8" s="322"/>
      <c r="X8" s="322"/>
      <c r="Y8" s="322"/>
      <c r="Z8" s="323"/>
      <c r="AA8" s="225"/>
      <c r="AB8" s="2271"/>
      <c r="AC8" s="2277"/>
      <c r="AD8" s="2277"/>
      <c r="AE8" s="2278"/>
      <c r="AF8" s="2279"/>
      <c r="AG8" s="2280"/>
      <c r="AH8" s="2280"/>
      <c r="AI8" s="2281"/>
      <c r="AJ8" s="682"/>
      <c r="AK8" s="57"/>
      <c r="AL8" s="324"/>
      <c r="AM8"/>
      <c r="AU8"/>
      <c r="AV8"/>
      <c r="AW8"/>
      <c r="AX8"/>
      <c r="AY8"/>
      <c r="AZ8"/>
      <c r="BA8"/>
      <c r="BB8"/>
      <c r="BC8"/>
      <c r="BD8"/>
      <c r="BE8"/>
      <c r="BF8"/>
      <c r="BG8"/>
      <c r="BH8"/>
      <c r="BI8"/>
      <c r="BJ8"/>
      <c r="BK8"/>
      <c r="BL8"/>
    </row>
    <row r="9" spans="1:64" s="1" customFormat="1" hidden="1" x14ac:dyDescent="0.3">
      <c r="A9" s="244" t="s">
        <v>243</v>
      </c>
      <c r="B9" s="352">
        <v>1985</v>
      </c>
      <c r="C9" s="819"/>
      <c r="D9" s="820"/>
      <c r="E9" s="821"/>
      <c r="F9" s="311"/>
      <c r="G9" s="362"/>
      <c r="H9" s="2266" t="s">
        <v>245</v>
      </c>
      <c r="I9" s="2267"/>
      <c r="J9" s="2268"/>
      <c r="K9" s="2269"/>
      <c r="L9" s="2267"/>
      <c r="M9" s="2268"/>
      <c r="N9" s="2269"/>
      <c r="O9" s="2268"/>
      <c r="P9" s="2270"/>
      <c r="Q9" s="401"/>
      <c r="R9" s="359" t="str">
        <f t="shared" si="0"/>
        <v/>
      </c>
      <c r="S9" s="279" t="str">
        <f t="shared" si="1"/>
        <v/>
      </c>
      <c r="T9" s="279" t="str">
        <f t="shared" si="2"/>
        <v/>
      </c>
      <c r="U9" s="276"/>
      <c r="V9" s="321"/>
      <c r="W9" s="322"/>
      <c r="X9" s="322"/>
      <c r="Y9" s="322"/>
      <c r="Z9" s="323"/>
      <c r="AA9" s="510" t="s">
        <v>246</v>
      </c>
      <c r="AB9" s="680"/>
      <c r="AC9" s="530" t="s">
        <v>247</v>
      </c>
      <c r="AD9" s="530"/>
      <c r="AE9" s="531" t="s">
        <v>247</v>
      </c>
      <c r="AF9" s="2279"/>
      <c r="AG9" s="2280"/>
      <c r="AH9" s="2280"/>
      <c r="AI9" s="421"/>
      <c r="AJ9" s="682"/>
      <c r="AK9" s="1711" t="s">
        <v>248</v>
      </c>
      <c r="AL9" s="453" t="s">
        <v>249</v>
      </c>
      <c r="AM9"/>
      <c r="AU9"/>
      <c r="AV9"/>
      <c r="AW9"/>
      <c r="AX9"/>
      <c r="AY9"/>
      <c r="AZ9"/>
      <c r="BA9"/>
      <c r="BB9"/>
      <c r="BC9"/>
      <c r="BD9"/>
      <c r="BE9"/>
      <c r="BF9"/>
      <c r="BG9"/>
      <c r="BH9"/>
      <c r="BI9"/>
      <c r="BJ9"/>
      <c r="BK9"/>
      <c r="BL9"/>
    </row>
    <row r="10" spans="1:64" s="1" customFormat="1" hidden="1" x14ac:dyDescent="0.3">
      <c r="A10" s="244" t="s">
        <v>243</v>
      </c>
      <c r="B10" s="352">
        <v>1986</v>
      </c>
      <c r="C10" s="819"/>
      <c r="D10" s="820"/>
      <c r="E10" s="821"/>
      <c r="F10" s="311"/>
      <c r="G10" s="362"/>
      <c r="H10" s="2266" t="s">
        <v>245</v>
      </c>
      <c r="I10" s="2267"/>
      <c r="J10" s="2268"/>
      <c r="K10" s="2269"/>
      <c r="L10" s="2268"/>
      <c r="M10" s="2268"/>
      <c r="N10" s="2269"/>
      <c r="O10" s="2268"/>
      <c r="P10" s="2270"/>
      <c r="Q10" s="401"/>
      <c r="R10" s="359" t="str">
        <f t="shared" si="0"/>
        <v/>
      </c>
      <c r="S10" s="279" t="str">
        <f t="shared" si="1"/>
        <v/>
      </c>
      <c r="T10" s="279" t="str">
        <f t="shared" si="2"/>
        <v/>
      </c>
      <c r="U10" s="2282"/>
      <c r="V10" s="411"/>
      <c r="W10" s="412"/>
      <c r="X10" s="412"/>
      <c r="Y10" s="412"/>
      <c r="Z10" s="413"/>
      <c r="AA10" s="414"/>
      <c r="AB10" s="680"/>
      <c r="AC10" s="530" t="s">
        <v>247</v>
      </c>
      <c r="AD10" s="530"/>
      <c r="AE10" s="531" t="s">
        <v>247</v>
      </c>
      <c r="AF10" s="2279"/>
      <c r="AG10" s="2280"/>
      <c r="AH10" s="2280"/>
      <c r="AI10" s="421"/>
      <c r="AJ10" s="682"/>
      <c r="AK10" s="1711" t="s">
        <v>248</v>
      </c>
      <c r="AL10" s="453" t="s">
        <v>249</v>
      </c>
      <c r="AM10"/>
      <c r="AU10"/>
      <c r="AV10"/>
      <c r="AW10"/>
      <c r="AX10"/>
      <c r="AY10"/>
      <c r="AZ10"/>
      <c r="BA10"/>
      <c r="BB10"/>
      <c r="BC10"/>
      <c r="BD10"/>
      <c r="BE10"/>
      <c r="BF10"/>
      <c r="BG10"/>
      <c r="BH10"/>
      <c r="BI10"/>
      <c r="BJ10"/>
      <c r="BK10"/>
      <c r="BL10"/>
    </row>
    <row r="11" spans="1:64" hidden="1" x14ac:dyDescent="0.3">
      <c r="A11" s="244" t="s">
        <v>243</v>
      </c>
      <c r="B11" s="352">
        <v>1987</v>
      </c>
      <c r="C11" s="819"/>
      <c r="D11" s="820"/>
      <c r="E11" s="821"/>
      <c r="F11" s="311"/>
      <c r="G11" s="362"/>
      <c r="H11" s="2266" t="s">
        <v>245</v>
      </c>
      <c r="I11" s="2267"/>
      <c r="J11" s="2268"/>
      <c r="K11" s="2269"/>
      <c r="L11" s="2268"/>
      <c r="M11" s="2268"/>
      <c r="N11" s="402"/>
      <c r="O11" s="2268"/>
      <c r="P11" s="2270"/>
      <c r="Q11" s="401"/>
      <c r="R11" s="359" t="str">
        <f t="shared" si="0"/>
        <v/>
      </c>
      <c r="S11" s="279" t="str">
        <f t="shared" si="1"/>
        <v/>
      </c>
      <c r="T11" s="279" t="str">
        <f t="shared" si="2"/>
        <v/>
      </c>
      <c r="U11" s="2282"/>
      <c r="V11" s="411"/>
      <c r="W11" s="412"/>
      <c r="X11" s="412"/>
      <c r="Y11" s="412"/>
      <c r="Z11" s="413"/>
      <c r="AA11" s="414"/>
      <c r="AB11" s="680"/>
      <c r="AC11" s="530" t="s">
        <v>247</v>
      </c>
      <c r="AD11" s="530"/>
      <c r="AE11" s="531" t="s">
        <v>247</v>
      </c>
      <c r="AF11" s="2279"/>
      <c r="AG11" s="2280"/>
      <c r="AH11" s="2280"/>
      <c r="AI11" s="421"/>
      <c r="AJ11" s="682"/>
      <c r="AK11" s="1711" t="s">
        <v>248</v>
      </c>
      <c r="AL11" s="453" t="s">
        <v>249</v>
      </c>
    </row>
    <row r="12" spans="1:64" hidden="1" x14ac:dyDescent="0.3">
      <c r="A12" s="244" t="s">
        <v>243</v>
      </c>
      <c r="B12" s="352">
        <v>1988</v>
      </c>
      <c r="C12" s="819"/>
      <c r="D12" s="820"/>
      <c r="E12" s="821"/>
      <c r="F12" s="311"/>
      <c r="G12" s="362"/>
      <c r="H12" s="2266" t="s">
        <v>245</v>
      </c>
      <c r="I12" s="2267"/>
      <c r="J12" s="2268"/>
      <c r="K12" s="2269"/>
      <c r="L12" s="2268"/>
      <c r="M12" s="2268"/>
      <c r="N12" s="402"/>
      <c r="O12" s="2268"/>
      <c r="P12" s="2270"/>
      <c r="Q12" s="401"/>
      <c r="R12" s="359" t="str">
        <f t="shared" si="0"/>
        <v/>
      </c>
      <c r="S12" s="279" t="str">
        <f t="shared" si="1"/>
        <v/>
      </c>
      <c r="T12" s="279" t="str">
        <f t="shared" si="2"/>
        <v/>
      </c>
      <c r="U12" s="2282"/>
      <c r="V12" s="411"/>
      <c r="W12" s="412"/>
      <c r="X12" s="412"/>
      <c r="Y12" s="412"/>
      <c r="Z12" s="413"/>
      <c r="AA12" s="414"/>
      <c r="AB12" s="680"/>
      <c r="AC12" s="530" t="s">
        <v>247</v>
      </c>
      <c r="AD12" s="530"/>
      <c r="AE12" s="531" t="s">
        <v>247</v>
      </c>
      <c r="AF12" s="2279"/>
      <c r="AG12" s="2280"/>
      <c r="AH12" s="2280"/>
      <c r="AI12" s="421"/>
      <c r="AJ12" s="683"/>
      <c r="AK12" s="1711" t="s">
        <v>248</v>
      </c>
      <c r="AL12" s="453" t="s">
        <v>249</v>
      </c>
    </row>
    <row r="13" spans="1:64" hidden="1" x14ac:dyDescent="0.3">
      <c r="A13" s="244" t="s">
        <v>243</v>
      </c>
      <c r="B13" s="352">
        <v>1989</v>
      </c>
      <c r="C13" s="819"/>
      <c r="D13" s="820"/>
      <c r="E13" s="821"/>
      <c r="F13" s="311"/>
      <c r="G13" s="362"/>
      <c r="H13" s="2266" t="s">
        <v>245</v>
      </c>
      <c r="I13" s="2267"/>
      <c r="J13" s="2268"/>
      <c r="K13" s="2269"/>
      <c r="L13" s="2268"/>
      <c r="M13" s="2268"/>
      <c r="N13" s="402"/>
      <c r="O13" s="403"/>
      <c r="P13" s="404"/>
      <c r="Q13" s="401"/>
      <c r="R13" s="359" t="str">
        <f t="shared" si="0"/>
        <v/>
      </c>
      <c r="S13" s="279" t="str">
        <f t="shared" si="1"/>
        <v/>
      </c>
      <c r="T13" s="279" t="str">
        <f t="shared" si="2"/>
        <v/>
      </c>
      <c r="U13" s="2282"/>
      <c r="V13" s="411"/>
      <c r="W13" s="412"/>
      <c r="X13" s="412"/>
      <c r="Y13" s="412"/>
      <c r="Z13" s="413"/>
      <c r="AA13" s="414"/>
      <c r="AB13" s="680"/>
      <c r="AC13" s="530" t="s">
        <v>247</v>
      </c>
      <c r="AD13" s="530"/>
      <c r="AE13" s="531" t="s">
        <v>247</v>
      </c>
      <c r="AF13" s="2279"/>
      <c r="AG13" s="2280"/>
      <c r="AH13" s="2280"/>
      <c r="AI13" s="421"/>
      <c r="AJ13" s="682"/>
      <c r="AK13" s="1711" t="s">
        <v>248</v>
      </c>
      <c r="AL13" s="453" t="s">
        <v>249</v>
      </c>
    </row>
    <row r="14" spans="1:64" hidden="1" x14ac:dyDescent="0.3">
      <c r="A14" s="244" t="s">
        <v>243</v>
      </c>
      <c r="B14" s="352">
        <v>1990</v>
      </c>
      <c r="C14" s="819"/>
      <c r="D14" s="820"/>
      <c r="E14" s="821"/>
      <c r="F14" s="311"/>
      <c r="G14" s="362"/>
      <c r="H14" s="2266" t="s">
        <v>245</v>
      </c>
      <c r="I14" s="2267"/>
      <c r="J14" s="2268"/>
      <c r="K14" s="2269"/>
      <c r="L14" s="2268"/>
      <c r="M14" s="2268"/>
      <c r="N14" s="2269"/>
      <c r="O14" s="2268"/>
      <c r="P14" s="2270"/>
      <c r="Q14" s="401"/>
      <c r="R14" s="359" t="str">
        <f t="shared" si="0"/>
        <v/>
      </c>
      <c r="S14" s="279" t="str">
        <f t="shared" si="1"/>
        <v/>
      </c>
      <c r="T14" s="279" t="str">
        <f t="shared" si="2"/>
        <v/>
      </c>
      <c r="U14" s="2282"/>
      <c r="V14" s="411"/>
      <c r="W14" s="412"/>
      <c r="X14" s="412"/>
      <c r="Y14" s="412"/>
      <c r="Z14" s="413"/>
      <c r="AA14" s="414"/>
      <c r="AB14" s="680"/>
      <c r="AC14" s="530" t="s">
        <v>247</v>
      </c>
      <c r="AD14" s="530"/>
      <c r="AE14" s="531" t="s">
        <v>247</v>
      </c>
      <c r="AF14" s="2279"/>
      <c r="AG14" s="2280"/>
      <c r="AH14" s="2280"/>
      <c r="AI14" s="421"/>
      <c r="AJ14" s="682"/>
      <c r="AK14" s="1711" t="s">
        <v>248</v>
      </c>
      <c r="AL14" s="453" t="s">
        <v>249</v>
      </c>
    </row>
    <row r="15" spans="1:64" hidden="1" x14ac:dyDescent="0.3">
      <c r="A15" s="244" t="s">
        <v>243</v>
      </c>
      <c r="B15" s="352">
        <v>1991</v>
      </c>
      <c r="C15" s="819"/>
      <c r="D15" s="820"/>
      <c r="E15" s="821"/>
      <c r="F15" s="311"/>
      <c r="G15" s="362"/>
      <c r="H15" s="2266" t="s">
        <v>245</v>
      </c>
      <c r="I15" s="2267"/>
      <c r="J15" s="2268"/>
      <c r="K15" s="2269"/>
      <c r="L15" s="2268"/>
      <c r="M15" s="2268"/>
      <c r="N15" s="2269"/>
      <c r="O15" s="2268"/>
      <c r="P15" s="2270"/>
      <c r="Q15" s="401"/>
      <c r="R15" s="359" t="str">
        <f t="shared" si="0"/>
        <v/>
      </c>
      <c r="S15" s="279" t="str">
        <f t="shared" si="1"/>
        <v/>
      </c>
      <c r="T15" s="279" t="str">
        <f t="shared" si="2"/>
        <v/>
      </c>
      <c r="U15" s="2282"/>
      <c r="V15" s="411"/>
      <c r="W15" s="412"/>
      <c r="X15" s="412"/>
      <c r="Y15" s="412"/>
      <c r="Z15" s="413"/>
      <c r="AA15" s="414"/>
      <c r="AB15" s="680"/>
      <c r="AC15" s="530" t="s">
        <v>247</v>
      </c>
      <c r="AD15" s="530"/>
      <c r="AE15" s="531" t="s">
        <v>247</v>
      </c>
      <c r="AF15" s="2279"/>
      <c r="AG15" s="2280"/>
      <c r="AH15" s="2280"/>
      <c r="AI15" s="421"/>
      <c r="AJ15" s="682"/>
      <c r="AK15" s="1711" t="s">
        <v>248</v>
      </c>
      <c r="AL15" s="453" t="s">
        <v>249</v>
      </c>
    </row>
    <row r="16" spans="1:64" hidden="1" x14ac:dyDescent="0.3">
      <c r="A16" s="244" t="s">
        <v>243</v>
      </c>
      <c r="B16" s="352">
        <v>1992</v>
      </c>
      <c r="C16" s="819"/>
      <c r="D16" s="820"/>
      <c r="E16" s="821"/>
      <c r="F16" s="311"/>
      <c r="G16" s="362"/>
      <c r="H16" s="2266" t="s">
        <v>245</v>
      </c>
      <c r="I16" s="2267"/>
      <c r="J16" s="2268"/>
      <c r="K16" s="2269"/>
      <c r="L16" s="2268"/>
      <c r="M16" s="2268"/>
      <c r="N16" s="402"/>
      <c r="O16" s="2268"/>
      <c r="P16" s="2270"/>
      <c r="Q16" s="401"/>
      <c r="R16" s="359" t="str">
        <f t="shared" si="0"/>
        <v/>
      </c>
      <c r="S16" s="279" t="str">
        <f t="shared" si="1"/>
        <v/>
      </c>
      <c r="T16" s="279" t="str">
        <f t="shared" si="2"/>
        <v/>
      </c>
      <c r="U16" s="2282"/>
      <c r="V16" s="411"/>
      <c r="W16" s="412"/>
      <c r="X16" s="412"/>
      <c r="Y16" s="412"/>
      <c r="Z16" s="413"/>
      <c r="AA16" s="414"/>
      <c r="AB16" s="680"/>
      <c r="AC16" s="530" t="s">
        <v>247</v>
      </c>
      <c r="AD16" s="530"/>
      <c r="AE16" s="531" t="s">
        <v>247</v>
      </c>
      <c r="AF16" s="2279"/>
      <c r="AG16" s="2280"/>
      <c r="AH16" s="2280"/>
      <c r="AI16" s="421"/>
      <c r="AJ16" s="682"/>
      <c r="AK16" s="1711" t="s">
        <v>248</v>
      </c>
      <c r="AL16" s="453" t="s">
        <v>249</v>
      </c>
    </row>
    <row r="17" spans="1:38" hidden="1" x14ac:dyDescent="0.3">
      <c r="A17" s="244" t="s">
        <v>243</v>
      </c>
      <c r="B17" s="352">
        <v>1993</v>
      </c>
      <c r="C17" s="819"/>
      <c r="D17" s="820"/>
      <c r="E17" s="821"/>
      <c r="F17" s="311"/>
      <c r="G17" s="362"/>
      <c r="H17" s="2266" t="s">
        <v>245</v>
      </c>
      <c r="I17" s="2267"/>
      <c r="J17" s="2268"/>
      <c r="K17" s="2269"/>
      <c r="L17" s="2268"/>
      <c r="M17" s="2268"/>
      <c r="N17" s="2269"/>
      <c r="O17" s="2268"/>
      <c r="P17" s="2270"/>
      <c r="Q17" s="401"/>
      <c r="R17" s="359" t="str">
        <f t="shared" si="0"/>
        <v/>
      </c>
      <c r="S17" s="279" t="str">
        <f t="shared" si="1"/>
        <v/>
      </c>
      <c r="T17" s="279" t="str">
        <f t="shared" si="2"/>
        <v/>
      </c>
      <c r="U17" s="2282"/>
      <c r="V17" s="411"/>
      <c r="W17" s="412"/>
      <c r="X17" s="412"/>
      <c r="Y17" s="412"/>
      <c r="Z17" s="413"/>
      <c r="AA17" s="414"/>
      <c r="AB17" s="680"/>
      <c r="AC17" s="530" t="s">
        <v>247</v>
      </c>
      <c r="AD17" s="530"/>
      <c r="AE17" s="531" t="s">
        <v>247</v>
      </c>
      <c r="AF17" s="2279"/>
      <c r="AG17" s="2280"/>
      <c r="AH17" s="2280"/>
      <c r="AI17" s="421"/>
      <c r="AJ17" s="682"/>
      <c r="AK17" s="1711" t="s">
        <v>248</v>
      </c>
      <c r="AL17" s="453" t="s">
        <v>249</v>
      </c>
    </row>
    <row r="18" spans="1:38" hidden="1" x14ac:dyDescent="0.3">
      <c r="A18" s="244" t="s">
        <v>243</v>
      </c>
      <c r="B18" s="352">
        <v>1994</v>
      </c>
      <c r="C18" s="819"/>
      <c r="D18" s="820"/>
      <c r="E18" s="821"/>
      <c r="F18" s="311"/>
      <c r="G18" s="362"/>
      <c r="H18" s="2266" t="s">
        <v>245</v>
      </c>
      <c r="I18" s="2267"/>
      <c r="J18" s="2268"/>
      <c r="K18" s="2269"/>
      <c r="L18" s="2268"/>
      <c r="M18" s="2268"/>
      <c r="N18" s="402"/>
      <c r="O18" s="403"/>
      <c r="P18" s="404"/>
      <c r="Q18" s="401"/>
      <c r="R18" s="359" t="str">
        <f t="shared" si="0"/>
        <v/>
      </c>
      <c r="S18" s="279" t="str">
        <f t="shared" si="1"/>
        <v/>
      </c>
      <c r="T18" s="279" t="str">
        <f t="shared" si="2"/>
        <v/>
      </c>
      <c r="U18" s="2282"/>
      <c r="V18" s="411"/>
      <c r="W18" s="412"/>
      <c r="X18" s="412"/>
      <c r="Y18" s="412"/>
      <c r="Z18" s="413"/>
      <c r="AA18" s="414"/>
      <c r="AB18" s="680"/>
      <c r="AC18" s="530" t="s">
        <v>247</v>
      </c>
      <c r="AD18" s="530"/>
      <c r="AE18" s="531" t="s">
        <v>247</v>
      </c>
      <c r="AF18" s="2279"/>
      <c r="AG18" s="2280"/>
      <c r="AH18" s="2280"/>
      <c r="AI18" s="421"/>
      <c r="AJ18" s="682"/>
      <c r="AK18" s="1711" t="s">
        <v>248</v>
      </c>
      <c r="AL18" s="453" t="s">
        <v>249</v>
      </c>
    </row>
    <row r="19" spans="1:38" hidden="1" x14ac:dyDescent="0.3">
      <c r="A19" s="244" t="s">
        <v>243</v>
      </c>
      <c r="B19" s="352">
        <v>1995</v>
      </c>
      <c r="C19" s="819"/>
      <c r="D19" s="820"/>
      <c r="E19" s="821"/>
      <c r="F19" s="311"/>
      <c r="G19" s="362"/>
      <c r="H19" s="2266" t="s">
        <v>245</v>
      </c>
      <c r="I19" s="2267"/>
      <c r="J19" s="2268"/>
      <c r="K19" s="2269"/>
      <c r="L19" s="2268"/>
      <c r="M19" s="2268"/>
      <c r="N19" s="402"/>
      <c r="O19" s="2268"/>
      <c r="P19" s="2270"/>
      <c r="Q19" s="401"/>
      <c r="R19" s="359" t="str">
        <f t="shared" si="0"/>
        <v/>
      </c>
      <c r="S19" s="279" t="str">
        <f t="shared" si="1"/>
        <v/>
      </c>
      <c r="T19" s="279" t="str">
        <f t="shared" si="2"/>
        <v/>
      </c>
      <c r="U19" s="2282"/>
      <c r="V19" s="411"/>
      <c r="W19" s="412"/>
      <c r="X19" s="412"/>
      <c r="Y19" s="412"/>
      <c r="Z19" s="413"/>
      <c r="AA19" s="414"/>
      <c r="AB19" s="680"/>
      <c r="AC19" s="530" t="s">
        <v>247</v>
      </c>
      <c r="AD19" s="530"/>
      <c r="AE19" s="531" t="s">
        <v>247</v>
      </c>
      <c r="AF19" s="2279"/>
      <c r="AG19" s="2280"/>
      <c r="AH19" s="2280"/>
      <c r="AI19" s="421"/>
      <c r="AJ19" s="682"/>
      <c r="AK19" s="1711" t="s">
        <v>248</v>
      </c>
      <c r="AL19" s="453" t="s">
        <v>249</v>
      </c>
    </row>
    <row r="20" spans="1:38" hidden="1" x14ac:dyDescent="0.3">
      <c r="A20" s="244" t="s">
        <v>243</v>
      </c>
      <c r="B20" s="352">
        <v>1996</v>
      </c>
      <c r="C20" s="819"/>
      <c r="D20" s="820"/>
      <c r="E20" s="821"/>
      <c r="F20" s="311"/>
      <c r="G20" s="362"/>
      <c r="H20" s="2266" t="s">
        <v>245</v>
      </c>
      <c r="I20" s="2267"/>
      <c r="J20" s="2268"/>
      <c r="K20" s="2269"/>
      <c r="L20" s="2268"/>
      <c r="M20" s="2268"/>
      <c r="N20" s="2269"/>
      <c r="O20" s="2268"/>
      <c r="P20" s="2270"/>
      <c r="Q20" s="401"/>
      <c r="R20" s="359" t="str">
        <f t="shared" si="0"/>
        <v/>
      </c>
      <c r="S20" s="279" t="str">
        <f t="shared" si="1"/>
        <v/>
      </c>
      <c r="T20" s="279" t="str">
        <f t="shared" si="2"/>
        <v/>
      </c>
      <c r="U20" s="2282"/>
      <c r="V20" s="411"/>
      <c r="W20" s="412"/>
      <c r="X20" s="412"/>
      <c r="Y20" s="412"/>
      <c r="Z20" s="413"/>
      <c r="AA20" s="414"/>
      <c r="AB20" s="680"/>
      <c r="AC20" s="530" t="s">
        <v>247</v>
      </c>
      <c r="AD20" s="530"/>
      <c r="AE20" s="531" t="s">
        <v>247</v>
      </c>
      <c r="AF20" s="2279"/>
      <c r="AG20" s="2280"/>
      <c r="AH20" s="2280"/>
      <c r="AI20" s="421"/>
      <c r="AJ20" s="682" t="s">
        <v>245</v>
      </c>
      <c r="AK20" s="1711" t="s">
        <v>248</v>
      </c>
      <c r="AL20" s="453" t="s">
        <v>249</v>
      </c>
    </row>
    <row r="21" spans="1:38" hidden="1" x14ac:dyDescent="0.3">
      <c r="A21" s="244" t="s">
        <v>243</v>
      </c>
      <c r="B21" s="352">
        <v>1997</v>
      </c>
      <c r="C21" s="819"/>
      <c r="D21" s="820"/>
      <c r="E21" s="821"/>
      <c r="F21" s="311"/>
      <c r="G21" s="362"/>
      <c r="H21" s="2266" t="s">
        <v>245</v>
      </c>
      <c r="I21" s="2267"/>
      <c r="J21" s="2268"/>
      <c r="K21" s="2269"/>
      <c r="L21" s="2268"/>
      <c r="M21" s="2268"/>
      <c r="N21" s="2269"/>
      <c r="O21" s="2268"/>
      <c r="P21" s="2270"/>
      <c r="Q21" s="401"/>
      <c r="R21" s="359" t="str">
        <f t="shared" si="0"/>
        <v/>
      </c>
      <c r="S21" s="279" t="str">
        <f t="shared" si="1"/>
        <v/>
      </c>
      <c r="T21" s="279" t="str">
        <f t="shared" si="2"/>
        <v/>
      </c>
      <c r="U21" s="2282"/>
      <c r="V21" s="411"/>
      <c r="W21" s="412"/>
      <c r="X21" s="412"/>
      <c r="Y21" s="412"/>
      <c r="Z21" s="413"/>
      <c r="AA21" s="414"/>
      <c r="AB21" s="680"/>
      <c r="AC21" s="530" t="s">
        <v>247</v>
      </c>
      <c r="AD21" s="530"/>
      <c r="AE21" s="531" t="s">
        <v>247</v>
      </c>
      <c r="AF21" s="2279"/>
      <c r="AG21" s="2280"/>
      <c r="AH21" s="2280"/>
      <c r="AI21" s="2281" t="s">
        <v>250</v>
      </c>
      <c r="AJ21" s="682"/>
      <c r="AK21" s="366"/>
      <c r="AL21" s="453" t="s">
        <v>249</v>
      </c>
    </row>
    <row r="22" spans="1:38" x14ac:dyDescent="0.3">
      <c r="A22" s="244" t="s">
        <v>243</v>
      </c>
      <c r="B22" s="352">
        <v>1998</v>
      </c>
      <c r="C22" s="819">
        <f>VLOOKUP($B22,'FW Age'!$A$6:$I$50,3)*$F22</f>
        <v>1184435.2581108829</v>
      </c>
      <c r="D22" s="819">
        <f>VLOOKUP($B22,'FW Age'!$A$6:$I$50,5)*$F22</f>
        <v>24731.741889116973</v>
      </c>
      <c r="E22" s="819">
        <f>VLOOKUP($B22,'FW Age'!$A$6:$I$50,7)*$F22</f>
        <v>0</v>
      </c>
      <c r="F22" s="311">
        <f t="shared" ref="F22:F47" si="3">$AB22</f>
        <v>1209167</v>
      </c>
      <c r="G22" s="362" t="s">
        <v>251</v>
      </c>
      <c r="H22" s="2266" t="s">
        <v>245</v>
      </c>
      <c r="I22" s="2267"/>
      <c r="J22" s="2268"/>
      <c r="K22" s="2269"/>
      <c r="L22" s="2268"/>
      <c r="M22" s="2268"/>
      <c r="N22" s="2269"/>
      <c r="O22" s="2268"/>
      <c r="P22" s="2270"/>
      <c r="Q22" s="401"/>
      <c r="R22" s="359" t="str">
        <f t="shared" si="0"/>
        <v/>
      </c>
      <c r="S22" s="279" t="str">
        <f t="shared" si="1"/>
        <v/>
      </c>
      <c r="T22" s="279" t="str">
        <f t="shared" si="2"/>
        <v/>
      </c>
      <c r="U22" s="2282"/>
      <c r="V22" s="411"/>
      <c r="W22" s="412"/>
      <c r="X22" s="412"/>
      <c r="Y22" s="412"/>
      <c r="Z22" s="413"/>
      <c r="AA22" s="414"/>
      <c r="AB22" s="681">
        <v>1209167</v>
      </c>
      <c r="AC22" s="692">
        <v>35737</v>
      </c>
      <c r="AD22" s="1192"/>
      <c r="AE22" s="531" t="s">
        <v>247</v>
      </c>
      <c r="AF22" s="2279">
        <v>68</v>
      </c>
      <c r="AG22" s="2280">
        <v>3.45</v>
      </c>
      <c r="AH22" s="2280" t="s">
        <v>252</v>
      </c>
      <c r="AI22" s="2281" t="s">
        <v>253</v>
      </c>
      <c r="AJ22" s="691" t="s">
        <v>254</v>
      </c>
      <c r="AK22" s="366" t="s">
        <v>255</v>
      </c>
      <c r="AL22" s="453" t="s">
        <v>249</v>
      </c>
    </row>
    <row r="23" spans="1:38" x14ac:dyDescent="0.3">
      <c r="A23" s="244" t="s">
        <v>243</v>
      </c>
      <c r="B23" s="352">
        <v>1999</v>
      </c>
      <c r="C23" s="819">
        <f>VLOOKUP($B23,'FW Age'!$A$6:$I$50,3)*$F23</f>
        <v>3025250.7566732978</v>
      </c>
      <c r="D23" s="820">
        <f>VLOOKUP($B23,'FW Age'!$A$6:$I$50,5)*$F23</f>
        <v>74492.243326702184</v>
      </c>
      <c r="E23" s="821">
        <f>VLOOKUP($B23,'FW Age'!$A$6:$I$50,7)*$F23</f>
        <v>0</v>
      </c>
      <c r="F23" s="311">
        <f t="shared" si="3"/>
        <v>3099743</v>
      </c>
      <c r="G23" s="362" t="s">
        <v>251</v>
      </c>
      <c r="H23" s="2266" t="s">
        <v>245</v>
      </c>
      <c r="I23" s="2267"/>
      <c r="J23" s="2268"/>
      <c r="K23" s="2269"/>
      <c r="L23" s="2268"/>
      <c r="M23" s="2268"/>
      <c r="N23" s="2269"/>
      <c r="O23" s="2268"/>
      <c r="P23" s="2270"/>
      <c r="Q23" s="401"/>
      <c r="R23" s="359" t="str">
        <f t="shared" si="0"/>
        <v/>
      </c>
      <c r="S23" s="279" t="str">
        <f t="shared" si="1"/>
        <v/>
      </c>
      <c r="T23" s="279" t="str">
        <f t="shared" si="2"/>
        <v/>
      </c>
      <c r="U23" s="2282"/>
      <c r="V23" s="411"/>
      <c r="W23" s="412"/>
      <c r="X23" s="412"/>
      <c r="Y23" s="412"/>
      <c r="Z23" s="413"/>
      <c r="AA23" s="414"/>
      <c r="AB23" s="681">
        <v>3099743</v>
      </c>
      <c r="AC23" s="692">
        <v>36070</v>
      </c>
      <c r="AD23" s="1192"/>
      <c r="AE23" s="2278">
        <v>341</v>
      </c>
      <c r="AF23" s="2279">
        <v>65</v>
      </c>
      <c r="AG23" s="2280">
        <v>3.3</v>
      </c>
      <c r="AH23" s="2280" t="s">
        <v>252</v>
      </c>
      <c r="AI23" s="2281" t="s">
        <v>256</v>
      </c>
      <c r="AJ23" s="682" t="s">
        <v>245</v>
      </c>
      <c r="AK23" s="366" t="s">
        <v>255</v>
      </c>
      <c r="AL23" s="453" t="s">
        <v>249</v>
      </c>
    </row>
    <row r="24" spans="1:38" x14ac:dyDescent="0.3">
      <c r="A24" s="244" t="s">
        <v>243</v>
      </c>
      <c r="B24" s="352">
        <v>2000</v>
      </c>
      <c r="C24" s="819">
        <f>VLOOKUP($B24,'FW Age'!$A$6:$I$50,3)*$F24</f>
        <v>210319.21331161959</v>
      </c>
      <c r="D24" s="820">
        <f>VLOOKUP($B24,'FW Age'!$A$6:$I$50,5)*$F24</f>
        <v>70318.640091335197</v>
      </c>
      <c r="E24" s="821">
        <f>VLOOKUP($B24,'FW Age'!$A$6:$I$50,7)*$F24</f>
        <v>695.14659704519477</v>
      </c>
      <c r="F24" s="311">
        <f t="shared" si="3"/>
        <v>281333</v>
      </c>
      <c r="G24" s="362" t="s">
        <v>251</v>
      </c>
      <c r="H24" s="2266" t="s">
        <v>245</v>
      </c>
      <c r="I24" s="2267"/>
      <c r="J24" s="2268"/>
      <c r="K24" s="2269"/>
      <c r="L24" s="2268"/>
      <c r="M24" s="2268"/>
      <c r="N24" s="2269"/>
      <c r="O24" s="2268"/>
      <c r="P24" s="2270"/>
      <c r="Q24" s="401"/>
      <c r="R24" s="359" t="str">
        <f t="shared" si="0"/>
        <v/>
      </c>
      <c r="S24" s="279" t="str">
        <f t="shared" si="1"/>
        <v/>
      </c>
      <c r="T24" s="279" t="str">
        <f t="shared" si="2"/>
        <v/>
      </c>
      <c r="U24" s="2282"/>
      <c r="V24" s="411"/>
      <c r="W24" s="412"/>
      <c r="X24" s="412"/>
      <c r="Y24" s="412"/>
      <c r="Z24" s="413"/>
      <c r="AA24" s="414"/>
      <c r="AB24" s="681">
        <v>281333</v>
      </c>
      <c r="AC24" s="692">
        <v>36428</v>
      </c>
      <c r="AD24" s="1192"/>
      <c r="AE24" s="531" t="s">
        <v>247</v>
      </c>
      <c r="AF24" s="2279"/>
      <c r="AG24" s="2280" t="s">
        <v>257</v>
      </c>
      <c r="AH24" s="2280"/>
      <c r="AI24" s="2281" t="s">
        <v>258</v>
      </c>
      <c r="AJ24" s="682" t="s">
        <v>245</v>
      </c>
      <c r="AK24" s="366" t="s">
        <v>255</v>
      </c>
      <c r="AL24" s="453" t="s">
        <v>249</v>
      </c>
    </row>
    <row r="25" spans="1:38" x14ac:dyDescent="0.3">
      <c r="A25" s="244" t="s">
        <v>243</v>
      </c>
      <c r="B25" s="352">
        <v>2001</v>
      </c>
      <c r="C25" s="819">
        <f>VLOOKUP($B25,'FW Age'!$A$6:$I$50,3)*$F25</f>
        <v>1335737.5101887116</v>
      </c>
      <c r="D25" s="820">
        <f>VLOOKUP($B25,'FW Age'!$A$6:$I$50,5)*$F25</f>
        <v>35796.03681759465</v>
      </c>
      <c r="E25" s="821">
        <f>VLOOKUP($B25,'FW Age'!$A$6:$I$50,7)*$F25</f>
        <v>75066.452993693732</v>
      </c>
      <c r="F25" s="311">
        <f t="shared" si="3"/>
        <v>1446600</v>
      </c>
      <c r="G25" s="362" t="s">
        <v>251</v>
      </c>
      <c r="H25" s="2266" t="s">
        <v>245</v>
      </c>
      <c r="I25" s="2267"/>
      <c r="J25" s="2268"/>
      <c r="K25" s="2269"/>
      <c r="L25" s="2268"/>
      <c r="M25" s="2268"/>
      <c r="N25" s="2269"/>
      <c r="O25" s="2268"/>
      <c r="P25" s="2270"/>
      <c r="Q25" s="401"/>
      <c r="R25" s="359" t="str">
        <f t="shared" si="0"/>
        <v/>
      </c>
      <c r="S25" s="279" t="str">
        <f t="shared" si="1"/>
        <v/>
      </c>
      <c r="T25" s="279" t="str">
        <f t="shared" si="2"/>
        <v/>
      </c>
      <c r="U25" s="2282"/>
      <c r="V25" s="411"/>
      <c r="W25" s="412"/>
      <c r="X25" s="412"/>
      <c r="Y25" s="412"/>
      <c r="Z25" s="413"/>
      <c r="AA25" s="414"/>
      <c r="AB25" s="681">
        <v>1446600</v>
      </c>
      <c r="AC25" s="692">
        <v>36796</v>
      </c>
      <c r="AD25" s="1192"/>
      <c r="AE25" s="2278">
        <v>91</v>
      </c>
      <c r="AF25" s="2279">
        <v>79</v>
      </c>
      <c r="AG25" s="2280">
        <v>5.5</v>
      </c>
      <c r="AH25" s="2280" t="s">
        <v>252</v>
      </c>
      <c r="AI25" s="2281" t="s">
        <v>259</v>
      </c>
      <c r="AJ25" s="682" t="s">
        <v>245</v>
      </c>
      <c r="AK25" s="366" t="s">
        <v>255</v>
      </c>
      <c r="AL25" s="453" t="s">
        <v>249</v>
      </c>
    </row>
    <row r="26" spans="1:38" x14ac:dyDescent="0.3">
      <c r="A26" s="244" t="s">
        <v>243</v>
      </c>
      <c r="B26" s="352">
        <v>2002</v>
      </c>
      <c r="C26" s="819">
        <f>VLOOKUP($B26,'FW Age'!$A$6:$I$50,3)*$F26</f>
        <v>2700101.026842413</v>
      </c>
      <c r="D26" s="820">
        <f>VLOOKUP($B26,'FW Age'!$A$6:$I$50,5)*$F26</f>
        <v>112443.60061692342</v>
      </c>
      <c r="E26" s="821">
        <f>VLOOKUP($B26,'FW Age'!$A$6:$I$50,7)*$F26</f>
        <v>67902.593880054774</v>
      </c>
      <c r="F26" s="311">
        <f t="shared" si="3"/>
        <v>2927009</v>
      </c>
      <c r="G26" s="362" t="s">
        <v>251</v>
      </c>
      <c r="H26" s="2266" t="s">
        <v>245</v>
      </c>
      <c r="I26" s="2267"/>
      <c r="J26" s="2268"/>
      <c r="K26" s="2269"/>
      <c r="L26" s="2268"/>
      <c r="M26" s="2268"/>
      <c r="N26" s="2269"/>
      <c r="O26" s="2268"/>
      <c r="P26" s="2270"/>
      <c r="Q26" s="401"/>
      <c r="R26" s="359" t="str">
        <f t="shared" si="0"/>
        <v/>
      </c>
      <c r="S26" s="279" t="str">
        <f t="shared" si="1"/>
        <v/>
      </c>
      <c r="T26" s="279" t="str">
        <f t="shared" si="2"/>
        <v/>
      </c>
      <c r="U26" s="2282"/>
      <c r="V26" s="411"/>
      <c r="W26" s="412"/>
      <c r="X26" s="412"/>
      <c r="Y26" s="412"/>
      <c r="Z26" s="413"/>
      <c r="AA26" s="414"/>
      <c r="AB26" s="681">
        <v>2927009</v>
      </c>
      <c r="AC26" s="692">
        <v>37222</v>
      </c>
      <c r="AD26" s="1192"/>
      <c r="AE26" s="2278">
        <v>120</v>
      </c>
      <c r="AF26" s="2279">
        <v>71.5</v>
      </c>
      <c r="AG26" s="2280">
        <v>3.4</v>
      </c>
      <c r="AH26" s="2280" t="s">
        <v>252</v>
      </c>
      <c r="AI26" s="2281" t="s">
        <v>260</v>
      </c>
      <c r="AJ26" s="682" t="s">
        <v>245</v>
      </c>
      <c r="AK26" s="366" t="s">
        <v>255</v>
      </c>
      <c r="AL26" s="453" t="s">
        <v>249</v>
      </c>
    </row>
    <row r="27" spans="1:38" x14ac:dyDescent="0.3">
      <c r="A27" s="244" t="s">
        <v>243</v>
      </c>
      <c r="B27" s="352">
        <v>2003</v>
      </c>
      <c r="C27" s="819">
        <f>VLOOKUP($B27,'FW Age'!$A$6:$I$50,3)*$F27</f>
        <v>1978103.1597367399</v>
      </c>
      <c r="D27" s="820">
        <f>VLOOKUP($B27,'FW Age'!$A$6:$I$50,5)*$F27</f>
        <v>47233.99996583438</v>
      </c>
      <c r="E27" s="821">
        <f>VLOOKUP($B27,'FW Age'!$A$6:$I$50,7)*$F27</f>
        <v>55640.840297425784</v>
      </c>
      <c r="F27" s="311">
        <f t="shared" si="3"/>
        <v>2080978</v>
      </c>
      <c r="G27" s="362" t="s">
        <v>251</v>
      </c>
      <c r="H27" s="2266" t="s">
        <v>245</v>
      </c>
      <c r="I27" s="2267"/>
      <c r="J27" s="2268"/>
      <c r="K27" s="2269"/>
      <c r="L27" s="2268"/>
      <c r="M27" s="2268"/>
      <c r="N27" s="2269"/>
      <c r="O27" s="2268"/>
      <c r="P27" s="2270"/>
      <c r="Q27" s="401"/>
      <c r="R27" s="359" t="str">
        <f t="shared" si="0"/>
        <v/>
      </c>
      <c r="S27" s="279" t="str">
        <f t="shared" si="1"/>
        <v/>
      </c>
      <c r="T27" s="279" t="str">
        <f t="shared" si="2"/>
        <v/>
      </c>
      <c r="U27" s="2282"/>
      <c r="V27" s="411"/>
      <c r="W27" s="412"/>
      <c r="X27" s="412"/>
      <c r="Y27" s="412"/>
      <c r="Z27" s="413"/>
      <c r="AA27" s="414"/>
      <c r="AB27" s="681">
        <v>2080978</v>
      </c>
      <c r="AC27" s="692">
        <v>37585</v>
      </c>
      <c r="AD27" s="1192"/>
      <c r="AE27" s="2278">
        <v>375</v>
      </c>
      <c r="AF27" s="2279">
        <v>72.599999999999994</v>
      </c>
      <c r="AG27" s="2280">
        <v>3.45</v>
      </c>
      <c r="AH27" s="2280" t="s">
        <v>252</v>
      </c>
      <c r="AI27" s="2281" t="s">
        <v>261</v>
      </c>
      <c r="AJ27" s="682" t="s">
        <v>245</v>
      </c>
      <c r="AK27" s="366" t="s">
        <v>255</v>
      </c>
      <c r="AL27" s="453" t="s">
        <v>249</v>
      </c>
    </row>
    <row r="28" spans="1:38" x14ac:dyDescent="0.3">
      <c r="A28" s="244" t="s">
        <v>243</v>
      </c>
      <c r="B28" s="352">
        <v>2004</v>
      </c>
      <c r="C28" s="819">
        <f>VLOOKUP($B28,'FW Age'!$A$6:$I$50,3)*$F28</f>
        <v>596279.89843994589</v>
      </c>
      <c r="D28" s="820">
        <f>VLOOKUP($B28,'FW Age'!$A$6:$I$50,5)*$F28</f>
        <v>31575.1015600541</v>
      </c>
      <c r="E28" s="821">
        <f>VLOOKUP($B28,'FW Age'!$A$6:$I$50,7)*$F28</f>
        <v>0</v>
      </c>
      <c r="F28" s="311">
        <f t="shared" si="3"/>
        <v>627855</v>
      </c>
      <c r="G28" s="362" t="s">
        <v>251</v>
      </c>
      <c r="H28" s="2266" t="s">
        <v>245</v>
      </c>
      <c r="I28" s="2267"/>
      <c r="J28" s="2268"/>
      <c r="K28" s="2269"/>
      <c r="L28" s="2268"/>
      <c r="M28" s="2268"/>
      <c r="N28" s="2269"/>
      <c r="O28" s="2268"/>
      <c r="P28" s="2270"/>
      <c r="Q28" s="401"/>
      <c r="R28" s="359" t="str">
        <f t="shared" si="0"/>
        <v/>
      </c>
      <c r="S28" s="279" t="str">
        <f t="shared" si="1"/>
        <v/>
      </c>
      <c r="T28" s="279" t="str">
        <f t="shared" si="2"/>
        <v/>
      </c>
      <c r="U28" s="2282"/>
      <c r="V28" s="411"/>
      <c r="W28" s="412"/>
      <c r="X28" s="412"/>
      <c r="Y28" s="412"/>
      <c r="Z28" s="413"/>
      <c r="AA28" s="414"/>
      <c r="AB28" s="681">
        <v>627855</v>
      </c>
      <c r="AC28" s="693">
        <v>38048</v>
      </c>
      <c r="AD28" s="1192"/>
      <c r="AE28" s="531" t="s">
        <v>247</v>
      </c>
      <c r="AF28" s="532">
        <v>46.6</v>
      </c>
      <c r="AG28" s="533">
        <v>1.44</v>
      </c>
      <c r="AH28" s="2280" t="s">
        <v>252</v>
      </c>
      <c r="AI28" s="2281" t="s">
        <v>262</v>
      </c>
      <c r="AJ28" s="691" t="s">
        <v>263</v>
      </c>
      <c r="AK28" s="366" t="s">
        <v>255</v>
      </c>
      <c r="AL28" s="453" t="s">
        <v>249</v>
      </c>
    </row>
    <row r="29" spans="1:38" x14ac:dyDescent="0.3">
      <c r="A29" s="244" t="s">
        <v>243</v>
      </c>
      <c r="B29" s="352">
        <v>2005</v>
      </c>
      <c r="C29" s="819">
        <f>VLOOKUP($B29,'FW Age'!$A$6:$I$50,3)*$F29</f>
        <v>723153.23474326544</v>
      </c>
      <c r="D29" s="820">
        <f>VLOOKUP($B29,'FW Age'!$A$6:$I$50,5)*$F29</f>
        <v>12651.765256734616</v>
      </c>
      <c r="E29" s="821">
        <f>VLOOKUP($B29,'FW Age'!$A$6:$I$50,7)*$F29</f>
        <v>0</v>
      </c>
      <c r="F29" s="311">
        <f t="shared" si="3"/>
        <v>735805</v>
      </c>
      <c r="G29" s="362" t="s">
        <v>251</v>
      </c>
      <c r="H29" s="2266" t="s">
        <v>245</v>
      </c>
      <c r="I29" s="2267"/>
      <c r="J29" s="2268"/>
      <c r="K29" s="2269"/>
      <c r="L29" s="2268"/>
      <c r="M29" s="2268"/>
      <c r="N29" s="2269"/>
      <c r="O29" s="2268"/>
      <c r="P29" s="2270"/>
      <c r="Q29" s="401"/>
      <c r="R29" s="359" t="str">
        <f t="shared" si="0"/>
        <v/>
      </c>
      <c r="S29" s="279" t="str">
        <f t="shared" si="1"/>
        <v/>
      </c>
      <c r="T29" s="279" t="str">
        <f t="shared" si="2"/>
        <v/>
      </c>
      <c r="U29" s="2282"/>
      <c r="V29" s="411"/>
      <c r="W29" s="412"/>
      <c r="X29" s="412"/>
      <c r="Y29" s="412"/>
      <c r="Z29" s="413"/>
      <c r="AA29" s="414"/>
      <c r="AB29" s="681">
        <v>735805</v>
      </c>
      <c r="AC29" s="693">
        <v>38402</v>
      </c>
      <c r="AD29" s="1192"/>
      <c r="AE29" s="2278">
        <v>82</v>
      </c>
      <c r="AF29" s="2279">
        <v>72</v>
      </c>
      <c r="AG29" s="2280">
        <v>4</v>
      </c>
      <c r="AH29" s="2280" t="s">
        <v>252</v>
      </c>
      <c r="AI29" s="690" t="s">
        <v>264</v>
      </c>
      <c r="AJ29" s="682" t="s">
        <v>245</v>
      </c>
      <c r="AK29" s="366" t="s">
        <v>255</v>
      </c>
      <c r="AL29" s="453" t="s">
        <v>249</v>
      </c>
    </row>
    <row r="30" spans="1:38" x14ac:dyDescent="0.3">
      <c r="A30" s="244" t="s">
        <v>243</v>
      </c>
      <c r="B30" s="352">
        <v>2006</v>
      </c>
      <c r="C30" s="819">
        <f>VLOOKUP($B30,'FW Age'!$A$6:$I$50,3)*$F30</f>
        <v>1763878.9201766672</v>
      </c>
      <c r="D30" s="820">
        <f>VLOOKUP($B30,'FW Age'!$A$6:$I$50,5)*$F30</f>
        <v>19621.079823332853</v>
      </c>
      <c r="E30" s="821">
        <f>VLOOKUP($B30,'FW Age'!$A$6:$I$50,7)*$F30</f>
        <v>0</v>
      </c>
      <c r="F30" s="311">
        <f t="shared" si="3"/>
        <v>1783500</v>
      </c>
      <c r="G30" s="362" t="s">
        <v>251</v>
      </c>
      <c r="H30" s="2266" t="s">
        <v>245</v>
      </c>
      <c r="I30" s="2267"/>
      <c r="J30" s="2268"/>
      <c r="K30" s="2269"/>
      <c r="L30" s="2268"/>
      <c r="M30" s="2268"/>
      <c r="N30" s="2269"/>
      <c r="O30" s="2268"/>
      <c r="P30" s="2270"/>
      <c r="Q30" s="401"/>
      <c r="R30" s="359" t="str">
        <f t="shared" si="0"/>
        <v/>
      </c>
      <c r="S30" s="279" t="str">
        <f t="shared" si="1"/>
        <v/>
      </c>
      <c r="T30" s="279" t="str">
        <f t="shared" si="2"/>
        <v/>
      </c>
      <c r="U30" s="2282"/>
      <c r="V30" s="411"/>
      <c r="W30" s="412"/>
      <c r="X30" s="412"/>
      <c r="Y30" s="412"/>
      <c r="Z30" s="413"/>
      <c r="AA30" s="414"/>
      <c r="AB30" s="681">
        <v>1783500</v>
      </c>
      <c r="AC30" s="693">
        <v>38735</v>
      </c>
      <c r="AD30" s="1192"/>
      <c r="AE30" s="2278">
        <v>292</v>
      </c>
      <c r="AF30" s="2279">
        <v>69.5</v>
      </c>
      <c r="AG30" s="2280">
        <v>3.4602739726027396</v>
      </c>
      <c r="AH30" s="2280" t="s">
        <v>252</v>
      </c>
      <c r="AI30" s="2281" t="s">
        <v>265</v>
      </c>
      <c r="AJ30" s="682" t="s">
        <v>245</v>
      </c>
      <c r="AK30" s="366" t="s">
        <v>255</v>
      </c>
      <c r="AL30" s="453" t="s">
        <v>249</v>
      </c>
    </row>
    <row r="31" spans="1:38" x14ac:dyDescent="0.3">
      <c r="A31" s="244" t="s">
        <v>243</v>
      </c>
      <c r="B31" s="352">
        <v>2007</v>
      </c>
      <c r="C31" s="819">
        <f>VLOOKUP($B31,'FW Age'!$A$6:$I$50,3)*$F31</f>
        <v>1968117.9513879544</v>
      </c>
      <c r="D31" s="820">
        <f>VLOOKUP($B31,'FW Age'!$A$6:$I$50,5)*$F31</f>
        <v>58591.048612045568</v>
      </c>
      <c r="E31" s="821">
        <f>VLOOKUP($B31,'FW Age'!$A$6:$I$50,7)*$F31</f>
        <v>0</v>
      </c>
      <c r="F31" s="311">
        <f t="shared" si="3"/>
        <v>2026709</v>
      </c>
      <c r="G31" s="362" t="s">
        <v>251</v>
      </c>
      <c r="H31" s="2266" t="s">
        <v>245</v>
      </c>
      <c r="I31" s="2267"/>
      <c r="J31" s="2268"/>
      <c r="K31" s="2269"/>
      <c r="L31" s="2268"/>
      <c r="M31" s="2268"/>
      <c r="N31" s="402"/>
      <c r="O31" s="2268"/>
      <c r="P31" s="2270"/>
      <c r="Q31" s="401"/>
      <c r="R31" s="359" t="str">
        <f t="shared" si="0"/>
        <v/>
      </c>
      <c r="S31" s="279" t="str">
        <f t="shared" si="1"/>
        <v/>
      </c>
      <c r="T31" s="279" t="str">
        <f t="shared" si="2"/>
        <v/>
      </c>
      <c r="U31" s="2282"/>
      <c r="V31" s="411"/>
      <c r="W31" s="412"/>
      <c r="X31" s="412"/>
      <c r="Y31" s="412"/>
      <c r="Z31" s="413"/>
      <c r="AA31" s="414"/>
      <c r="AB31" s="681">
        <v>2026709</v>
      </c>
      <c r="AC31" s="693">
        <v>39155</v>
      </c>
      <c r="AD31" s="1192"/>
      <c r="AE31" s="2278">
        <v>827</v>
      </c>
      <c r="AF31" s="2279">
        <v>70</v>
      </c>
      <c r="AG31" s="2280">
        <v>3.6011366384522363</v>
      </c>
      <c r="AH31" s="2280" t="s">
        <v>252</v>
      </c>
      <c r="AI31" s="2281" t="s">
        <v>266</v>
      </c>
      <c r="AJ31" s="682" t="s">
        <v>245</v>
      </c>
      <c r="AK31" s="366" t="s">
        <v>255</v>
      </c>
      <c r="AL31" s="453" t="s">
        <v>249</v>
      </c>
    </row>
    <row r="32" spans="1:38" x14ac:dyDescent="0.3">
      <c r="A32" s="244" t="s">
        <v>243</v>
      </c>
      <c r="B32" s="352">
        <v>2008</v>
      </c>
      <c r="C32" s="819">
        <f>VLOOKUP($B32,'FW Age'!$A$6:$I$50,3)*$F32</f>
        <v>2120211.4699002644</v>
      </c>
      <c r="D32" s="820">
        <f>VLOOKUP($B32,'FW Age'!$A$6:$I$50,5)*$F32</f>
        <v>13482.530099735462</v>
      </c>
      <c r="E32" s="821">
        <f>VLOOKUP($B32,'FW Age'!$A$6:$I$50,7)*$F32</f>
        <v>0</v>
      </c>
      <c r="F32" s="311">
        <f t="shared" si="3"/>
        <v>2133694</v>
      </c>
      <c r="G32" s="362" t="s">
        <v>251</v>
      </c>
      <c r="H32" s="2266" t="s">
        <v>245</v>
      </c>
      <c r="I32" s="2267"/>
      <c r="J32" s="2268"/>
      <c r="K32" s="2269"/>
      <c r="L32" s="2268"/>
      <c r="M32" s="2268"/>
      <c r="N32" s="2269"/>
      <c r="O32" s="2268"/>
      <c r="P32" s="2270"/>
      <c r="Q32" s="401"/>
      <c r="R32" s="359" t="str">
        <f t="shared" si="0"/>
        <v/>
      </c>
      <c r="S32" s="279" t="str">
        <f t="shared" si="1"/>
        <v/>
      </c>
      <c r="T32" s="279" t="str">
        <f t="shared" si="2"/>
        <v/>
      </c>
      <c r="U32" s="2282"/>
      <c r="V32" s="411"/>
      <c r="W32" s="412"/>
      <c r="X32" s="412"/>
      <c r="Y32" s="412"/>
      <c r="Z32" s="413"/>
      <c r="AA32" s="414"/>
      <c r="AB32" s="681">
        <v>2133694</v>
      </c>
      <c r="AC32" s="693">
        <v>39462</v>
      </c>
      <c r="AD32" s="1192"/>
      <c r="AE32" s="2278">
        <v>947</v>
      </c>
      <c r="AF32" s="2279">
        <v>69</v>
      </c>
      <c r="AG32" s="2280">
        <v>3.17</v>
      </c>
      <c r="AH32" s="2280" t="s">
        <v>252</v>
      </c>
      <c r="AI32" s="2281" t="s">
        <v>267</v>
      </c>
      <c r="AJ32" s="682" t="s">
        <v>245</v>
      </c>
      <c r="AK32" s="366" t="s">
        <v>255</v>
      </c>
      <c r="AL32" s="453" t="s">
        <v>249</v>
      </c>
    </row>
    <row r="33" spans="1:38" x14ac:dyDescent="0.3">
      <c r="A33" s="244" t="s">
        <v>243</v>
      </c>
      <c r="B33" s="352">
        <v>2009</v>
      </c>
      <c r="C33" s="819">
        <f>VLOOKUP($B33,'FW Age'!$A$6:$I$50,3)*$F33</f>
        <v>790554.91624050215</v>
      </c>
      <c r="D33" s="820">
        <f>VLOOKUP($B33,'FW Age'!$A$6:$I$50,5)*$F33</f>
        <v>84772.083759497851</v>
      </c>
      <c r="E33" s="821">
        <f>VLOOKUP($B33,'FW Age'!$A$6:$I$50,7)*$F33</f>
        <v>0</v>
      </c>
      <c r="F33" s="311">
        <f t="shared" si="3"/>
        <v>875327</v>
      </c>
      <c r="G33" s="362" t="s">
        <v>251</v>
      </c>
      <c r="H33" s="2266" t="s">
        <v>245</v>
      </c>
      <c r="I33" s="2267"/>
      <c r="J33" s="2268"/>
      <c r="K33" s="2269"/>
      <c r="L33" s="2268"/>
      <c r="M33" s="2268"/>
      <c r="N33" s="402"/>
      <c r="O33" s="2268"/>
      <c r="P33" s="2270"/>
      <c r="Q33" s="401"/>
      <c r="R33" s="359" t="str">
        <f t="shared" si="0"/>
        <v/>
      </c>
      <c r="S33" s="279" t="str">
        <f t="shared" si="1"/>
        <v/>
      </c>
      <c r="T33" s="279" t="str">
        <f t="shared" si="2"/>
        <v/>
      </c>
      <c r="U33" s="2282"/>
      <c r="V33" s="411"/>
      <c r="W33" s="412"/>
      <c r="X33" s="412"/>
      <c r="Y33" s="412"/>
      <c r="Z33" s="413"/>
      <c r="AA33" s="414"/>
      <c r="AB33" s="681">
        <v>875327</v>
      </c>
      <c r="AC33" s="692">
        <v>39757</v>
      </c>
      <c r="AD33" s="1192"/>
      <c r="AE33" s="2278">
        <v>438</v>
      </c>
      <c r="AF33" s="2279">
        <v>77</v>
      </c>
      <c r="AG33" s="2280">
        <v>5.6</v>
      </c>
      <c r="AH33" s="2280" t="s">
        <v>252</v>
      </c>
      <c r="AI33" s="2281" t="s">
        <v>268</v>
      </c>
      <c r="AJ33" s="682" t="s">
        <v>245</v>
      </c>
      <c r="AK33" s="366" t="s">
        <v>255</v>
      </c>
      <c r="AL33" s="453" t="s">
        <v>249</v>
      </c>
    </row>
    <row r="34" spans="1:38" x14ac:dyDescent="0.3">
      <c r="A34" s="244" t="s">
        <v>243</v>
      </c>
      <c r="B34" s="352">
        <v>2010</v>
      </c>
      <c r="C34" s="819">
        <f>VLOOKUP($B34,'FW Age'!$A$6:$I$50,3)*$F34</f>
        <v>7296903.2827671012</v>
      </c>
      <c r="D34" s="820">
        <f>VLOOKUP($B34,'FW Age'!$A$6:$I$50,5)*$F34</f>
        <v>191402.71723289814</v>
      </c>
      <c r="E34" s="821">
        <f>VLOOKUP($B34,'FW Age'!$A$6:$I$50,7)*$F34</f>
        <v>0</v>
      </c>
      <c r="F34" s="311">
        <f t="shared" si="3"/>
        <v>7488306</v>
      </c>
      <c r="G34" s="362" t="s">
        <v>251</v>
      </c>
      <c r="H34" s="2266" t="s">
        <v>245</v>
      </c>
      <c r="I34" s="2267"/>
      <c r="J34" s="2268"/>
      <c r="K34" s="2269"/>
      <c r="L34" s="2268"/>
      <c r="M34" s="2268"/>
      <c r="N34" s="402"/>
      <c r="O34" s="2268"/>
      <c r="P34" s="2270"/>
      <c r="Q34" s="401"/>
      <c r="R34" s="359" t="str">
        <f t="shared" si="0"/>
        <v/>
      </c>
      <c r="S34" s="279" t="str">
        <f t="shared" si="1"/>
        <v/>
      </c>
      <c r="T34" s="279" t="str">
        <f t="shared" si="2"/>
        <v/>
      </c>
      <c r="U34" s="2282"/>
      <c r="V34" s="411"/>
      <c r="W34" s="412"/>
      <c r="X34" s="412"/>
      <c r="Y34" s="412"/>
      <c r="Z34" s="413"/>
      <c r="AA34" s="414"/>
      <c r="AB34" s="681">
        <v>7488306</v>
      </c>
      <c r="AC34" s="693">
        <v>40219</v>
      </c>
      <c r="AD34" s="1192"/>
      <c r="AE34" s="2278">
        <v>791</v>
      </c>
      <c r="AF34" s="2279">
        <v>71</v>
      </c>
      <c r="AG34" s="2280">
        <v>3.3615676359039193</v>
      </c>
      <c r="AH34" s="2280" t="s">
        <v>252</v>
      </c>
      <c r="AI34" s="2281" t="s">
        <v>269</v>
      </c>
      <c r="AJ34" s="682"/>
      <c r="AK34" s="366" t="s">
        <v>255</v>
      </c>
      <c r="AL34" s="453" t="s">
        <v>249</v>
      </c>
    </row>
    <row r="35" spans="1:38" x14ac:dyDescent="0.3">
      <c r="A35" s="244" t="s">
        <v>243</v>
      </c>
      <c r="B35" s="352">
        <v>2011</v>
      </c>
      <c r="C35" s="819">
        <f>VLOOKUP($B35,'FW Age'!$A$6:$I$50,3)*$F35</f>
        <v>742325.05888447911</v>
      </c>
      <c r="D35" s="820">
        <f>VLOOKUP($B35,'FW Age'!$A$6:$I$50,5)*$F35</f>
        <v>70114.441115520953</v>
      </c>
      <c r="E35" s="821">
        <f>VLOOKUP($B35,'FW Age'!$A$6:$I$50,7)*$F35</f>
        <v>0</v>
      </c>
      <c r="F35" s="1078">
        <f>$AB35-Deduct_Hatchery_Survivors*$AD35</f>
        <v>812439.5</v>
      </c>
      <c r="G35" s="768" t="s">
        <v>270</v>
      </c>
      <c r="H35" s="2266" t="s">
        <v>245</v>
      </c>
      <c r="I35" s="2267"/>
      <c r="J35" s="2268"/>
      <c r="K35" s="2269"/>
      <c r="L35" s="2268"/>
      <c r="M35" s="2268"/>
      <c r="N35" s="402"/>
      <c r="O35" s="2268"/>
      <c r="P35" s="2270"/>
      <c r="Q35" s="401"/>
      <c r="R35" s="359" t="str">
        <f t="shared" si="0"/>
        <v/>
      </c>
      <c r="S35" s="279" t="str">
        <f t="shared" si="1"/>
        <v/>
      </c>
      <c r="T35" s="279" t="str">
        <f t="shared" si="2"/>
        <v/>
      </c>
      <c r="U35" s="2282"/>
      <c r="V35" s="411"/>
      <c r="W35" s="412"/>
      <c r="X35" s="412"/>
      <c r="Y35" s="412"/>
      <c r="Z35" s="413"/>
      <c r="AA35" s="414"/>
      <c r="AB35" s="712">
        <f>929531</f>
        <v>929531</v>
      </c>
      <c r="AC35" s="693">
        <v>40612</v>
      </c>
      <c r="AD35" s="1193">
        <f>'Hatchery releases'!K10</f>
        <v>117091.5</v>
      </c>
      <c r="AE35" s="2278">
        <v>461</v>
      </c>
      <c r="AF35" s="2279">
        <v>76.989999999999995</v>
      </c>
      <c r="AG35" s="2280">
        <v>4.8154013015184383</v>
      </c>
      <c r="AH35" s="2280" t="s">
        <v>252</v>
      </c>
      <c r="AI35" s="2281" t="s">
        <v>271</v>
      </c>
      <c r="AJ35" s="939" t="s">
        <v>272</v>
      </c>
      <c r="AK35" s="366" t="s">
        <v>255</v>
      </c>
      <c r="AL35" s="453" t="s">
        <v>249</v>
      </c>
    </row>
    <row r="36" spans="1:38" x14ac:dyDescent="0.3">
      <c r="A36" s="244" t="s">
        <v>243</v>
      </c>
      <c r="B36" s="352">
        <v>2012</v>
      </c>
      <c r="C36" s="819">
        <f>VLOOKUP($B36,'FW Age'!$A$6:$I$50,3)*$F36</f>
        <v>4417284.8335783156</v>
      </c>
      <c r="D36" s="820">
        <f>VLOOKUP($B36,'FW Age'!$A$6:$I$50,5)*$F36</f>
        <v>18515.166421684684</v>
      </c>
      <c r="E36" s="821">
        <f>VLOOKUP($B36,'FW Age'!$A$6:$I$50,7)*$F36</f>
        <v>0</v>
      </c>
      <c r="F36" s="311">
        <f t="shared" si="3"/>
        <v>4435800</v>
      </c>
      <c r="G36" s="362" t="s">
        <v>251</v>
      </c>
      <c r="H36" s="2266" t="s">
        <v>245</v>
      </c>
      <c r="I36" s="2267"/>
      <c r="J36" s="2268"/>
      <c r="K36" s="402"/>
      <c r="L36" s="2268"/>
      <c r="M36" s="2268"/>
      <c r="N36" s="402"/>
      <c r="O36" s="403"/>
      <c r="P36" s="404"/>
      <c r="Q36" s="401"/>
      <c r="R36" s="359" t="str">
        <f t="shared" si="0"/>
        <v/>
      </c>
      <c r="S36" s="279" t="str">
        <f t="shared" si="1"/>
        <v/>
      </c>
      <c r="T36" s="279" t="str">
        <f t="shared" si="2"/>
        <v/>
      </c>
      <c r="U36" s="410"/>
      <c r="V36" s="415"/>
      <c r="W36" s="416"/>
      <c r="X36" s="416"/>
      <c r="Y36" s="416"/>
      <c r="Z36" s="417"/>
      <c r="AA36" s="418"/>
      <c r="AB36" s="681">
        <v>4435800</v>
      </c>
      <c r="AC36" s="693">
        <v>40987</v>
      </c>
      <c r="AD36" s="1193"/>
      <c r="AE36" s="2278">
        <v>1341</v>
      </c>
      <c r="AF36" s="2279">
        <v>73</v>
      </c>
      <c r="AG36" s="2280">
        <v>3.9872483221476509</v>
      </c>
      <c r="AH36" s="2280" t="s">
        <v>252</v>
      </c>
      <c r="AI36" s="2281" t="s">
        <v>273</v>
      </c>
      <c r="AJ36" s="682" t="s">
        <v>245</v>
      </c>
      <c r="AK36" s="366" t="s">
        <v>255</v>
      </c>
      <c r="AL36" s="453" t="s">
        <v>249</v>
      </c>
    </row>
    <row r="37" spans="1:38" ht="15" customHeight="1" x14ac:dyDescent="0.3">
      <c r="A37" s="244" t="s">
        <v>243</v>
      </c>
      <c r="B37" s="352">
        <v>2013</v>
      </c>
      <c r="C37" s="819">
        <f>VLOOKUP($B37,'FW Age'!$A$6:$I$50,3)*$F37</f>
        <v>2552185.8102497705</v>
      </c>
      <c r="D37" s="820">
        <f>VLOOKUP($B37,'FW Age'!$A$6:$I$50,5)*$F37</f>
        <v>51421.18975022978</v>
      </c>
      <c r="E37" s="821">
        <f>VLOOKUP($B37,'FW Age'!$A$6:$I$50,7)*$F37</f>
        <v>0</v>
      </c>
      <c r="F37" s="1078">
        <f>$AB37-Deduct_Hatchery_Survivors*$AD37</f>
        <v>2603607</v>
      </c>
      <c r="G37" s="768" t="s">
        <v>270</v>
      </c>
      <c r="H37" s="2266" t="s">
        <v>245</v>
      </c>
      <c r="I37" s="2267"/>
      <c r="J37" s="2268"/>
      <c r="K37" s="402"/>
      <c r="L37" s="403"/>
      <c r="M37" s="403"/>
      <c r="N37" s="402"/>
      <c r="O37" s="403"/>
      <c r="P37" s="404"/>
      <c r="Q37" s="401"/>
      <c r="R37" s="359" t="str">
        <f t="shared" si="0"/>
        <v/>
      </c>
      <c r="S37" s="279" t="str">
        <f t="shared" si="1"/>
        <v/>
      </c>
      <c r="T37" s="279" t="str">
        <f t="shared" si="2"/>
        <v/>
      </c>
      <c r="U37" s="410"/>
      <c r="V37" s="419"/>
      <c r="W37" s="322">
        <f>DATE($B37,5,15)</f>
        <v>41409</v>
      </c>
      <c r="X37" s="322">
        <f>DATE($B37,5,24)</f>
        <v>41418</v>
      </c>
      <c r="Y37" s="322">
        <f>DATE($B37,6,2)</f>
        <v>41427</v>
      </c>
      <c r="Z37" s="417"/>
      <c r="AA37" s="418" t="s">
        <v>274</v>
      </c>
      <c r="AB37" s="712">
        <f>2898435</f>
        <v>2898435</v>
      </c>
      <c r="AC37" s="693">
        <v>41320</v>
      </c>
      <c r="AD37" s="1193">
        <f>'Hatchery releases'!K12</f>
        <v>294828</v>
      </c>
      <c r="AE37" s="2278">
        <v>1088</v>
      </c>
      <c r="AF37" s="2279">
        <v>70.999999999999986</v>
      </c>
      <c r="AG37" s="2280">
        <v>3.549448529411765</v>
      </c>
      <c r="AH37" s="2280" t="s">
        <v>252</v>
      </c>
      <c r="AI37" s="2281" t="s">
        <v>275</v>
      </c>
      <c r="AJ37" s="682" t="s">
        <v>245</v>
      </c>
      <c r="AK37" s="366" t="s">
        <v>255</v>
      </c>
      <c r="AL37" s="453" t="s">
        <v>249</v>
      </c>
    </row>
    <row r="38" spans="1:38" x14ac:dyDescent="0.3">
      <c r="A38" s="244" t="s">
        <v>243</v>
      </c>
      <c r="B38" s="352">
        <v>2014</v>
      </c>
      <c r="C38" s="819">
        <f>VLOOKUP($B38,'FW Age'!$A$6:$I$50,3)*$F38</f>
        <v>4914339.860655576</v>
      </c>
      <c r="D38" s="820">
        <f>VLOOKUP($B38,'FW Age'!$A$6:$I$50,5)*$F38</f>
        <v>24651.139344423962</v>
      </c>
      <c r="E38" s="821">
        <f>VLOOKUP($B38,'FW Age'!$A$6:$I$50,7)*$F38</f>
        <v>0</v>
      </c>
      <c r="F38" s="1078">
        <f>$AB38-Deduct_Hatchery_Survivors*$AD38</f>
        <v>4938991</v>
      </c>
      <c r="G38" s="768" t="s">
        <v>270</v>
      </c>
      <c r="H38" s="2266" t="s">
        <v>245</v>
      </c>
      <c r="I38" s="2267"/>
      <c r="J38" s="2268"/>
      <c r="K38" s="402"/>
      <c r="L38" s="403"/>
      <c r="M38" s="403"/>
      <c r="N38" s="402"/>
      <c r="O38" s="403"/>
      <c r="P38" s="404"/>
      <c r="Q38" s="401"/>
      <c r="R38" s="359" t="str">
        <f t="shared" si="0"/>
        <v/>
      </c>
      <c r="S38" s="279" t="str">
        <f t="shared" si="1"/>
        <v/>
      </c>
      <c r="T38" s="279" t="str">
        <f t="shared" si="2"/>
        <v/>
      </c>
      <c r="U38" s="410"/>
      <c r="V38" s="456"/>
      <c r="W38" s="322">
        <f>DATE($B38,5,16)</f>
        <v>41775</v>
      </c>
      <c r="X38" s="322">
        <f>DATE($B38,5,21)</f>
        <v>41780</v>
      </c>
      <c r="Y38" s="322">
        <f>DATE($B38,5,28)</f>
        <v>41787</v>
      </c>
      <c r="Z38" s="417"/>
      <c r="AA38" s="418" t="s">
        <v>274</v>
      </c>
      <c r="AB38" s="712">
        <f>5002124</f>
        <v>5002124</v>
      </c>
      <c r="AC38" s="693">
        <v>41716</v>
      </c>
      <c r="AD38" s="1193">
        <f>'Hatchery releases'!K13</f>
        <v>63133.000000000007</v>
      </c>
      <c r="AE38" s="2278">
        <v>1171</v>
      </c>
      <c r="AF38" s="2279">
        <v>66.333333333333329</v>
      </c>
      <c r="AG38" s="2280">
        <v>3.0657557643040136</v>
      </c>
      <c r="AH38" s="2280" t="s">
        <v>252</v>
      </c>
      <c r="AI38" s="2281" t="s">
        <v>276</v>
      </c>
      <c r="AJ38" s="682" t="s">
        <v>245</v>
      </c>
      <c r="AK38" s="366" t="s">
        <v>255</v>
      </c>
      <c r="AL38" s="453" t="s">
        <v>249</v>
      </c>
    </row>
    <row r="39" spans="1:38" x14ac:dyDescent="0.3">
      <c r="A39" s="244" t="s">
        <v>243</v>
      </c>
      <c r="B39" s="352">
        <v>2015</v>
      </c>
      <c r="C39" s="819">
        <f>VLOOKUP($B39,'FW Age'!$A$6:$I$50,3)*$F39</f>
        <v>2157174.0686871796</v>
      </c>
      <c r="D39" s="820">
        <f>VLOOKUP($B39,'FW Age'!$A$6:$I$50,5)*$F39</f>
        <v>52371.931312820649</v>
      </c>
      <c r="E39" s="821">
        <f>VLOOKUP($B39,'FW Age'!$A$6:$I$50,7)*$F39</f>
        <v>0</v>
      </c>
      <c r="F39" s="311">
        <f t="shared" si="3"/>
        <v>2209546</v>
      </c>
      <c r="G39" s="362" t="s">
        <v>251</v>
      </c>
      <c r="H39" s="2266" t="s">
        <v>245</v>
      </c>
      <c r="I39" s="2267"/>
      <c r="J39" s="2268"/>
      <c r="K39" s="2269"/>
      <c r="L39" s="2268"/>
      <c r="M39" s="2268"/>
      <c r="N39" s="402"/>
      <c r="O39" s="2268"/>
      <c r="P39" s="2270"/>
      <c r="Q39" s="401"/>
      <c r="R39" s="359" t="str">
        <f t="shared" si="0"/>
        <v/>
      </c>
      <c r="S39" s="279" t="str">
        <f t="shared" si="1"/>
        <v/>
      </c>
      <c r="T39" s="279" t="str">
        <f t="shared" si="2"/>
        <v/>
      </c>
      <c r="U39" s="2282"/>
      <c r="V39" s="456"/>
      <c r="W39" s="322">
        <f>DATE($B39,5,17)</f>
        <v>42141</v>
      </c>
      <c r="X39" s="322">
        <f>DATE($B39,5,21)</f>
        <v>42145</v>
      </c>
      <c r="Y39" s="322">
        <f>DATE($B39,5,27)</f>
        <v>42151</v>
      </c>
      <c r="Z39" s="416"/>
      <c r="AA39" s="418" t="s">
        <v>274</v>
      </c>
      <c r="AB39" s="681">
        <v>2209546</v>
      </c>
      <c r="AC39" s="693">
        <v>42062</v>
      </c>
      <c r="AD39" s="1192"/>
      <c r="AE39" s="2278">
        <v>601</v>
      </c>
      <c r="AF39" s="2279">
        <v>71.5</v>
      </c>
      <c r="AG39" s="2280">
        <v>3.9257903494176376</v>
      </c>
      <c r="AH39" s="2280" t="s">
        <v>252</v>
      </c>
      <c r="AI39" s="2281" t="s">
        <v>277</v>
      </c>
      <c r="AJ39" s="682" t="s">
        <v>245</v>
      </c>
      <c r="AK39" s="366" t="s">
        <v>255</v>
      </c>
      <c r="AL39" s="453" t="s">
        <v>249</v>
      </c>
    </row>
    <row r="40" spans="1:38" x14ac:dyDescent="0.3">
      <c r="A40" s="244" t="s">
        <v>243</v>
      </c>
      <c r="B40" s="352">
        <v>2016</v>
      </c>
      <c r="C40" s="819">
        <f>VLOOKUP($B40,'FW Age'!$A$6:$I$50,3)*$F40</f>
        <v>7332961.9242534088</v>
      </c>
      <c r="D40" s="820">
        <f>VLOOKUP($B40,'FW Age'!$A$6:$I$50,5)*$F40</f>
        <v>50189.075746590781</v>
      </c>
      <c r="E40" s="821">
        <f>VLOOKUP($B40,'FW Age'!$A$6:$I$50,7)*$F40</f>
        <v>0</v>
      </c>
      <c r="F40" s="311">
        <f t="shared" si="3"/>
        <v>7383151</v>
      </c>
      <c r="G40" s="362" t="s">
        <v>251</v>
      </c>
      <c r="H40" s="2266" t="s">
        <v>245</v>
      </c>
      <c r="I40" s="2267"/>
      <c r="J40" s="2268"/>
      <c r="K40" s="402"/>
      <c r="L40" s="2268"/>
      <c r="M40" s="2268"/>
      <c r="N40" s="402"/>
      <c r="O40" s="2268"/>
      <c r="P40" s="2270"/>
      <c r="Q40" s="401"/>
      <c r="R40" s="359" t="str">
        <f t="shared" si="0"/>
        <v/>
      </c>
      <c r="S40" s="279" t="str">
        <f t="shared" si="1"/>
        <v/>
      </c>
      <c r="T40" s="279" t="str">
        <f t="shared" si="2"/>
        <v/>
      </c>
      <c r="U40" s="410"/>
      <c r="V40" s="457"/>
      <c r="W40" s="322">
        <f>DATE($B40,5,1)</f>
        <v>42491</v>
      </c>
      <c r="X40" s="322">
        <f>DATE($B40,5,12)</f>
        <v>42502</v>
      </c>
      <c r="Y40" s="322">
        <f>DATE($B40,5,20)</f>
        <v>42510</v>
      </c>
      <c r="Z40" s="413"/>
      <c r="AA40" s="418" t="s">
        <v>274</v>
      </c>
      <c r="AB40" s="681">
        <v>7383151</v>
      </c>
      <c r="AC40" s="693">
        <v>42432</v>
      </c>
      <c r="AD40" s="1192"/>
      <c r="AE40" s="2278">
        <v>999</v>
      </c>
      <c r="AF40" s="532">
        <v>63</v>
      </c>
      <c r="AG40" s="533">
        <v>2.5393393393393393</v>
      </c>
      <c r="AH40" s="2280" t="s">
        <v>252</v>
      </c>
      <c r="AI40" s="421" t="s">
        <v>278</v>
      </c>
      <c r="AJ40" s="691" t="s">
        <v>279</v>
      </c>
      <c r="AK40" s="366" t="s">
        <v>255</v>
      </c>
      <c r="AL40" s="453" t="s">
        <v>249</v>
      </c>
    </row>
    <row r="41" spans="1:38" x14ac:dyDescent="0.3">
      <c r="A41" s="244" t="s">
        <v>243</v>
      </c>
      <c r="B41" s="352">
        <v>2017</v>
      </c>
      <c r="C41" s="819">
        <f>VLOOKUP($B41,'FW Age'!$A$6:$I$50,3)*$F41</f>
        <v>1849125.1252109017</v>
      </c>
      <c r="D41" s="820">
        <f>VLOOKUP($B41,'FW Age'!$A$6:$I$50,5)*$F41</f>
        <v>36586.874789098336</v>
      </c>
      <c r="E41" s="821">
        <f>VLOOKUP($B41,'FW Age'!$A$6:$I$50,7)*$F41</f>
        <v>0</v>
      </c>
      <c r="F41" s="311">
        <f t="shared" si="3"/>
        <v>1885712</v>
      </c>
      <c r="G41" s="362" t="s">
        <v>251</v>
      </c>
      <c r="H41" s="2266" t="s">
        <v>245</v>
      </c>
      <c r="I41" s="2267"/>
      <c r="J41" s="2268"/>
      <c r="K41" s="402"/>
      <c r="L41" s="2268"/>
      <c r="M41" s="2268"/>
      <c r="N41" s="402"/>
      <c r="O41" s="2268"/>
      <c r="P41" s="2270"/>
      <c r="Q41" s="401"/>
      <c r="R41" s="359" t="str">
        <f t="shared" si="0"/>
        <v/>
      </c>
      <c r="S41" s="279" t="str">
        <f t="shared" si="1"/>
        <v/>
      </c>
      <c r="T41" s="279" t="str">
        <f t="shared" si="2"/>
        <v/>
      </c>
      <c r="U41" s="410"/>
      <c r="V41" s="458"/>
      <c r="W41" s="322">
        <f>DATE($B41,5,14)</f>
        <v>42869</v>
      </c>
      <c r="X41" s="322">
        <f>DATE($B41,5,18)</f>
        <v>42873</v>
      </c>
      <c r="Y41" s="322">
        <f>DATE($B41,5,25)</f>
        <v>42880</v>
      </c>
      <c r="Z41" s="413"/>
      <c r="AA41" s="418" t="s">
        <v>274</v>
      </c>
      <c r="AB41" s="681">
        <v>1885712</v>
      </c>
      <c r="AC41" s="693">
        <v>42822</v>
      </c>
      <c r="AD41" s="1192"/>
      <c r="AE41" s="2278">
        <v>605</v>
      </c>
      <c r="AF41" s="2279">
        <v>81</v>
      </c>
      <c r="AG41" s="2280">
        <v>5.5925619834710742</v>
      </c>
      <c r="AH41" s="2280" t="s">
        <v>252</v>
      </c>
      <c r="AI41" s="2281" t="s">
        <v>280</v>
      </c>
      <c r="AJ41" s="682" t="s">
        <v>245</v>
      </c>
      <c r="AK41" s="366" t="s">
        <v>255</v>
      </c>
      <c r="AL41" s="453" t="s">
        <v>249</v>
      </c>
    </row>
    <row r="42" spans="1:38" x14ac:dyDescent="0.3">
      <c r="A42" s="244" t="s">
        <v>243</v>
      </c>
      <c r="B42" s="352">
        <v>2018</v>
      </c>
      <c r="C42" s="819">
        <f>VLOOKUP($B42,'FW Age'!$A$6:$I$50,3)*$F42</f>
        <v>4121374.9372780812</v>
      </c>
      <c r="D42" s="820">
        <f>VLOOKUP($B42,'FW Age'!$A$6:$I$50,5)*$F42</f>
        <v>1421.0627219189009</v>
      </c>
      <c r="E42" s="821">
        <f>VLOOKUP($B42,'FW Age'!$A$6:$I$50,7)*$F42</f>
        <v>0</v>
      </c>
      <c r="F42" s="311">
        <f t="shared" si="3"/>
        <v>4122796</v>
      </c>
      <c r="G42" s="362" t="s">
        <v>251</v>
      </c>
      <c r="H42" s="2266" t="s">
        <v>245</v>
      </c>
      <c r="I42" s="2267"/>
      <c r="J42" s="2268"/>
      <c r="K42" s="2269"/>
      <c r="L42" s="2268"/>
      <c r="M42" s="2268"/>
      <c r="N42" s="2269"/>
      <c r="O42" s="2268"/>
      <c r="P42" s="2270"/>
      <c r="Q42" s="401"/>
      <c r="R42" s="359" t="str">
        <f t="shared" si="0"/>
        <v/>
      </c>
      <c r="S42" s="279" t="str">
        <f t="shared" si="1"/>
        <v/>
      </c>
      <c r="T42" s="279" t="str">
        <f t="shared" si="2"/>
        <v/>
      </c>
      <c r="U42" s="2282"/>
      <c r="V42" s="458"/>
      <c r="W42" s="322">
        <f>DATE($B42,5,10)</f>
        <v>43230</v>
      </c>
      <c r="X42" s="322">
        <f>DATE($B42,5,15)</f>
        <v>43235</v>
      </c>
      <c r="Y42" s="322">
        <f>DATE($B42,5,24)</f>
        <v>43244</v>
      </c>
      <c r="Z42" s="413"/>
      <c r="AA42" s="418" t="s">
        <v>274</v>
      </c>
      <c r="AB42" s="681">
        <v>4122796</v>
      </c>
      <c r="AC42" s="693">
        <v>43146</v>
      </c>
      <c r="AD42" s="1192"/>
      <c r="AE42" s="2278">
        <v>984</v>
      </c>
      <c r="AF42" s="2279">
        <v>73.099999999999994</v>
      </c>
      <c r="AG42" s="2280">
        <v>3.8644512195121949</v>
      </c>
      <c r="AH42" s="2280" t="s">
        <v>252</v>
      </c>
      <c r="AI42" s="2281" t="s">
        <v>281</v>
      </c>
      <c r="AJ42" s="682" t="s">
        <v>245</v>
      </c>
      <c r="AK42" s="366" t="s">
        <v>255</v>
      </c>
      <c r="AL42" s="453" t="s">
        <v>249</v>
      </c>
    </row>
    <row r="43" spans="1:38" x14ac:dyDescent="0.3">
      <c r="A43" s="244" t="s">
        <v>243</v>
      </c>
      <c r="B43" s="352">
        <v>2019</v>
      </c>
      <c r="C43" s="819">
        <f>VLOOKUP($B43,'FW Age'!$A$6:$I$50,3)*$F43</f>
        <v>1556054</v>
      </c>
      <c r="D43" s="820">
        <f>VLOOKUP($B43,'FW Age'!$A$6:$I$50,5)*$F43</f>
        <v>0</v>
      </c>
      <c r="E43" s="821">
        <f>VLOOKUP($B43,'FW Age'!$A$6:$I$50,7)*$F43</f>
        <v>0</v>
      </c>
      <c r="F43" s="311">
        <f t="shared" si="3"/>
        <v>1556054</v>
      </c>
      <c r="G43" s="362" t="s">
        <v>251</v>
      </c>
      <c r="H43" s="2266" t="s">
        <v>245</v>
      </c>
      <c r="I43" s="2267"/>
      <c r="J43" s="2268"/>
      <c r="K43" s="402"/>
      <c r="L43" s="2268"/>
      <c r="M43" s="2268"/>
      <c r="N43" s="402"/>
      <c r="O43" s="2268"/>
      <c r="P43" s="2270"/>
      <c r="Q43" s="401"/>
      <c r="R43" s="359" t="str">
        <f t="shared" si="0"/>
        <v/>
      </c>
      <c r="S43" s="279" t="str">
        <f t="shared" si="1"/>
        <v/>
      </c>
      <c r="T43" s="279" t="str">
        <f t="shared" si="2"/>
        <v/>
      </c>
      <c r="U43" s="410"/>
      <c r="V43" s="420"/>
      <c r="W43" s="322">
        <f>DATE($B43,5,22)</f>
        <v>43607</v>
      </c>
      <c r="X43" s="322">
        <f>DATE($B43,5,25)</f>
        <v>43610</v>
      </c>
      <c r="Y43" s="322">
        <f>DATE($B43,6,5)</f>
        <v>43621</v>
      </c>
      <c r="Z43" s="413"/>
      <c r="AA43" s="418" t="s">
        <v>274</v>
      </c>
      <c r="AB43" s="940">
        <v>1556054</v>
      </c>
      <c r="AC43" s="692">
        <v>43388</v>
      </c>
      <c r="AD43" s="1192"/>
      <c r="AE43" s="2278">
        <v>300</v>
      </c>
      <c r="AF43" s="2279">
        <v>78.3</v>
      </c>
      <c r="AG43" s="2280">
        <v>5.28</v>
      </c>
      <c r="AH43" s="2280" t="s">
        <v>252</v>
      </c>
      <c r="AI43" s="2281" t="s">
        <v>282</v>
      </c>
      <c r="AJ43" s="691" t="s">
        <v>283</v>
      </c>
      <c r="AK43" s="366" t="s">
        <v>255</v>
      </c>
      <c r="AL43" s="453" t="s">
        <v>249</v>
      </c>
    </row>
    <row r="44" spans="1:38" x14ac:dyDescent="0.3">
      <c r="A44" s="244" t="s">
        <v>243</v>
      </c>
      <c r="B44" s="352">
        <v>2020</v>
      </c>
      <c r="C44" s="819">
        <f>VLOOKUP($B44,'FW Age'!$A$6:$I$50,3)*$F44</f>
        <v>2540161</v>
      </c>
      <c r="D44" s="820">
        <f>VLOOKUP($B44,'FW Age'!$A$6:$I$50,5)*$F44</f>
        <v>0</v>
      </c>
      <c r="E44" s="821">
        <f>VLOOKUP($B44,'FW Age'!$A$6:$I$50,7)*$F44</f>
        <v>0</v>
      </c>
      <c r="F44" s="311">
        <f t="shared" si="3"/>
        <v>2540161</v>
      </c>
      <c r="G44" s="362" t="s">
        <v>251</v>
      </c>
      <c r="H44" s="2266" t="s">
        <v>245</v>
      </c>
      <c r="I44" s="2267"/>
      <c r="J44" s="2268"/>
      <c r="K44" s="2269"/>
      <c r="L44" s="2268"/>
      <c r="M44" s="2268"/>
      <c r="N44" s="402"/>
      <c r="O44" s="2268"/>
      <c r="P44" s="2270"/>
      <c r="Q44" s="401"/>
      <c r="R44" s="359" t="str">
        <f t="shared" si="0"/>
        <v/>
      </c>
      <c r="S44" s="279" t="str">
        <f t="shared" si="1"/>
        <v/>
      </c>
      <c r="T44" s="279" t="str">
        <f t="shared" si="2"/>
        <v/>
      </c>
      <c r="U44" s="2282"/>
      <c r="V44" s="420"/>
      <c r="W44" s="322"/>
      <c r="X44" s="322"/>
      <c r="Y44" s="322"/>
      <c r="Z44" s="413"/>
      <c r="AA44" s="418" t="s">
        <v>247</v>
      </c>
      <c r="AB44" s="681">
        <v>2540161</v>
      </c>
      <c r="AC44" s="693">
        <v>43888</v>
      </c>
      <c r="AD44" s="1192"/>
      <c r="AE44" s="2278">
        <v>601</v>
      </c>
      <c r="AF44" s="2279">
        <v>65.099999999999994</v>
      </c>
      <c r="AG44" s="2280">
        <v>2.9243427620632279</v>
      </c>
      <c r="AH44" s="2280" t="s">
        <v>252</v>
      </c>
      <c r="AI44" s="2281" t="s">
        <v>269</v>
      </c>
      <c r="AJ44" s="682" t="s">
        <v>245</v>
      </c>
      <c r="AK44" s="366" t="s">
        <v>255</v>
      </c>
      <c r="AL44" s="453" t="s">
        <v>249</v>
      </c>
    </row>
    <row r="45" spans="1:38" x14ac:dyDescent="0.3">
      <c r="A45" s="244" t="s">
        <v>243</v>
      </c>
      <c r="B45" s="352">
        <v>2021</v>
      </c>
      <c r="C45" s="819">
        <f>VLOOKUP($B45,'FW Age'!$A$6:$I$50,3)*$F45</f>
        <v>1464091</v>
      </c>
      <c r="D45" s="820">
        <f>VLOOKUP($B45,'FW Age'!$A$6:$I$50,5)*$F45</f>
        <v>0</v>
      </c>
      <c r="E45" s="821">
        <f>VLOOKUP($B45,'FW Age'!$A$6:$I$50,7)*$F45</f>
        <v>0</v>
      </c>
      <c r="F45" s="311">
        <f t="shared" si="3"/>
        <v>1464091</v>
      </c>
      <c r="G45" s="362" t="s">
        <v>251</v>
      </c>
      <c r="H45" s="2266" t="s">
        <v>245</v>
      </c>
      <c r="I45" s="2267"/>
      <c r="J45" s="2268"/>
      <c r="K45" s="402"/>
      <c r="L45" s="405"/>
      <c r="M45" s="405"/>
      <c r="N45" s="402"/>
      <c r="O45" s="405"/>
      <c r="P45" s="406"/>
      <c r="Q45" s="401"/>
      <c r="R45" s="359" t="str">
        <f t="shared" si="0"/>
        <v/>
      </c>
      <c r="S45" s="279" t="str">
        <f t="shared" si="1"/>
        <v/>
      </c>
      <c r="T45" s="279" t="str">
        <f t="shared" si="2"/>
        <v/>
      </c>
      <c r="U45" s="410"/>
      <c r="V45" s="419"/>
      <c r="W45" s="322">
        <f>DATE($B45,5,20)</f>
        <v>44336</v>
      </c>
      <c r="X45" s="322">
        <f>DATE($B45,5,23)</f>
        <v>44339</v>
      </c>
      <c r="Y45" s="322">
        <f>DATE($B45,5,29)</f>
        <v>44345</v>
      </c>
      <c r="Z45" s="416"/>
      <c r="AA45" s="418" t="s">
        <v>274</v>
      </c>
      <c r="AB45" s="681">
        <v>1464091</v>
      </c>
      <c r="AC45" s="693">
        <v>44270</v>
      </c>
      <c r="AD45" s="1192"/>
      <c r="AE45" s="2278">
        <v>959</v>
      </c>
      <c r="AF45" s="2279">
        <v>73.933333333333337</v>
      </c>
      <c r="AG45" s="2280">
        <v>4.5243065693430662</v>
      </c>
      <c r="AH45" s="2280" t="s">
        <v>252</v>
      </c>
      <c r="AI45" s="2281" t="s">
        <v>273</v>
      </c>
      <c r="AJ45" s="682" t="s">
        <v>245</v>
      </c>
      <c r="AK45" s="366" t="s">
        <v>255</v>
      </c>
      <c r="AL45" s="453" t="s">
        <v>249</v>
      </c>
    </row>
    <row r="46" spans="1:38" x14ac:dyDescent="0.3">
      <c r="A46" s="81" t="s">
        <v>243</v>
      </c>
      <c r="B46" s="352">
        <v>2022</v>
      </c>
      <c r="C46" s="816">
        <f>VLOOKUP($B46,'FW Age'!$A$6:$I$50,3)*$F46</f>
        <v>3673223</v>
      </c>
      <c r="D46" s="817">
        <f>VLOOKUP($B46,'FW Age'!$A$6:$I$50,5)*$F46</f>
        <v>0</v>
      </c>
      <c r="E46" s="818">
        <f>VLOOKUP($B46,'FW Age'!$A$6:$I$50,7)*$F46</f>
        <v>0</v>
      </c>
      <c r="F46" s="312">
        <f t="shared" si="3"/>
        <v>3673223</v>
      </c>
      <c r="G46" s="698" t="s">
        <v>284</v>
      </c>
      <c r="H46" s="2266" t="s">
        <v>245</v>
      </c>
      <c r="I46" s="2267"/>
      <c r="J46" s="2268"/>
      <c r="K46" s="402"/>
      <c r="L46" s="405"/>
      <c r="M46" s="405"/>
      <c r="N46" s="402"/>
      <c r="O46" s="405"/>
      <c r="P46" s="406"/>
      <c r="Q46" s="401"/>
      <c r="R46" s="359" t="str">
        <f t="shared" si="0"/>
        <v/>
      </c>
      <c r="S46" s="279" t="str">
        <f t="shared" si="1"/>
        <v/>
      </c>
      <c r="T46" s="279" t="str">
        <f t="shared" si="2"/>
        <v/>
      </c>
      <c r="U46" s="410"/>
      <c r="V46" s="419"/>
      <c r="W46" s="322"/>
      <c r="X46" s="322"/>
      <c r="Y46" s="322"/>
      <c r="Z46" s="416"/>
      <c r="AA46" s="418"/>
      <c r="AB46" s="681">
        <v>3673223</v>
      </c>
      <c r="AC46" s="693"/>
      <c r="AD46" s="1192"/>
      <c r="AE46" s="2278"/>
      <c r="AF46" s="2279"/>
      <c r="AG46" s="2280"/>
      <c r="AH46" s="2280"/>
      <c r="AI46" s="421" t="s">
        <v>285</v>
      </c>
      <c r="AJ46" s="682"/>
      <c r="AK46" s="366" t="s">
        <v>255</v>
      </c>
      <c r="AL46" s="453" t="s">
        <v>286</v>
      </c>
    </row>
    <row r="47" spans="1:38" x14ac:dyDescent="0.3">
      <c r="A47" s="244" t="s">
        <v>243</v>
      </c>
      <c r="B47" s="352">
        <v>2023</v>
      </c>
      <c r="C47" s="816">
        <f>VLOOKUP($B47,'FW Age'!$A$6:$I$50,3)*$F47</f>
        <v>1212000</v>
      </c>
      <c r="D47" s="817">
        <f>VLOOKUP($B47,'FW Age'!$A$6:$I$50,5)*$F47</f>
        <v>0</v>
      </c>
      <c r="E47" s="818">
        <f>VLOOKUP($B47,'FW Age'!$A$6:$I$50,7)*$F47</f>
        <v>0</v>
      </c>
      <c r="F47" s="312">
        <f t="shared" si="3"/>
        <v>1212000</v>
      </c>
      <c r="G47" s="400" t="s">
        <v>287</v>
      </c>
      <c r="H47" s="2266" t="s">
        <v>245</v>
      </c>
      <c r="I47" s="2267"/>
      <c r="J47" s="2268"/>
      <c r="K47" s="402"/>
      <c r="L47" s="403"/>
      <c r="M47" s="403"/>
      <c r="N47" s="402"/>
      <c r="O47" s="403"/>
      <c r="P47" s="404"/>
      <c r="Q47" s="407"/>
      <c r="R47" s="409" t="s">
        <v>257</v>
      </c>
      <c r="S47" s="279" t="str">
        <f t="shared" si="1"/>
        <v/>
      </c>
      <c r="T47" s="279" t="str">
        <f t="shared" si="2"/>
        <v/>
      </c>
      <c r="U47" s="410"/>
      <c r="V47" s="420"/>
      <c r="W47" s="412"/>
      <c r="X47" s="412"/>
      <c r="Y47" s="412"/>
      <c r="Z47" s="413"/>
      <c r="AA47" s="418"/>
      <c r="AB47" s="940">
        <f>1212000</f>
        <v>1212000</v>
      </c>
      <c r="AC47" s="2277">
        <v>45006</v>
      </c>
      <c r="AD47" s="1192"/>
      <c r="AE47" s="2278"/>
      <c r="AF47" s="2279"/>
      <c r="AG47" s="2280"/>
      <c r="AH47" s="2280"/>
      <c r="AI47" s="2281" t="s">
        <v>288</v>
      </c>
      <c r="AJ47" s="682"/>
      <c r="AK47" s="57"/>
      <c r="AL47" s="324"/>
    </row>
    <row r="48" spans="1:38" hidden="1" x14ac:dyDescent="0.3">
      <c r="A48" s="81"/>
      <c r="B48" s="352"/>
      <c r="C48" s="308"/>
      <c r="D48" s="309"/>
      <c r="E48" s="310"/>
      <c r="F48" s="311" t="str">
        <f t="shared" ref="F48:F58" si="4">IF(C48,SUM(C48:E48),"")</f>
        <v/>
      </c>
      <c r="G48" s="400"/>
      <c r="H48" s="2266" t="s">
        <v>245</v>
      </c>
      <c r="I48" s="2267"/>
      <c r="J48" s="2268"/>
      <c r="K48" s="402"/>
      <c r="L48" s="2268"/>
      <c r="M48" s="2268"/>
      <c r="N48" s="402"/>
      <c r="O48" s="2268"/>
      <c r="P48" s="2270"/>
      <c r="Q48" s="401"/>
      <c r="R48" s="409" t="s">
        <v>257</v>
      </c>
      <c r="S48" s="279" t="str">
        <f t="shared" si="1"/>
        <v/>
      </c>
      <c r="T48" s="279" t="str">
        <f t="shared" si="2"/>
        <v/>
      </c>
      <c r="U48" s="410"/>
      <c r="V48" s="420"/>
      <c r="W48" s="412"/>
      <c r="X48" s="412"/>
      <c r="Y48" s="412"/>
      <c r="Z48" s="413"/>
      <c r="AA48" s="418"/>
      <c r="AB48" s="2283"/>
      <c r="AC48" s="2277"/>
      <c r="AD48" s="1192"/>
      <c r="AE48" s="2278"/>
      <c r="AF48" s="2279"/>
      <c r="AG48" s="424"/>
      <c r="AH48" s="424"/>
      <c r="AI48" s="2281"/>
      <c r="AJ48" s="682"/>
      <c r="AK48" s="57"/>
      <c r="AL48" s="324"/>
    </row>
    <row r="49" spans="1:38" hidden="1" x14ac:dyDescent="0.3">
      <c r="A49" s="81"/>
      <c r="B49" s="352"/>
      <c r="C49" s="308"/>
      <c r="D49" s="309"/>
      <c r="E49" s="310"/>
      <c r="F49" s="311" t="str">
        <f t="shared" si="4"/>
        <v/>
      </c>
      <c r="G49" s="400"/>
      <c r="H49" s="2266" t="s">
        <v>245</v>
      </c>
      <c r="I49" s="2267"/>
      <c r="J49" s="2268"/>
      <c r="K49" s="402"/>
      <c r="L49" s="2268"/>
      <c r="M49" s="2268"/>
      <c r="N49" s="402"/>
      <c r="O49" s="2268"/>
      <c r="P49" s="2270"/>
      <c r="Q49" s="401"/>
      <c r="R49" s="409" t="s">
        <v>257</v>
      </c>
      <c r="S49" s="279" t="str">
        <f t="shared" si="1"/>
        <v/>
      </c>
      <c r="T49" s="279" t="str">
        <f t="shared" si="2"/>
        <v/>
      </c>
      <c r="U49" s="410"/>
      <c r="V49" s="420"/>
      <c r="W49" s="412"/>
      <c r="X49" s="412"/>
      <c r="Y49" s="412"/>
      <c r="Z49" s="413"/>
      <c r="AA49" s="414"/>
      <c r="AB49" s="2283"/>
      <c r="AC49" s="2277"/>
      <c r="AD49" s="1192"/>
      <c r="AE49" s="2278"/>
      <c r="AF49" s="2279"/>
      <c r="AG49" s="2280"/>
      <c r="AH49" s="2280"/>
      <c r="AI49" s="2281"/>
      <c r="AJ49" s="682"/>
      <c r="AK49" s="57"/>
      <c r="AL49" s="324"/>
    </row>
    <row r="50" spans="1:38" hidden="1" x14ac:dyDescent="0.3">
      <c r="A50" s="81"/>
      <c r="B50" s="352"/>
      <c r="C50" s="308"/>
      <c r="D50" s="309"/>
      <c r="E50" s="310"/>
      <c r="F50" s="312" t="str">
        <f t="shared" si="4"/>
        <v/>
      </c>
      <c r="G50" s="400"/>
      <c r="H50" s="2266" t="s">
        <v>245</v>
      </c>
      <c r="I50" s="2267"/>
      <c r="J50" s="2268"/>
      <c r="K50" s="2269"/>
      <c r="L50" s="403"/>
      <c r="M50" s="403"/>
      <c r="N50" s="2269"/>
      <c r="O50" s="403"/>
      <c r="P50" s="404"/>
      <c r="Q50" s="408"/>
      <c r="R50" s="359" t="str">
        <f t="shared" si="0"/>
        <v/>
      </c>
      <c r="S50" s="279" t="str">
        <f t="shared" si="1"/>
        <v/>
      </c>
      <c r="T50" s="279" t="str">
        <f t="shared" si="2"/>
        <v/>
      </c>
      <c r="U50" s="281"/>
      <c r="V50" s="420"/>
      <c r="W50" s="412"/>
      <c r="X50" s="412"/>
      <c r="Y50" s="412"/>
      <c r="Z50" s="413"/>
      <c r="AA50" s="418"/>
      <c r="AB50" s="2283"/>
      <c r="AC50" s="422"/>
      <c r="AD50" s="1192"/>
      <c r="AE50" s="2278"/>
      <c r="AF50" s="423"/>
      <c r="AG50" s="2280"/>
      <c r="AH50" s="2280"/>
      <c r="AI50" s="421"/>
      <c r="AJ50" s="682"/>
      <c r="AK50" s="57"/>
      <c r="AL50" s="324"/>
    </row>
    <row r="51" spans="1:38" hidden="1" x14ac:dyDescent="0.3">
      <c r="A51" s="81"/>
      <c r="B51" s="352"/>
      <c r="C51" s="308"/>
      <c r="D51" s="309"/>
      <c r="E51" s="310"/>
      <c r="F51" s="312" t="str">
        <f t="shared" si="4"/>
        <v/>
      </c>
      <c r="G51" s="2284"/>
      <c r="H51" s="2266" t="s">
        <v>245</v>
      </c>
      <c r="I51" s="2267"/>
      <c r="J51" s="2268"/>
      <c r="K51" s="2269"/>
      <c r="L51" s="2268"/>
      <c r="M51" s="2268"/>
      <c r="N51" s="2269"/>
      <c r="O51" s="2268"/>
      <c r="P51" s="2270"/>
      <c r="Q51" s="401"/>
      <c r="R51" s="359" t="str">
        <f t="shared" si="0"/>
        <v/>
      </c>
      <c r="S51" s="279" t="str">
        <f t="shared" si="1"/>
        <v/>
      </c>
      <c r="T51" s="279" t="str">
        <f t="shared" si="2"/>
        <v/>
      </c>
      <c r="U51" s="276"/>
      <c r="V51" s="420"/>
      <c r="W51" s="412"/>
      <c r="X51" s="412"/>
      <c r="Y51" s="412"/>
      <c r="Z51" s="413"/>
      <c r="AA51" s="414"/>
      <c r="AB51" s="2283"/>
      <c r="AC51" s="2277"/>
      <c r="AD51" s="1192"/>
      <c r="AE51" s="2278"/>
      <c r="AF51" s="2279"/>
      <c r="AG51" s="2280"/>
      <c r="AH51" s="2280"/>
      <c r="AI51" s="2284"/>
      <c r="AJ51" s="682"/>
      <c r="AK51" s="57"/>
      <c r="AL51" s="324"/>
    </row>
    <row r="52" spans="1:38" hidden="1" x14ac:dyDescent="0.3">
      <c r="A52" s="81"/>
      <c r="B52" s="352"/>
      <c r="C52" s="308"/>
      <c r="D52" s="309"/>
      <c r="E52" s="310"/>
      <c r="F52" s="312" t="str">
        <f t="shared" si="4"/>
        <v/>
      </c>
      <c r="G52" s="2284"/>
      <c r="H52" s="2266" t="s">
        <v>245</v>
      </c>
      <c r="I52" s="2267"/>
      <c r="J52" s="2268"/>
      <c r="K52" s="2269"/>
      <c r="L52" s="2268"/>
      <c r="M52" s="2268"/>
      <c r="N52" s="2269"/>
      <c r="O52" s="2268"/>
      <c r="P52" s="2270"/>
      <c r="Q52" s="408"/>
      <c r="R52" s="359" t="str">
        <f t="shared" si="0"/>
        <v/>
      </c>
      <c r="S52" s="279" t="str">
        <f t="shared" si="1"/>
        <v/>
      </c>
      <c r="T52" s="279" t="str">
        <f t="shared" si="2"/>
        <v/>
      </c>
      <c r="U52" s="276"/>
      <c r="V52" s="321"/>
      <c r="W52" s="322"/>
      <c r="X52" s="322"/>
      <c r="Y52" s="322"/>
      <c r="Z52" s="323"/>
      <c r="AA52" s="225"/>
      <c r="AB52" s="2283"/>
      <c r="AC52" s="2277"/>
      <c r="AD52" s="1192"/>
      <c r="AE52" s="2278"/>
      <c r="AF52" s="2279"/>
      <c r="AG52" s="2280"/>
      <c r="AH52" s="2280"/>
      <c r="AI52" s="2284"/>
      <c r="AJ52" s="682"/>
      <c r="AK52" s="57"/>
      <c r="AL52" s="324"/>
    </row>
    <row r="53" spans="1:38" hidden="1" x14ac:dyDescent="0.3">
      <c r="A53" s="81"/>
      <c r="B53" s="352"/>
      <c r="C53" s="308"/>
      <c r="D53" s="309"/>
      <c r="E53" s="310"/>
      <c r="F53" s="312" t="str">
        <f t="shared" si="4"/>
        <v/>
      </c>
      <c r="G53" s="362"/>
      <c r="H53" s="2266" t="s">
        <v>245</v>
      </c>
      <c r="I53" s="2267"/>
      <c r="J53" s="2268"/>
      <c r="K53" s="2269"/>
      <c r="L53" s="2268"/>
      <c r="M53" s="2268"/>
      <c r="N53" s="2269"/>
      <c r="O53" s="2268"/>
      <c r="P53" s="2270"/>
      <c r="Q53" s="408"/>
      <c r="R53" s="359" t="str">
        <f t="shared" si="0"/>
        <v/>
      </c>
      <c r="S53" s="279" t="str">
        <f t="shared" si="1"/>
        <v/>
      </c>
      <c r="T53" s="279" t="str">
        <f t="shared" si="2"/>
        <v/>
      </c>
      <c r="U53" s="276"/>
      <c r="V53" s="321"/>
      <c r="W53" s="322"/>
      <c r="X53" s="322"/>
      <c r="Y53" s="322"/>
      <c r="Z53" s="323"/>
      <c r="AA53" s="225"/>
      <c r="AB53" s="2283"/>
      <c r="AC53" s="2277"/>
      <c r="AD53" s="1192"/>
      <c r="AE53" s="2278"/>
      <c r="AF53" s="2279"/>
      <c r="AG53" s="2285"/>
      <c r="AH53" s="2285"/>
      <c r="AI53" s="2281"/>
      <c r="AJ53" s="682"/>
      <c r="AK53" s="57"/>
      <c r="AL53" s="324"/>
    </row>
    <row r="54" spans="1:38" hidden="1" x14ac:dyDescent="0.3">
      <c r="A54" s="81"/>
      <c r="B54" s="352"/>
      <c r="C54" s="308"/>
      <c r="D54" s="309"/>
      <c r="E54" s="310"/>
      <c r="F54" s="312" t="str">
        <f t="shared" si="4"/>
        <v/>
      </c>
      <c r="G54" s="362"/>
      <c r="H54" s="2266" t="s">
        <v>245</v>
      </c>
      <c r="I54" s="2267"/>
      <c r="J54" s="2268"/>
      <c r="K54" s="2269"/>
      <c r="L54" s="2268"/>
      <c r="M54" s="2268"/>
      <c r="N54" s="2269"/>
      <c r="O54" s="2268"/>
      <c r="P54" s="2270"/>
      <c r="Q54" s="408"/>
      <c r="R54" s="359" t="str">
        <f t="shared" si="0"/>
        <v/>
      </c>
      <c r="S54" s="279" t="str">
        <f t="shared" si="1"/>
        <v/>
      </c>
      <c r="T54" s="279" t="str">
        <f t="shared" si="2"/>
        <v/>
      </c>
      <c r="U54" s="276"/>
      <c r="V54" s="321"/>
      <c r="W54" s="322"/>
      <c r="X54" s="322"/>
      <c r="Y54" s="322"/>
      <c r="Z54" s="323"/>
      <c r="AA54" s="225"/>
      <c r="AB54" s="2283"/>
      <c r="AC54" s="2277"/>
      <c r="AD54" s="1192"/>
      <c r="AE54" s="2278"/>
      <c r="AF54" s="2279"/>
      <c r="AG54" s="2285"/>
      <c r="AH54" s="2285"/>
      <c r="AI54" s="2281"/>
      <c r="AJ54" s="682"/>
      <c r="AK54" s="57"/>
      <c r="AL54" s="324"/>
    </row>
    <row r="55" spans="1:38" hidden="1" x14ac:dyDescent="0.3">
      <c r="A55" s="81"/>
      <c r="B55" s="352"/>
      <c r="C55" s="308"/>
      <c r="D55" s="309"/>
      <c r="E55" s="310"/>
      <c r="F55" s="311" t="str">
        <f t="shared" si="4"/>
        <v/>
      </c>
      <c r="G55" s="362"/>
      <c r="H55" s="2266" t="s">
        <v>245</v>
      </c>
      <c r="I55" s="2267"/>
      <c r="J55" s="2268"/>
      <c r="K55" s="2269"/>
      <c r="L55" s="2268"/>
      <c r="M55" s="2268"/>
      <c r="N55" s="2269"/>
      <c r="O55" s="2268"/>
      <c r="P55" s="2270"/>
      <c r="Q55" s="408"/>
      <c r="R55" s="359" t="str">
        <f t="shared" si="0"/>
        <v/>
      </c>
      <c r="S55" s="279" t="str">
        <f t="shared" si="1"/>
        <v/>
      </c>
      <c r="T55" s="279" t="str">
        <f t="shared" si="2"/>
        <v/>
      </c>
      <c r="U55" s="276"/>
      <c r="V55" s="321"/>
      <c r="W55" s="322"/>
      <c r="X55" s="322"/>
      <c r="Y55" s="322"/>
      <c r="Z55" s="323"/>
      <c r="AA55" s="225"/>
      <c r="AB55" s="2283"/>
      <c r="AC55" s="2277"/>
      <c r="AD55" s="1192"/>
      <c r="AE55" s="2278"/>
      <c r="AF55" s="2279"/>
      <c r="AG55" s="2285"/>
      <c r="AH55" s="2285"/>
      <c r="AI55" s="2281"/>
      <c r="AJ55" s="682"/>
      <c r="AK55" s="57"/>
      <c r="AL55" s="324"/>
    </row>
    <row r="56" spans="1:38" hidden="1" x14ac:dyDescent="0.3">
      <c r="A56" s="81"/>
      <c r="B56" s="352"/>
      <c r="C56" s="308"/>
      <c r="D56" s="309"/>
      <c r="E56" s="310"/>
      <c r="F56" s="311" t="str">
        <f t="shared" si="4"/>
        <v/>
      </c>
      <c r="G56" s="362"/>
      <c r="H56" s="2266" t="s">
        <v>245</v>
      </c>
      <c r="I56" s="2267"/>
      <c r="J56" s="2268"/>
      <c r="K56" s="2269"/>
      <c r="L56" s="2268"/>
      <c r="M56" s="2268"/>
      <c r="N56" s="2269"/>
      <c r="O56" s="2268"/>
      <c r="P56" s="2270"/>
      <c r="Q56" s="408"/>
      <c r="R56" s="359" t="str">
        <f t="shared" si="0"/>
        <v/>
      </c>
      <c r="S56" s="279" t="str">
        <f t="shared" si="1"/>
        <v/>
      </c>
      <c r="T56" s="279" t="str">
        <f t="shared" si="2"/>
        <v/>
      </c>
      <c r="U56" s="276"/>
      <c r="V56" s="321"/>
      <c r="W56" s="322"/>
      <c r="X56" s="322"/>
      <c r="Y56" s="322"/>
      <c r="Z56" s="323"/>
      <c r="AA56" s="225"/>
      <c r="AB56" s="2283"/>
      <c r="AC56" s="2277"/>
      <c r="AD56" s="1192"/>
      <c r="AE56" s="2278"/>
      <c r="AF56" s="2279"/>
      <c r="AG56" s="2285"/>
      <c r="AH56" s="2285"/>
      <c r="AI56" s="2281"/>
      <c r="AJ56" s="682"/>
      <c r="AK56" s="57"/>
      <c r="AL56" s="324"/>
    </row>
    <row r="57" spans="1:38" hidden="1" x14ac:dyDescent="0.3">
      <c r="A57" s="81"/>
      <c r="B57" s="352"/>
      <c r="C57" s="308"/>
      <c r="D57" s="309"/>
      <c r="E57" s="310"/>
      <c r="F57" s="311" t="str">
        <f t="shared" si="4"/>
        <v/>
      </c>
      <c r="G57" s="362"/>
      <c r="H57" s="2266" t="s">
        <v>245</v>
      </c>
      <c r="I57" s="2267"/>
      <c r="J57" s="2268"/>
      <c r="K57" s="2269"/>
      <c r="L57" s="2268"/>
      <c r="M57" s="2268"/>
      <c r="N57" s="2269"/>
      <c r="O57" s="2268"/>
      <c r="P57" s="2270"/>
      <c r="Q57" s="408"/>
      <c r="R57" s="359" t="str">
        <f t="shared" si="0"/>
        <v/>
      </c>
      <c r="S57" s="279" t="str">
        <f t="shared" si="1"/>
        <v/>
      </c>
      <c r="T57" s="279" t="str">
        <f t="shared" si="2"/>
        <v/>
      </c>
      <c r="U57" s="276"/>
      <c r="V57" s="321"/>
      <c r="W57" s="322"/>
      <c r="X57" s="322"/>
      <c r="Y57" s="322"/>
      <c r="Z57" s="323"/>
      <c r="AA57" s="225"/>
      <c r="AB57" s="2283"/>
      <c r="AC57" s="2277"/>
      <c r="AD57" s="1192"/>
      <c r="AE57" s="2278"/>
      <c r="AF57" s="2279"/>
      <c r="AG57" s="2285"/>
      <c r="AH57" s="2285"/>
      <c r="AI57" s="2281"/>
      <c r="AJ57" s="682"/>
      <c r="AK57" s="57"/>
      <c r="AL57" s="324"/>
    </row>
    <row r="58" spans="1:38" ht="15" thickBot="1" x14ac:dyDescent="0.35">
      <c r="A58" s="346"/>
      <c r="B58" s="353"/>
      <c r="C58" s="313"/>
      <c r="D58" s="314"/>
      <c r="E58" s="315"/>
      <c r="F58" s="1182" t="str">
        <f t="shared" si="4"/>
        <v/>
      </c>
      <c r="G58" s="1183"/>
      <c r="H58" s="2286" t="s">
        <v>245</v>
      </c>
      <c r="I58" s="2287"/>
      <c r="J58" s="2288"/>
      <c r="K58" s="2289"/>
      <c r="L58" s="2288"/>
      <c r="M58" s="2288"/>
      <c r="N58" s="2289"/>
      <c r="O58" s="2288"/>
      <c r="P58" s="2290"/>
      <c r="Q58" s="1184"/>
      <c r="R58" s="1185" t="str">
        <f t="shared" si="0"/>
        <v/>
      </c>
      <c r="S58" s="1186" t="str">
        <f t="shared" si="1"/>
        <v/>
      </c>
      <c r="T58" s="1186" t="str">
        <f t="shared" si="2"/>
        <v/>
      </c>
      <c r="U58" s="1187"/>
      <c r="V58" s="1188"/>
      <c r="W58" s="1189"/>
      <c r="X58" s="1189"/>
      <c r="Y58" s="1189"/>
      <c r="Z58" s="1190"/>
      <c r="AA58" s="1191"/>
      <c r="AB58" s="2291"/>
      <c r="AC58" s="2292"/>
      <c r="AD58" s="1192"/>
      <c r="AE58" s="2293"/>
      <c r="AF58" s="2294"/>
      <c r="AG58" s="2295"/>
      <c r="AH58" s="2295"/>
      <c r="AI58" s="2296"/>
      <c r="AJ58" s="684"/>
      <c r="AK58" s="59"/>
      <c r="AL58" s="350"/>
    </row>
    <row r="59" spans="1:38" x14ac:dyDescent="0.3">
      <c r="F59" s="1741"/>
      <c r="G59" s="1741"/>
      <c r="H59" s="1741"/>
      <c r="I59" s="1741"/>
      <c r="J59" s="1741"/>
      <c r="K59" s="1741"/>
      <c r="L59" s="1741"/>
      <c r="M59" s="1741"/>
      <c r="N59" s="1741"/>
      <c r="O59" s="1741"/>
      <c r="P59" s="1741"/>
      <c r="Q59" s="1741"/>
      <c r="R59" s="1741"/>
      <c r="S59" s="1741"/>
      <c r="T59" s="1741"/>
      <c r="U59" s="1741"/>
      <c r="V59" s="1741"/>
      <c r="W59" s="1741"/>
      <c r="X59" s="1741"/>
      <c r="Y59" s="1741"/>
      <c r="Z59" s="1741"/>
      <c r="AA59" s="1741"/>
      <c r="AB59" s="2455" t="s">
        <v>289</v>
      </c>
      <c r="AC59" s="2455"/>
      <c r="AD59" s="1682">
        <v>1</v>
      </c>
      <c r="AE59" s="2449" t="s">
        <v>290</v>
      </c>
      <c r="AF59" s="2449"/>
    </row>
    <row r="60" spans="1:38" x14ac:dyDescent="0.3">
      <c r="AB60" s="2456"/>
      <c r="AC60" s="2456"/>
    </row>
    <row r="61" spans="1:38" x14ac:dyDescent="0.3">
      <c r="AB61" s="2456"/>
      <c r="AC61" s="2456"/>
    </row>
  </sheetData>
  <sheetProtection formatCells="0" formatColumns="0" formatRows="0" sort="0" autoFilter="0" pivotTables="0"/>
  <mergeCells count="33">
    <mergeCell ref="AL1:AL3"/>
    <mergeCell ref="V1:AA1"/>
    <mergeCell ref="AJ1:AJ3"/>
    <mergeCell ref="AK1:AK3"/>
    <mergeCell ref="H1:U1"/>
    <mergeCell ref="H2:J2"/>
    <mergeCell ref="K2:M2"/>
    <mergeCell ref="N2:P2"/>
    <mergeCell ref="U2:U3"/>
    <mergeCell ref="X2:X3"/>
    <mergeCell ref="Z2:Z3"/>
    <mergeCell ref="AA2:AA3"/>
    <mergeCell ref="AC2:AC3"/>
    <mergeCell ref="W2:W3"/>
    <mergeCell ref="V2:V3"/>
    <mergeCell ref="AE59:AF59"/>
    <mergeCell ref="R2:T2"/>
    <mergeCell ref="AD2:AD3"/>
    <mergeCell ref="Q2:Q3"/>
    <mergeCell ref="AB59:AC61"/>
    <mergeCell ref="A1:A3"/>
    <mergeCell ref="B1:B3"/>
    <mergeCell ref="AB1:AI1"/>
    <mergeCell ref="C1:G1"/>
    <mergeCell ref="AB2:AB3"/>
    <mergeCell ref="AI2:AI3"/>
    <mergeCell ref="C2:C3"/>
    <mergeCell ref="D2:D3"/>
    <mergeCell ref="E2:E3"/>
    <mergeCell ref="F2:F3"/>
    <mergeCell ref="G2:G3"/>
    <mergeCell ref="AE2:AH2"/>
    <mergeCell ref="Y2:Y3"/>
  </mergeCells>
  <conditionalFormatting sqref="F4:F58">
    <cfRule type="dataBar" priority="7">
      <dataBar>
        <cfvo type="min"/>
        <cfvo type="max"/>
        <color rgb="FF008AEF"/>
      </dataBar>
      <extLst>
        <ext xmlns:x14="http://schemas.microsoft.com/office/spreadsheetml/2009/9/main" uri="{B025F937-C7B1-47D3-B67F-A62EFF666E3E}">
          <x14:id>{FA99465F-AB9A-446E-A55A-EFBA891D3FEA}</x14:id>
        </ext>
      </extLst>
    </cfRule>
  </conditionalFormatting>
  <conditionalFormatting sqref="S10:S58">
    <cfRule type="dataBar" priority="9">
      <dataBar>
        <cfvo type="min"/>
        <cfvo type="max"/>
        <color rgb="FFFFB628"/>
      </dataBar>
      <extLst>
        <ext xmlns:x14="http://schemas.microsoft.com/office/spreadsheetml/2009/9/main" uri="{B025F937-C7B1-47D3-B67F-A62EFF666E3E}">
          <x14:id>{098537B6-47CB-42D4-95ED-6BC2FB40CEB8}</x14:id>
        </ext>
      </extLst>
    </cfRule>
  </conditionalFormatting>
  <conditionalFormatting sqref="T10:T58">
    <cfRule type="dataBar" priority="8">
      <dataBar>
        <cfvo type="min"/>
        <cfvo type="max"/>
        <color rgb="FFFFB628"/>
      </dataBar>
      <extLst>
        <ext xmlns:x14="http://schemas.microsoft.com/office/spreadsheetml/2009/9/main" uri="{B025F937-C7B1-47D3-B67F-A62EFF666E3E}">
          <x14:id>{659487FB-B7D7-415A-BCCB-0B2635D01C35}</x14:id>
        </ext>
      </extLst>
    </cfRule>
  </conditionalFormatting>
  <conditionalFormatting sqref="AB9:AB53">
    <cfRule type="dataBar" priority="1">
      <dataBar>
        <cfvo type="min"/>
        <cfvo type="max"/>
        <color rgb="FFFFB628"/>
      </dataBar>
      <extLst>
        <ext xmlns:x14="http://schemas.microsoft.com/office/spreadsheetml/2009/9/main" uri="{B025F937-C7B1-47D3-B67F-A62EFF666E3E}">
          <x14:id>{895A9F9E-4C73-4663-81CA-ADD810D6D005}</x14:id>
        </ext>
      </extLst>
    </cfRule>
  </conditionalFormatting>
  <conditionalFormatting sqref="AF4:AF24 AF26:AF28 AF30:AF58">
    <cfRule type="dataBar" priority="6">
      <dataBar>
        <cfvo type="min"/>
        <cfvo type="max"/>
        <color rgb="FF63C384"/>
      </dataBar>
      <extLst>
        <ext xmlns:x14="http://schemas.microsoft.com/office/spreadsheetml/2009/9/main" uri="{B025F937-C7B1-47D3-B67F-A62EFF666E3E}">
          <x14:id>{CA921AB0-6303-40D9-A0BF-F27803715C15}</x14:id>
        </ext>
      </extLst>
    </cfRule>
  </conditionalFormatting>
  <conditionalFormatting sqref="AF25">
    <cfRule type="dataBar" priority="5">
      <dataBar>
        <cfvo type="min"/>
        <cfvo type="max"/>
        <color rgb="FF63C384"/>
      </dataBar>
      <extLst>
        <ext xmlns:x14="http://schemas.microsoft.com/office/spreadsheetml/2009/9/main" uri="{B025F937-C7B1-47D3-B67F-A62EFF666E3E}">
          <x14:id>{B1976B1A-52A3-4696-8D71-CBC6553EAEAD}</x14:id>
        </ext>
      </extLst>
    </cfRule>
  </conditionalFormatting>
  <conditionalFormatting sqref="AF29">
    <cfRule type="dataBar" priority="3">
      <dataBar>
        <cfvo type="min"/>
        <cfvo type="max"/>
        <color rgb="FF63C384"/>
      </dataBar>
      <extLst>
        <ext xmlns:x14="http://schemas.microsoft.com/office/spreadsheetml/2009/9/main" uri="{B025F937-C7B1-47D3-B67F-A62EFF666E3E}">
          <x14:id>{39E36769-6E74-46CC-8972-2151E9E7EF0F}</x14:id>
        </ext>
      </extLst>
    </cfRule>
  </conditionalFormatting>
  <conditionalFormatting sqref="AG22:AG28 AG30:AG45">
    <cfRule type="dataBar" priority="4">
      <dataBar>
        <cfvo type="min"/>
        <cfvo type="max"/>
        <color rgb="FF63C384"/>
      </dataBar>
      <extLst>
        <ext xmlns:x14="http://schemas.microsoft.com/office/spreadsheetml/2009/9/main" uri="{B025F937-C7B1-47D3-B67F-A62EFF666E3E}">
          <x14:id>{F12FB210-0FD9-404F-9850-ECA002442D57}</x14:id>
        </ext>
      </extLst>
    </cfRule>
  </conditionalFormatting>
  <conditionalFormatting sqref="AG29">
    <cfRule type="dataBar" priority="2">
      <dataBar>
        <cfvo type="min"/>
        <cfvo type="max"/>
        <color rgb="FF63C384"/>
      </dataBar>
      <extLst>
        <ext xmlns:x14="http://schemas.microsoft.com/office/spreadsheetml/2009/9/main" uri="{B025F937-C7B1-47D3-B67F-A62EFF666E3E}">
          <x14:id>{EED7C6F8-77B7-48D6-AC1C-87CEC8FDCEA2}</x14:id>
        </ext>
      </extLst>
    </cfRule>
  </conditionalFormatting>
  <hyperlinks>
    <hyperlink ref="AL9" r:id="rId1" xr:uid="{257E6DB9-EB9B-4150-8E59-66ADE7F0E173}"/>
    <hyperlink ref="AL10" r:id="rId2" xr:uid="{99A90A3D-1DF1-45D5-A5F7-5FC075DBBB6B}"/>
    <hyperlink ref="AL11" r:id="rId3" xr:uid="{4BF222D7-72E4-427E-91F8-F4416E8B7866}"/>
    <hyperlink ref="AL12" r:id="rId4" xr:uid="{4B2504B3-DA41-432B-8AAB-E5BC51F59FC3}"/>
    <hyperlink ref="AL13" r:id="rId5" xr:uid="{068C9C09-ACCD-4F2A-8D5B-46732CCB0A8A}"/>
    <hyperlink ref="AL14" r:id="rId6" xr:uid="{E9452426-4F5A-4AE1-B855-35EBEABC4BD3}"/>
    <hyperlink ref="AL15" r:id="rId7" xr:uid="{72EC2EDB-F23A-48E8-AB3D-A1666B4646E4}"/>
    <hyperlink ref="AL16" r:id="rId8" xr:uid="{1E9BAEDF-C182-4E83-BBAB-BEB8C2940F44}"/>
    <hyperlink ref="AL17" r:id="rId9" xr:uid="{8AA3B7B0-7A09-407D-B362-C2F968D18FC1}"/>
    <hyperlink ref="AL18" r:id="rId10" xr:uid="{651EE4C3-1C47-4760-8AF8-98D90D405FBF}"/>
    <hyperlink ref="AL19" r:id="rId11" xr:uid="{1A0681D1-8EF6-401B-8DEA-3393DEDE5B2B}"/>
    <hyperlink ref="AL20" r:id="rId12" xr:uid="{1FF57FEE-9F0A-4D26-8421-E4F1F75D7329}"/>
    <hyperlink ref="AL46" r:id="rId13" xr:uid="{2575B211-D6FB-4518-B719-8918BC01246D}"/>
  </hyperlinks>
  <pageMargins left="0.7" right="0.7" top="0.75" bottom="0.75" header="0.3" footer="0.3"/>
  <pageSetup orientation="portrait" r:id="rId14"/>
  <ignoredErrors>
    <ignoredError sqref="F4" formulaRange="1"/>
  </ignoredErrors>
  <legacyDrawing r:id="rId15"/>
  <extLst>
    <ext xmlns:x14="http://schemas.microsoft.com/office/spreadsheetml/2009/9/main" uri="{78C0D931-6437-407d-A8EE-F0AAD7539E65}">
      <x14:conditionalFormattings>
        <x14:conditionalFormatting xmlns:xm="http://schemas.microsoft.com/office/excel/2006/main">
          <x14:cfRule type="dataBar" id="{FA99465F-AB9A-446E-A55A-EFBA891D3FEA}">
            <x14:dataBar minLength="0" maxLength="100" border="1" negativeBarBorderColorSameAsPositive="0">
              <x14:cfvo type="autoMin"/>
              <x14:cfvo type="autoMax"/>
              <x14:borderColor rgb="FF008AEF"/>
              <x14:negativeFillColor rgb="FFFF0000"/>
              <x14:negativeBorderColor rgb="FFFF0000"/>
              <x14:axisColor rgb="FF000000"/>
            </x14:dataBar>
          </x14:cfRule>
          <xm:sqref>F4:F58</xm:sqref>
        </x14:conditionalFormatting>
        <x14:conditionalFormatting xmlns:xm="http://schemas.microsoft.com/office/excel/2006/main">
          <x14:cfRule type="dataBar" id="{098537B6-47CB-42D4-95ED-6BC2FB40CEB8}">
            <x14:dataBar minLength="0" maxLength="100" border="1" negativeBarBorderColorSameAsPositive="0">
              <x14:cfvo type="autoMin"/>
              <x14:cfvo type="autoMax"/>
              <x14:borderColor rgb="FFFFB628"/>
              <x14:negativeFillColor rgb="FFFF0000"/>
              <x14:negativeBorderColor rgb="FFFF0000"/>
              <x14:axisColor rgb="FF000000"/>
            </x14:dataBar>
          </x14:cfRule>
          <xm:sqref>S10:S58</xm:sqref>
        </x14:conditionalFormatting>
        <x14:conditionalFormatting xmlns:xm="http://schemas.microsoft.com/office/excel/2006/main">
          <x14:cfRule type="dataBar" id="{659487FB-B7D7-415A-BCCB-0B2635D01C35}">
            <x14:dataBar minLength="0" maxLength="100" border="1" negativeBarBorderColorSameAsPositive="0">
              <x14:cfvo type="autoMin"/>
              <x14:cfvo type="autoMax"/>
              <x14:borderColor rgb="FFFFB628"/>
              <x14:negativeFillColor rgb="FFFF0000"/>
              <x14:negativeBorderColor rgb="FFFF0000"/>
              <x14:axisColor rgb="FF000000"/>
            </x14:dataBar>
          </x14:cfRule>
          <xm:sqref>T10:T58</xm:sqref>
        </x14:conditionalFormatting>
        <x14:conditionalFormatting xmlns:xm="http://schemas.microsoft.com/office/excel/2006/main">
          <x14:cfRule type="dataBar" id="{895A9F9E-4C73-4663-81CA-ADD810D6D005}">
            <x14:dataBar minLength="0" maxLength="100" border="1" negativeBarBorderColorSameAsPositive="0">
              <x14:cfvo type="autoMin"/>
              <x14:cfvo type="autoMax"/>
              <x14:borderColor rgb="FFFFB628"/>
              <x14:negativeFillColor rgb="FFFF0000"/>
              <x14:negativeBorderColor rgb="FFFF0000"/>
              <x14:axisColor rgb="FF000000"/>
            </x14:dataBar>
          </x14:cfRule>
          <xm:sqref>AB9:AB53</xm:sqref>
        </x14:conditionalFormatting>
        <x14:conditionalFormatting xmlns:xm="http://schemas.microsoft.com/office/excel/2006/main">
          <x14:cfRule type="dataBar" id="{CA921AB0-6303-40D9-A0BF-F27803715C15}">
            <x14:dataBar minLength="0" maxLength="100" border="1" negativeBarBorderColorSameAsPositive="0">
              <x14:cfvo type="autoMin"/>
              <x14:cfvo type="autoMax"/>
              <x14:borderColor rgb="FF63C384"/>
              <x14:negativeFillColor rgb="FFFF0000"/>
              <x14:negativeBorderColor rgb="FFFF0000"/>
              <x14:axisColor rgb="FF000000"/>
            </x14:dataBar>
          </x14:cfRule>
          <xm:sqref>AF4:AF24 AF26:AF28 AF30:AF58</xm:sqref>
        </x14:conditionalFormatting>
        <x14:conditionalFormatting xmlns:xm="http://schemas.microsoft.com/office/excel/2006/main">
          <x14:cfRule type="dataBar" id="{B1976B1A-52A3-4696-8D71-CBC6553EAEAD}">
            <x14:dataBar minLength="0" maxLength="100" border="1" negativeBarBorderColorSameAsPositive="0">
              <x14:cfvo type="autoMin"/>
              <x14:cfvo type="autoMax"/>
              <x14:borderColor rgb="FF63C384"/>
              <x14:negativeFillColor rgb="FFFF0000"/>
              <x14:negativeBorderColor rgb="FFFF0000"/>
              <x14:axisColor rgb="FF000000"/>
            </x14:dataBar>
          </x14:cfRule>
          <xm:sqref>AF25</xm:sqref>
        </x14:conditionalFormatting>
        <x14:conditionalFormatting xmlns:xm="http://schemas.microsoft.com/office/excel/2006/main">
          <x14:cfRule type="dataBar" id="{39E36769-6E74-46CC-8972-2151E9E7EF0F}">
            <x14:dataBar minLength="0" maxLength="100" border="1" negativeBarBorderColorSameAsPositive="0">
              <x14:cfvo type="autoMin"/>
              <x14:cfvo type="autoMax"/>
              <x14:borderColor rgb="FF63C384"/>
              <x14:negativeFillColor rgb="FFFF0000"/>
              <x14:negativeBorderColor rgb="FFFF0000"/>
              <x14:axisColor rgb="FF000000"/>
            </x14:dataBar>
          </x14:cfRule>
          <xm:sqref>AF29</xm:sqref>
        </x14:conditionalFormatting>
        <x14:conditionalFormatting xmlns:xm="http://schemas.microsoft.com/office/excel/2006/main">
          <x14:cfRule type="dataBar" id="{F12FB210-0FD9-404F-9850-ECA002442D57}">
            <x14:dataBar minLength="0" maxLength="100" border="1" negativeBarBorderColorSameAsPositive="0">
              <x14:cfvo type="autoMin"/>
              <x14:cfvo type="autoMax"/>
              <x14:borderColor rgb="FF63C384"/>
              <x14:negativeFillColor rgb="FFFF0000"/>
              <x14:negativeBorderColor rgb="FFFF0000"/>
              <x14:axisColor rgb="FF000000"/>
            </x14:dataBar>
          </x14:cfRule>
          <xm:sqref>AG22:AG28 AG30:AG45</xm:sqref>
        </x14:conditionalFormatting>
        <x14:conditionalFormatting xmlns:xm="http://schemas.microsoft.com/office/excel/2006/main">
          <x14:cfRule type="dataBar" id="{EED7C6F8-77B7-48D6-AC1C-87CEC8FDCEA2}">
            <x14:dataBar minLength="0" maxLength="100" border="1" negativeBarBorderColorSameAsPositive="0">
              <x14:cfvo type="autoMin"/>
              <x14:cfvo type="autoMax"/>
              <x14:borderColor rgb="FF63C384"/>
              <x14:negativeFillColor rgb="FFFF0000"/>
              <x14:negativeBorderColor rgb="FFFF0000"/>
              <x14:axisColor rgb="FF000000"/>
            </x14:dataBar>
          </x14:cfRule>
          <xm:sqref>AG29</xm:sqref>
        </x14:conditionalFormatting>
      </x14:conditionalFormattings>
    </ext>
    <ext xmlns:x14="http://schemas.microsoft.com/office/spreadsheetml/2009/9/main" uri="{CCE6A557-97BC-4b89-ADB6-D9C93CAAB3DF}">
      <x14:dataValidations xmlns:xm="http://schemas.microsoft.com/office/excel/2006/main" disablePrompts="1" count="2">
        <x14:dataValidation type="list" allowBlank="1" showInputMessage="1" showErrorMessage="1" xr:uid="{00000000-0002-0000-0100-000000000000}">
          <x14:formula1>
            <xm:f>Lookup!$A$2:$A$5</xm:f>
          </x14:formula1>
          <xm:sqref>Q52:Q58 Q47 Q50</xm:sqref>
        </x14:dataValidation>
        <x14:dataValidation type="list" errorStyle="information" allowBlank="1" showInputMessage="1" showErrorMessage="1" errorTitle="Length Type Error" error="Length Type must be TL or FL or SL or PO. See READ ME sheet for more information." xr:uid="{00000000-0002-0000-0100-000001000000}">
          <x14:formula1>
            <xm:f>Lookup!$A$2:$A$5</xm:f>
          </x14:formula1>
          <xm:sqref>Q4:Q46 Q48:Q49 Q51</xm:sqref>
        </x14:dataValidation>
      </x14:dataValidation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A15D71-2C6C-47D0-83E4-6D234B757360}">
  <dimension ref="A1:M17"/>
  <sheetViews>
    <sheetView workbookViewId="0">
      <selection activeCell="M2" sqref="M2"/>
    </sheetView>
  </sheetViews>
  <sheetFormatPr defaultRowHeight="14.4" x14ac:dyDescent="0.3"/>
  <cols>
    <col min="1" max="1" width="11.109375" style="664" bestFit="1" customWidth="1"/>
    <col min="2" max="2" width="24.109375" style="664" bestFit="1" customWidth="1"/>
    <col min="3" max="3" width="6" bestFit="1" customWidth="1"/>
    <col min="4" max="4" width="5" bestFit="1" customWidth="1"/>
    <col min="5" max="6" width="6" bestFit="1" customWidth="1"/>
    <col min="7" max="7" width="2.33203125" customWidth="1"/>
    <col min="8" max="8" width="20.77734375" bestFit="1" customWidth="1"/>
    <col min="9" max="9" width="6" bestFit="1" customWidth="1"/>
    <col min="10" max="11" width="5" bestFit="1" customWidth="1"/>
    <col min="12" max="12" width="5.5546875" bestFit="1" customWidth="1"/>
    <col min="13" max="13" width="37.33203125" bestFit="1" customWidth="1"/>
  </cols>
  <sheetData>
    <row r="1" spans="1:13" x14ac:dyDescent="0.3">
      <c r="A1" s="1049" t="s">
        <v>1334</v>
      </c>
      <c r="B1" s="2349" t="s">
        <v>1348</v>
      </c>
      <c r="C1" s="1069" t="s">
        <v>1335</v>
      </c>
      <c r="D1" s="1069" t="s">
        <v>1336</v>
      </c>
      <c r="E1" s="1069" t="s">
        <v>1337</v>
      </c>
      <c r="F1" s="2350" t="s">
        <v>1338</v>
      </c>
      <c r="G1" s="2352"/>
      <c r="H1" s="2348" t="s">
        <v>1349</v>
      </c>
      <c r="I1" s="1069" t="s">
        <v>1335</v>
      </c>
      <c r="J1" s="1069" t="s">
        <v>1336</v>
      </c>
      <c r="K1" s="1069" t="s">
        <v>1337</v>
      </c>
      <c r="L1" s="1069" t="s">
        <v>1338</v>
      </c>
      <c r="M1" s="2350" t="s">
        <v>1240</v>
      </c>
    </row>
    <row r="2" spans="1:13" x14ac:dyDescent="0.3">
      <c r="A2" s="1057">
        <v>2022</v>
      </c>
      <c r="B2" s="669">
        <v>31</v>
      </c>
      <c r="C2" s="2355">
        <v>0.129</v>
      </c>
      <c r="D2" s="2355">
        <v>0</v>
      </c>
      <c r="E2" s="2355">
        <v>0</v>
      </c>
      <c r="F2" s="2356">
        <v>0</v>
      </c>
      <c r="G2" s="2353"/>
      <c r="H2" s="854">
        <v>1354</v>
      </c>
      <c r="I2" s="2355">
        <v>7.0000000000000001E-3</v>
      </c>
      <c r="J2" s="2355">
        <v>2.8000000000000001E-2</v>
      </c>
      <c r="K2" s="2355">
        <v>5.0000000000000001E-3</v>
      </c>
      <c r="L2" s="2355">
        <v>0.01</v>
      </c>
      <c r="M2" s="2351" t="s">
        <v>1339</v>
      </c>
    </row>
    <row r="3" spans="1:13" x14ac:dyDescent="0.3">
      <c r="A3" s="1057">
        <v>2021</v>
      </c>
      <c r="B3" s="669">
        <v>164</v>
      </c>
      <c r="C3" s="2355">
        <v>1.2E-2</v>
      </c>
      <c r="D3" s="2355">
        <v>8.9999999999999993E-3</v>
      </c>
      <c r="E3" s="2355">
        <v>0</v>
      </c>
      <c r="F3" s="2356">
        <v>0</v>
      </c>
      <c r="G3" s="2353"/>
      <c r="H3" s="854">
        <v>1400</v>
      </c>
      <c r="I3" s="2355">
        <v>4.0000000000000001E-3</v>
      </c>
      <c r="J3" s="2355">
        <v>1.2E-2</v>
      </c>
      <c r="K3" s="2355">
        <v>1.9E-2</v>
      </c>
      <c r="L3" s="2355">
        <v>7.0000000000000001E-3</v>
      </c>
      <c r="M3" s="2351" t="s">
        <v>1339</v>
      </c>
    </row>
    <row r="4" spans="1:13" x14ac:dyDescent="0.3">
      <c r="A4" s="1057">
        <v>2020</v>
      </c>
      <c r="B4" s="669">
        <v>164</v>
      </c>
      <c r="C4" s="2355">
        <v>6.0000000000000001E-3</v>
      </c>
      <c r="D4" s="2355">
        <v>0</v>
      </c>
      <c r="E4" s="2355">
        <v>1.7000000000000001E-2</v>
      </c>
      <c r="F4" s="2356">
        <v>1.7000000000000001E-2</v>
      </c>
      <c r="G4" s="2353"/>
      <c r="H4" s="854">
        <v>1696</v>
      </c>
      <c r="I4" s="2355">
        <v>4.0000000000000001E-3</v>
      </c>
      <c r="J4" s="2355">
        <v>1.0999999999999999E-2</v>
      </c>
      <c r="K4" s="2355">
        <v>5.5E-2</v>
      </c>
      <c r="L4" s="2355">
        <v>2.3E-2</v>
      </c>
      <c r="M4" s="2351" t="s">
        <v>1340</v>
      </c>
    </row>
    <row r="5" spans="1:13" x14ac:dyDescent="0.3">
      <c r="A5" s="1057">
        <v>2019</v>
      </c>
      <c r="B5" s="669">
        <v>21</v>
      </c>
      <c r="C5" s="2355">
        <v>4.8000000000000001E-2</v>
      </c>
      <c r="D5" s="2355">
        <v>0</v>
      </c>
      <c r="E5" s="2355">
        <v>0</v>
      </c>
      <c r="F5" s="2356">
        <v>5.2999999999999999E-2</v>
      </c>
      <c r="G5" s="2353"/>
      <c r="H5" s="854">
        <v>941</v>
      </c>
      <c r="I5" s="2355">
        <v>2E-3</v>
      </c>
      <c r="J5" s="2355">
        <v>7.0000000000000001E-3</v>
      </c>
      <c r="K5" s="2355">
        <v>3.1E-2</v>
      </c>
      <c r="L5" s="2355">
        <v>3.1E-2</v>
      </c>
      <c r="M5" s="2351" t="s">
        <v>1341</v>
      </c>
    </row>
    <row r="6" spans="1:13" x14ac:dyDescent="0.3">
      <c r="A6" s="1057">
        <v>2018</v>
      </c>
      <c r="B6" s="669">
        <v>56</v>
      </c>
      <c r="C6" s="2355">
        <v>0</v>
      </c>
      <c r="D6" s="2355">
        <v>0</v>
      </c>
      <c r="E6" s="2355">
        <v>2.5999999999999999E-2</v>
      </c>
      <c r="F6" s="2356">
        <v>0</v>
      </c>
      <c r="G6" s="2353"/>
      <c r="H6" s="854" t="s">
        <v>1350</v>
      </c>
      <c r="I6" s="2355">
        <v>1E-3</v>
      </c>
      <c r="J6" s="2355">
        <v>6.0000000000000001E-3</v>
      </c>
      <c r="K6" s="2355">
        <v>1.7000000000000001E-2</v>
      </c>
      <c r="L6" s="2355">
        <v>3.6999999999999998E-2</v>
      </c>
      <c r="M6" s="2351" t="s">
        <v>1342</v>
      </c>
    </row>
    <row r="7" spans="1:13" x14ac:dyDescent="0.3">
      <c r="A7" s="1057">
        <v>2017</v>
      </c>
      <c r="B7" s="669">
        <v>60</v>
      </c>
      <c r="C7" s="2355">
        <v>0</v>
      </c>
      <c r="D7" s="2355">
        <v>0</v>
      </c>
      <c r="E7" s="2355">
        <v>0</v>
      </c>
      <c r="F7" s="2356">
        <v>0</v>
      </c>
      <c r="G7" s="2353"/>
      <c r="H7" s="854" t="s">
        <v>1350</v>
      </c>
      <c r="I7" s="2355">
        <v>3.0000000000000001E-3</v>
      </c>
      <c r="J7" s="2355">
        <v>1.2999999999999999E-2</v>
      </c>
      <c r="K7" s="2355">
        <v>2.5999999999999999E-2</v>
      </c>
      <c r="L7" s="2355">
        <v>2.1999999999999999E-2</v>
      </c>
      <c r="M7" s="2351" t="s">
        <v>1343</v>
      </c>
    </row>
    <row r="8" spans="1:13" x14ac:dyDescent="0.3">
      <c r="A8" s="1057">
        <v>2016</v>
      </c>
      <c r="B8" s="669">
        <v>68</v>
      </c>
      <c r="C8" s="2355">
        <v>0</v>
      </c>
      <c r="D8" s="2355">
        <v>1.9E-2</v>
      </c>
      <c r="E8" s="2355">
        <v>5.8999999999999997E-2</v>
      </c>
      <c r="F8" s="2356">
        <v>0</v>
      </c>
      <c r="G8" s="2353"/>
      <c r="H8" s="854" t="s">
        <v>1350</v>
      </c>
      <c r="I8" s="2355">
        <v>1E-3</v>
      </c>
      <c r="J8" s="2355">
        <v>6.0000000000000001E-3</v>
      </c>
      <c r="K8" s="2355">
        <v>2.5999999999999999E-2</v>
      </c>
      <c r="L8" s="2355">
        <v>0.02</v>
      </c>
      <c r="M8" s="2351" t="s">
        <v>1343</v>
      </c>
    </row>
    <row r="9" spans="1:13" x14ac:dyDescent="0.3">
      <c r="A9" s="1057">
        <v>2015</v>
      </c>
      <c r="B9" s="669">
        <v>104</v>
      </c>
      <c r="C9" s="2355">
        <v>0.01</v>
      </c>
      <c r="D9" s="2355">
        <v>2.3E-2</v>
      </c>
      <c r="E9" s="2355">
        <v>2.3E-2</v>
      </c>
      <c r="F9" s="2356">
        <v>0</v>
      </c>
      <c r="G9" s="2353"/>
      <c r="H9" s="854" t="s">
        <v>1350</v>
      </c>
      <c r="I9" s="2355">
        <v>7.0000000000000001E-3</v>
      </c>
      <c r="J9" s="2355">
        <v>0.01</v>
      </c>
      <c r="K9" s="2355">
        <v>9.8000000000000004E-2</v>
      </c>
      <c r="L9" s="2355">
        <v>5.8999999999999997E-2</v>
      </c>
      <c r="M9" s="2351" t="s">
        <v>1344</v>
      </c>
    </row>
    <row r="10" spans="1:13" x14ac:dyDescent="0.3">
      <c r="A10" s="1057">
        <v>2014</v>
      </c>
      <c r="B10" s="669" t="s">
        <v>1350</v>
      </c>
      <c r="C10" s="2355">
        <v>0.15</v>
      </c>
      <c r="D10" s="2355">
        <v>3.6999999999999998E-2</v>
      </c>
      <c r="E10" s="2355">
        <v>5.6000000000000001E-2</v>
      </c>
      <c r="F10" s="2356">
        <v>3.5999999999999997E-2</v>
      </c>
      <c r="G10" s="2353"/>
      <c r="H10" s="854" t="s">
        <v>1350</v>
      </c>
      <c r="I10" s="2355">
        <v>1.4E-2</v>
      </c>
      <c r="J10" s="2355">
        <v>6.0000000000000001E-3</v>
      </c>
      <c r="K10" s="2355">
        <v>1.7000000000000001E-2</v>
      </c>
      <c r="L10" s="2355">
        <v>1.7000000000000001E-2</v>
      </c>
      <c r="M10" s="2351" t="s">
        <v>1345</v>
      </c>
    </row>
    <row r="11" spans="1:13" x14ac:dyDescent="0.3">
      <c r="A11" s="1057">
        <v>2013</v>
      </c>
      <c r="B11" s="669" t="s">
        <v>1350</v>
      </c>
      <c r="C11" s="2355">
        <v>0.11</v>
      </c>
      <c r="D11" s="2355">
        <v>2.4E-2</v>
      </c>
      <c r="E11" s="2355">
        <v>0.113</v>
      </c>
      <c r="F11" s="2356">
        <v>0.13800000000000001</v>
      </c>
      <c r="G11" s="2353"/>
      <c r="H11" s="854" t="s">
        <v>1350</v>
      </c>
      <c r="I11" s="2355">
        <v>0.01</v>
      </c>
      <c r="J11" s="2355">
        <v>2.1999999999999999E-2</v>
      </c>
      <c r="K11" s="2355">
        <v>4.5999999999999999E-2</v>
      </c>
      <c r="L11" s="2355">
        <v>1.2999999999999999E-2</v>
      </c>
      <c r="M11" s="2351" t="s">
        <v>1347</v>
      </c>
    </row>
    <row r="12" spans="1:13" x14ac:dyDescent="0.3">
      <c r="A12" s="1057">
        <v>2012</v>
      </c>
      <c r="B12" s="669" t="s">
        <v>1350</v>
      </c>
      <c r="C12" s="2355">
        <v>4.5999999999999999E-2</v>
      </c>
      <c r="D12" s="2355">
        <v>2.4E-2</v>
      </c>
      <c r="E12" s="2355">
        <v>0.156</v>
      </c>
      <c r="F12" s="2356">
        <v>0.13</v>
      </c>
      <c r="G12" s="2353"/>
      <c r="H12" s="854" t="s">
        <v>1350</v>
      </c>
      <c r="I12" s="2355">
        <v>4.0000000000000001E-3</v>
      </c>
      <c r="J12" s="2355">
        <v>1.0999999999999999E-2</v>
      </c>
      <c r="K12" s="2355">
        <v>7.9000000000000001E-2</v>
      </c>
      <c r="L12" s="2355">
        <v>1.2999999999999999E-2</v>
      </c>
      <c r="M12" s="2351" t="s">
        <v>1346</v>
      </c>
    </row>
    <row r="13" spans="1:13" x14ac:dyDescent="0.3">
      <c r="A13" s="854">
        <v>2011</v>
      </c>
      <c r="B13" s="669"/>
      <c r="C13" s="982"/>
      <c r="D13" s="982"/>
      <c r="E13" s="982"/>
      <c r="F13" s="716"/>
      <c r="G13" s="2353"/>
      <c r="H13" s="854"/>
      <c r="I13" s="982"/>
      <c r="J13" s="982"/>
      <c r="K13" s="982"/>
      <c r="L13" s="982"/>
      <c r="M13" s="291"/>
    </row>
    <row r="14" spans="1:13" x14ac:dyDescent="0.3">
      <c r="A14" s="854">
        <v>2010</v>
      </c>
      <c r="B14" s="669"/>
      <c r="C14" s="982"/>
      <c r="D14" s="982"/>
      <c r="E14" s="982"/>
      <c r="F14" s="716"/>
      <c r="G14" s="2353"/>
      <c r="H14" s="854"/>
      <c r="I14" s="982"/>
      <c r="J14" s="982"/>
      <c r="K14" s="982"/>
      <c r="L14" s="982"/>
      <c r="M14" s="291"/>
    </row>
    <row r="15" spans="1:13" x14ac:dyDescent="0.3">
      <c r="A15" s="854">
        <v>2009</v>
      </c>
      <c r="B15" s="669"/>
      <c r="C15" s="982"/>
      <c r="D15" s="982"/>
      <c r="E15" s="982"/>
      <c r="F15" s="716"/>
      <c r="G15" s="2353"/>
      <c r="H15" s="854"/>
      <c r="I15" s="982"/>
      <c r="J15" s="982"/>
      <c r="K15" s="982"/>
      <c r="L15" s="982"/>
      <c r="M15" s="291"/>
    </row>
    <row r="16" spans="1:13" x14ac:dyDescent="0.3">
      <c r="A16" s="2357"/>
      <c r="B16" s="1770"/>
      <c r="C16" s="2358"/>
      <c r="D16" s="2358"/>
      <c r="E16" s="2358"/>
      <c r="F16" s="2359"/>
      <c r="G16" s="2360"/>
      <c r="H16" s="2357"/>
      <c r="I16" s="2358"/>
      <c r="J16" s="2358"/>
      <c r="K16" s="2358"/>
      <c r="L16" s="2358"/>
      <c r="M16" s="2361"/>
    </row>
    <row r="17" spans="1:13" ht="15" thickBot="1" x14ac:dyDescent="0.35">
      <c r="A17" s="943">
        <v>1997</v>
      </c>
      <c r="B17" s="706"/>
      <c r="C17" s="1000"/>
      <c r="D17" s="1000"/>
      <c r="E17" s="1000"/>
      <c r="F17" s="717"/>
      <c r="G17" s="2354"/>
      <c r="H17" s="943">
        <v>574</v>
      </c>
      <c r="I17" s="1000">
        <v>0.114</v>
      </c>
      <c r="J17" s="1000">
        <v>1.9E-2</v>
      </c>
      <c r="K17" s="1000">
        <v>7.0999999999999994E-2</v>
      </c>
      <c r="L17" s="1000"/>
      <c r="M17" s="1003" t="s">
        <v>1351</v>
      </c>
    </row>
  </sheetData>
  <conditionalFormatting sqref="C2:G12">
    <cfRule type="colorScale" priority="2">
      <colorScale>
        <cfvo type="min"/>
        <cfvo type="percentile" val="50"/>
        <cfvo type="max"/>
        <color rgb="FF63BE7B"/>
        <color rgb="FFFFEB84"/>
        <color rgb="FFF8696B"/>
      </colorScale>
    </cfRule>
  </conditionalFormatting>
  <conditionalFormatting sqref="I2:L12">
    <cfRule type="colorScale" priority="1">
      <colorScale>
        <cfvo type="min"/>
        <cfvo type="percentile" val="50"/>
        <cfvo type="max"/>
        <color rgb="FF63BE7B"/>
        <color rgb="FFFFEB84"/>
        <color rgb="FFF8696B"/>
      </colorScale>
    </cfRule>
  </conditionalFormatting>
  <hyperlinks>
    <hyperlink ref="M2" r:id="rId1" display="https://critfc.org/wp-content/uploads/2024/02/24-01.pdf" xr:uid="{881DDA7C-2E68-4EA0-A342-D218D6B0F30F}"/>
    <hyperlink ref="M10" r:id="rId2" display="https://critfc.org/wp-content/uploads/2021/08/16-02.pdf" xr:uid="{127525C9-F42C-4276-B822-2BAC442207B2}"/>
    <hyperlink ref="M12" r:id="rId3" display="https://critfc.org/wp-content/uploads/2021/08/14-01.pdf" xr:uid="{20015B70-EA95-4195-9550-2B86907EBA5B}"/>
    <hyperlink ref="M11" r:id="rId4" display="https://critfc.org/wp-content/uploads/2021/08/15-01.pdf" xr:uid="{C9051590-F487-4501-B870-B6FFC8C1B6FE}"/>
    <hyperlink ref="M9" r:id="rId5" display="https://critfc.org/wp-content/uploads/2021/08/17-06.pdf" xr:uid="{3C62B485-4199-4806-8047-84D3DF3FB933}"/>
    <hyperlink ref="M8" r:id="rId6" display="https://critfc.org/wp-content/uploads/2021/08/18-02.pdf" xr:uid="{81A84E66-D9A9-4E4E-B613-F94F111CE036}"/>
    <hyperlink ref="M7" r:id="rId7" display="https://critfc.org/wp-content/uploads/2021/08/18-02.pdf" xr:uid="{DE25D581-5550-40B2-9401-CB81B15A7FEA}"/>
    <hyperlink ref="M6" r:id="rId8" display="https://critfc.org/wp-content/uploads/2021/08/20_01.pdf" xr:uid="{496A6AF0-46C9-4F08-A667-9A8C9AC0A6E6}"/>
    <hyperlink ref="M5" r:id="rId9" display="https://critfc.org/wp-content/uploads/2022/06/21_01.pdf" xr:uid="{301DBD2F-96E4-450C-8DE6-19298A34FDD3}"/>
    <hyperlink ref="M4" r:id="rId10" display="https://critfc.org/wp-content/uploads/2022/06/22_02.pdf" xr:uid="{00B97196-0314-4E7C-9492-0BF8881FA370}"/>
    <hyperlink ref="M3" r:id="rId11" display="https://critfc.org/wp-content/uploads/2024/02/24-01.pdf" xr:uid="{B1FB3377-E5B0-49A5-BD0B-85DA0CC352B1}"/>
    <hyperlink ref="M17" r:id="rId12" display="https://www.researchgate.net/publication/242419169_Fallback_by_Adult_Sockeye_Salmon_at_Columbia_River_Dams" xr:uid="{4F21800B-26D1-4AFD-9906-6959BE783427}"/>
  </hyperlinks>
  <pageMargins left="0.7" right="0.7" top="0.75" bottom="0.75" header="0.3" footer="0.3"/>
  <legacyDrawing r:id="rId1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tabColor theme="4" tint="0.59999389629810485"/>
  </sheetPr>
  <dimension ref="A1:AG26"/>
  <sheetViews>
    <sheetView workbookViewId="0">
      <pane xSplit="3" ySplit="2" topLeftCell="D3" activePane="bottomRight" state="frozen"/>
      <selection pane="topRight" activeCell="D1" sqref="D1"/>
      <selection pane="bottomLeft" activeCell="A3" sqref="A3"/>
      <selection pane="bottomRight" activeCell="E3" sqref="E3"/>
    </sheetView>
  </sheetViews>
  <sheetFormatPr defaultRowHeight="14.4" x14ac:dyDescent="0.3"/>
  <cols>
    <col min="1" max="1" width="10.33203125" customWidth="1"/>
    <col min="2" max="2" width="9.33203125" bestFit="1" customWidth="1"/>
    <col min="3" max="3" width="10.44140625" customWidth="1"/>
    <col min="4" max="4" width="10" bestFit="1" customWidth="1"/>
    <col min="5" max="5" width="6.44140625" bestFit="1" customWidth="1"/>
    <col min="6" max="6" width="7" customWidth="1"/>
    <col min="7" max="7" width="8.33203125" customWidth="1"/>
    <col min="8" max="8" width="6.44140625" bestFit="1" customWidth="1"/>
    <col min="9" max="9" width="8.6640625" bestFit="1" customWidth="1"/>
    <col min="10" max="10" width="8.6640625" customWidth="1"/>
    <col min="11" max="11" width="10.33203125" customWidth="1"/>
    <col min="12" max="12" width="10.33203125" hidden="1" customWidth="1"/>
    <col min="13" max="13" width="9.33203125" customWidth="1"/>
    <col min="14" max="16" width="4.33203125" customWidth="1"/>
    <col min="18" max="20" width="4.6640625" customWidth="1"/>
    <col min="22" max="22" width="4.6640625" customWidth="1"/>
    <col min="23" max="23" width="5.33203125" bestFit="1" customWidth="1"/>
    <col min="24" max="24" width="4.6640625" customWidth="1"/>
    <col min="26" max="26" width="9.6640625" bestFit="1" customWidth="1"/>
    <col min="27" max="27" width="9.33203125" hidden="1" customWidth="1"/>
    <col min="28" max="28" width="9.6640625" bestFit="1" customWidth="1"/>
    <col min="29" max="29" width="9.33203125" hidden="1" customWidth="1"/>
    <col min="30" max="30" width="9.6640625" bestFit="1" customWidth="1"/>
    <col min="32" max="32" width="13.5546875" customWidth="1"/>
    <col min="33" max="33" width="13" customWidth="1"/>
  </cols>
  <sheetData>
    <row r="1" spans="1:33" s="2" customFormat="1" ht="26.7" customHeight="1" thickBot="1" x14ac:dyDescent="0.35">
      <c r="A1" s="2418" t="s">
        <v>291</v>
      </c>
      <c r="B1" s="2491" t="s">
        <v>292</v>
      </c>
      <c r="C1" s="2493" t="s">
        <v>210</v>
      </c>
      <c r="D1" s="2503" t="s">
        <v>28</v>
      </c>
      <c r="E1" s="2504"/>
      <c r="F1" s="2504"/>
      <c r="G1" s="2505"/>
      <c r="H1" s="2487" t="s">
        <v>293</v>
      </c>
      <c r="I1" s="2487"/>
      <c r="J1" s="2488"/>
      <c r="K1" s="2488"/>
      <c r="L1" s="2489"/>
      <c r="M1" s="2490"/>
      <c r="N1" s="2495" t="s">
        <v>294</v>
      </c>
      <c r="O1" s="2496"/>
      <c r="P1" s="2497"/>
      <c r="Q1" s="2498"/>
      <c r="R1" s="2506" t="s">
        <v>295</v>
      </c>
      <c r="S1" s="2507"/>
      <c r="T1" s="2508"/>
      <c r="U1" s="2509"/>
      <c r="V1" s="2499" t="s">
        <v>296</v>
      </c>
      <c r="W1" s="2500"/>
      <c r="X1" s="2501"/>
      <c r="Y1" s="2502"/>
      <c r="Z1" s="2460" t="s">
        <v>297</v>
      </c>
      <c r="AA1" s="2461"/>
      <c r="AB1" s="2461"/>
      <c r="AC1" s="2461"/>
      <c r="AD1" s="2462"/>
      <c r="AE1" s="2463"/>
      <c r="AF1" s="2485" t="s">
        <v>298</v>
      </c>
      <c r="AG1" s="2483" t="s">
        <v>216</v>
      </c>
    </row>
    <row r="2" spans="1:33" s="1" customFormat="1" ht="43.2" customHeight="1" thickBot="1" x14ac:dyDescent="0.35">
      <c r="A2" s="2420"/>
      <c r="B2" s="2492"/>
      <c r="C2" s="2494"/>
      <c r="D2" s="110" t="s">
        <v>299</v>
      </c>
      <c r="E2" s="111" t="s">
        <v>300</v>
      </c>
      <c r="F2" s="111" t="s">
        <v>301</v>
      </c>
      <c r="G2" s="112" t="s">
        <v>302</v>
      </c>
      <c r="H2" s="102" t="s">
        <v>303</v>
      </c>
      <c r="I2" s="98" t="s">
        <v>218</v>
      </c>
      <c r="J2" s="3" t="s">
        <v>219</v>
      </c>
      <c r="K2" s="92" t="s">
        <v>221</v>
      </c>
      <c r="L2" s="160" t="s">
        <v>304</v>
      </c>
      <c r="M2" s="4" t="s">
        <v>302</v>
      </c>
      <c r="N2" s="129" t="s">
        <v>303</v>
      </c>
      <c r="O2" s="125" t="s">
        <v>218</v>
      </c>
      <c r="P2" s="5" t="s">
        <v>219</v>
      </c>
      <c r="Q2" s="202" t="s">
        <v>305</v>
      </c>
      <c r="R2" s="135" t="s">
        <v>303</v>
      </c>
      <c r="S2" s="131" t="s">
        <v>218</v>
      </c>
      <c r="T2" s="77" t="s">
        <v>219</v>
      </c>
      <c r="U2" s="78" t="s">
        <v>302</v>
      </c>
      <c r="V2" s="139" t="s">
        <v>303</v>
      </c>
      <c r="W2" s="140" t="s">
        <v>218</v>
      </c>
      <c r="X2" s="141" t="s">
        <v>219</v>
      </c>
      <c r="Y2" s="142" t="s">
        <v>302</v>
      </c>
      <c r="Z2" s="76" t="s">
        <v>225</v>
      </c>
      <c r="AA2" s="7" t="s">
        <v>306</v>
      </c>
      <c r="AB2" s="90" t="s">
        <v>227</v>
      </c>
      <c r="AC2" s="7" t="s">
        <v>307</v>
      </c>
      <c r="AD2" s="8" t="s">
        <v>229</v>
      </c>
      <c r="AE2" s="9" t="s">
        <v>302</v>
      </c>
      <c r="AF2" s="2486"/>
      <c r="AG2" s="2484"/>
    </row>
    <row r="3" spans="1:33" x14ac:dyDescent="0.3">
      <c r="A3" s="81" t="s">
        <v>308</v>
      </c>
      <c r="B3" s="82" t="s">
        <v>309</v>
      </c>
      <c r="C3" s="103">
        <v>2001</v>
      </c>
      <c r="D3" s="122">
        <v>3611402.2094552899</v>
      </c>
      <c r="E3" s="123"/>
      <c r="F3" s="124"/>
      <c r="G3" s="164" t="s">
        <v>310</v>
      </c>
      <c r="H3" s="99">
        <v>0</v>
      </c>
      <c r="I3" s="99">
        <v>3218529</v>
      </c>
      <c r="J3" s="83">
        <v>297406</v>
      </c>
      <c r="K3" s="157">
        <f>IF(ISNUMBER(I3),SUM(H3:J3),"")</f>
        <v>3515935</v>
      </c>
      <c r="L3" s="161">
        <f>IF(ISNUMBER(I3),I3/K3,"")</f>
        <v>0.91541197433968491</v>
      </c>
      <c r="M3" s="26" t="str">
        <f ca="1">'Smolt to Adult Survival'!F11</f>
        <v/>
      </c>
      <c r="N3" s="130" t="s">
        <v>245</v>
      </c>
      <c r="O3" s="126">
        <v>68</v>
      </c>
      <c r="P3" s="51">
        <v>112</v>
      </c>
      <c r="Q3" s="74"/>
      <c r="R3" s="114" t="s">
        <v>245</v>
      </c>
      <c r="S3" s="132">
        <v>2.6644424131403333</v>
      </c>
      <c r="T3" s="115">
        <v>4.0181944325194747</v>
      </c>
      <c r="U3" s="116" t="s">
        <v>311</v>
      </c>
      <c r="V3" s="153" t="s">
        <v>245</v>
      </c>
      <c r="W3" s="152">
        <v>71</v>
      </c>
      <c r="X3" s="152">
        <v>15</v>
      </c>
      <c r="Y3" s="155" t="s">
        <v>312</v>
      </c>
      <c r="Z3" s="30">
        <v>37018</v>
      </c>
      <c r="AA3" s="31"/>
      <c r="AB3" s="32">
        <v>37028</v>
      </c>
      <c r="AC3" s="31"/>
      <c r="AD3" s="32">
        <v>37032</v>
      </c>
      <c r="AE3" s="33"/>
      <c r="AF3" s="34"/>
      <c r="AG3" s="35"/>
    </row>
    <row r="4" spans="1:33" x14ac:dyDescent="0.3">
      <c r="A4" s="81" t="s">
        <v>308</v>
      </c>
      <c r="B4" s="82" t="s">
        <v>309</v>
      </c>
      <c r="C4" s="104">
        <v>2002</v>
      </c>
      <c r="D4" s="113">
        <v>3600584.6755262143</v>
      </c>
      <c r="E4" s="107"/>
      <c r="F4" s="120"/>
      <c r="G4" s="167" t="s">
        <v>313</v>
      </c>
      <c r="H4" s="99">
        <v>0</v>
      </c>
      <c r="I4" s="99">
        <v>3441448</v>
      </c>
      <c r="J4" s="83">
        <v>61833</v>
      </c>
      <c r="K4" s="158">
        <f t="shared" ref="K4:K26" si="0">IF(ISNUMBER(I4),SUM(H4:J4),"")</f>
        <v>3503281</v>
      </c>
      <c r="L4" s="162">
        <f t="shared" ref="L4:L26" si="1">IF(ISNUMBER(I4),I4/K4,"")</f>
        <v>0.98234997420989068</v>
      </c>
      <c r="M4" s="27"/>
      <c r="N4" s="130" t="s">
        <v>245</v>
      </c>
      <c r="O4" s="127">
        <v>63</v>
      </c>
      <c r="P4" s="53">
        <v>114</v>
      </c>
      <c r="Q4" s="79"/>
      <c r="R4" s="114" t="s">
        <v>245</v>
      </c>
      <c r="S4" s="132">
        <v>2.0210574506644647</v>
      </c>
      <c r="T4" s="97">
        <v>8.213578421925444</v>
      </c>
      <c r="U4" s="116" t="s">
        <v>311</v>
      </c>
      <c r="V4" s="153" t="s">
        <v>245</v>
      </c>
      <c r="W4" s="152">
        <v>96</v>
      </c>
      <c r="X4" s="152">
        <v>10</v>
      </c>
      <c r="Y4" s="155" t="s">
        <v>312</v>
      </c>
      <c r="Z4" s="37">
        <v>37368</v>
      </c>
      <c r="AA4" s="38"/>
      <c r="AB4" s="39">
        <v>37374</v>
      </c>
      <c r="AC4" s="39"/>
      <c r="AD4" s="32">
        <v>37389</v>
      </c>
      <c r="AE4" s="41"/>
      <c r="AF4" s="42"/>
      <c r="AG4" s="43"/>
    </row>
    <row r="5" spans="1:33" x14ac:dyDescent="0.3">
      <c r="A5" s="81" t="s">
        <v>308</v>
      </c>
      <c r="B5" s="82" t="s">
        <v>309</v>
      </c>
      <c r="C5" s="103">
        <v>2003</v>
      </c>
      <c r="D5" s="113">
        <v>4022418.5256858142</v>
      </c>
      <c r="E5" s="107"/>
      <c r="F5" s="120"/>
      <c r="G5" s="165"/>
      <c r="H5" s="99">
        <v>0</v>
      </c>
      <c r="I5" s="99">
        <v>3872077</v>
      </c>
      <c r="J5" s="83">
        <v>54446</v>
      </c>
      <c r="K5" s="158">
        <f t="shared" si="0"/>
        <v>3926523</v>
      </c>
      <c r="L5" s="162">
        <f t="shared" si="1"/>
        <v>0.98613378808681373</v>
      </c>
      <c r="M5" s="27"/>
      <c r="N5" s="130" t="s">
        <v>245</v>
      </c>
      <c r="O5" s="127">
        <v>69</v>
      </c>
      <c r="P5" s="53">
        <v>95</v>
      </c>
      <c r="Q5" s="79"/>
      <c r="R5" s="114" t="s">
        <v>245</v>
      </c>
      <c r="S5" s="132">
        <v>2.47665013117054</v>
      </c>
      <c r="T5" s="97">
        <v>5.9140991047165974</v>
      </c>
      <c r="U5" s="116" t="s">
        <v>311</v>
      </c>
      <c r="V5" s="153" t="s">
        <v>245</v>
      </c>
      <c r="W5" s="152">
        <v>100</v>
      </c>
      <c r="X5" s="152">
        <v>24</v>
      </c>
      <c r="Y5" s="143"/>
      <c r="Z5" s="37">
        <v>37722</v>
      </c>
      <c r="AA5" s="39"/>
      <c r="AB5" s="39">
        <v>37730</v>
      </c>
      <c r="AC5" s="39"/>
      <c r="AD5" s="32">
        <v>37742</v>
      </c>
      <c r="AE5" s="41"/>
      <c r="AF5" s="42"/>
      <c r="AG5" s="43"/>
    </row>
    <row r="6" spans="1:33" x14ac:dyDescent="0.3">
      <c r="A6" s="81" t="s">
        <v>308</v>
      </c>
      <c r="B6" s="82" t="s">
        <v>309</v>
      </c>
      <c r="C6" s="104">
        <v>2004</v>
      </c>
      <c r="D6" s="113">
        <v>7675779.1744782664</v>
      </c>
      <c r="E6" s="107"/>
      <c r="F6" s="120"/>
      <c r="G6" s="167" t="s">
        <v>314</v>
      </c>
      <c r="H6" s="99">
        <v>0</v>
      </c>
      <c r="I6" s="99">
        <v>7517893</v>
      </c>
      <c r="J6" s="83">
        <v>61331</v>
      </c>
      <c r="K6" s="158">
        <f t="shared" si="0"/>
        <v>7579224</v>
      </c>
      <c r="L6" s="162">
        <f t="shared" si="1"/>
        <v>0.99190801063538958</v>
      </c>
      <c r="M6" s="29"/>
      <c r="N6" s="130" t="s">
        <v>245</v>
      </c>
      <c r="O6" s="127">
        <v>61</v>
      </c>
      <c r="P6" s="53">
        <v>109</v>
      </c>
      <c r="Q6" s="79"/>
      <c r="R6" s="114" t="s">
        <v>245</v>
      </c>
      <c r="S6" s="132">
        <v>4.9022240502519407</v>
      </c>
      <c r="T6" s="97">
        <v>7.3029962412861149</v>
      </c>
      <c r="U6" s="116" t="s">
        <v>311</v>
      </c>
      <c r="V6" s="153" t="s">
        <v>245</v>
      </c>
      <c r="W6" s="152">
        <v>85</v>
      </c>
      <c r="X6" s="152">
        <v>2</v>
      </c>
      <c r="Y6" s="143"/>
      <c r="Z6" s="37">
        <v>38102</v>
      </c>
      <c r="AA6" s="39"/>
      <c r="AB6" s="39">
        <v>38110</v>
      </c>
      <c r="AC6" s="39"/>
      <c r="AD6" s="32">
        <v>38121</v>
      </c>
      <c r="AE6" s="41"/>
      <c r="AF6" s="42"/>
      <c r="AG6" s="43"/>
    </row>
    <row r="7" spans="1:33" x14ac:dyDescent="0.3">
      <c r="A7" s="81" t="s">
        <v>308</v>
      </c>
      <c r="B7" s="82" t="s">
        <v>309</v>
      </c>
      <c r="C7" s="103">
        <v>2005</v>
      </c>
      <c r="D7" s="113">
        <v>4077431.9414814143</v>
      </c>
      <c r="E7" s="107"/>
      <c r="F7" s="120"/>
      <c r="G7" s="165"/>
      <c r="H7" s="99">
        <v>0</v>
      </c>
      <c r="I7" s="99">
        <v>3686007</v>
      </c>
      <c r="J7" s="83">
        <v>291972</v>
      </c>
      <c r="K7" s="158">
        <f t="shared" si="0"/>
        <v>3977979</v>
      </c>
      <c r="L7" s="162">
        <f t="shared" si="1"/>
        <v>0.92660293078470246</v>
      </c>
      <c r="M7" s="27"/>
      <c r="N7" s="130" t="s">
        <v>245</v>
      </c>
      <c r="O7" s="127">
        <v>64</v>
      </c>
      <c r="P7" s="53">
        <v>102</v>
      </c>
      <c r="Q7" s="79"/>
      <c r="R7" s="114" t="s">
        <v>245</v>
      </c>
      <c r="S7" s="132">
        <v>4.283227494878453</v>
      </c>
      <c r="T7" s="97">
        <v>5.1781060796668097</v>
      </c>
      <c r="U7" s="116" t="s">
        <v>311</v>
      </c>
      <c r="V7" s="153" t="s">
        <v>245</v>
      </c>
      <c r="W7" s="152">
        <v>103</v>
      </c>
      <c r="X7" s="152">
        <v>14</v>
      </c>
      <c r="Y7" s="143"/>
      <c r="Z7" s="37">
        <v>38455</v>
      </c>
      <c r="AA7" s="39"/>
      <c r="AB7" s="39">
        <v>38463</v>
      </c>
      <c r="AC7" s="39"/>
      <c r="AD7" s="32">
        <v>38476</v>
      </c>
      <c r="AE7" s="41"/>
      <c r="AF7" s="42"/>
      <c r="AG7" s="43"/>
    </row>
    <row r="8" spans="1:33" x14ac:dyDescent="0.3">
      <c r="A8" s="81" t="s">
        <v>308</v>
      </c>
      <c r="B8" s="82" t="s">
        <v>309</v>
      </c>
      <c r="C8" s="104">
        <v>2006</v>
      </c>
      <c r="D8" s="113">
        <v>9034863.3387074377</v>
      </c>
      <c r="E8" s="107"/>
      <c r="F8" s="120"/>
      <c r="G8" s="165"/>
      <c r="H8" s="99">
        <v>0</v>
      </c>
      <c r="I8" s="99">
        <v>8482954</v>
      </c>
      <c r="J8" s="83">
        <v>460738</v>
      </c>
      <c r="K8" s="158">
        <f t="shared" si="0"/>
        <v>8943692</v>
      </c>
      <c r="L8" s="162">
        <f t="shared" si="1"/>
        <v>0.94848458556041515</v>
      </c>
      <c r="M8" s="27"/>
      <c r="N8" s="130" t="s">
        <v>245</v>
      </c>
      <c r="O8" s="127">
        <v>65</v>
      </c>
      <c r="P8" s="53">
        <v>114</v>
      </c>
      <c r="Q8" s="79"/>
      <c r="R8" s="117" t="s">
        <v>245</v>
      </c>
      <c r="S8" s="133">
        <v>2.1051952765432578</v>
      </c>
      <c r="T8" s="118">
        <v>8.077833908025621</v>
      </c>
      <c r="U8" s="119" t="s">
        <v>315</v>
      </c>
      <c r="V8" s="153" t="s">
        <v>245</v>
      </c>
      <c r="W8" s="152">
        <v>89</v>
      </c>
      <c r="X8" s="152">
        <v>22</v>
      </c>
      <c r="Y8" s="156" t="s">
        <v>316</v>
      </c>
      <c r="Z8" s="37">
        <v>38845</v>
      </c>
      <c r="AA8" s="39"/>
      <c r="AB8" s="39">
        <v>38853</v>
      </c>
      <c r="AC8" s="39"/>
      <c r="AD8" s="32">
        <v>38860</v>
      </c>
      <c r="AE8" s="41"/>
      <c r="AF8" s="42"/>
      <c r="AG8" s="43"/>
    </row>
    <row r="9" spans="1:33" x14ac:dyDescent="0.3">
      <c r="A9" s="81" t="s">
        <v>308</v>
      </c>
      <c r="B9" s="82" t="s">
        <v>309</v>
      </c>
      <c r="C9" s="103">
        <v>2007</v>
      </c>
      <c r="D9" s="113">
        <v>1473411.4113702988</v>
      </c>
      <c r="E9" s="107"/>
      <c r="F9" s="120"/>
      <c r="G9" s="165"/>
      <c r="H9" s="99">
        <v>0</v>
      </c>
      <c r="I9" s="99">
        <v>1333988</v>
      </c>
      <c r="J9" s="83">
        <v>45429</v>
      </c>
      <c r="K9" s="158">
        <f t="shared" si="0"/>
        <v>1379417</v>
      </c>
      <c r="L9" s="162">
        <f t="shared" si="1"/>
        <v>0.96706652158121875</v>
      </c>
      <c r="M9" s="27"/>
      <c r="N9" s="130" t="s">
        <v>245</v>
      </c>
      <c r="O9" s="127">
        <v>60</v>
      </c>
      <c r="P9" s="53">
        <v>90</v>
      </c>
      <c r="Q9" s="79"/>
      <c r="R9" s="117" t="s">
        <v>245</v>
      </c>
      <c r="S9" s="133">
        <v>2.8036741598113757</v>
      </c>
      <c r="T9" s="118">
        <v>4.4315730501108703</v>
      </c>
      <c r="U9" s="119" t="s">
        <v>315</v>
      </c>
      <c r="V9" s="153" t="s">
        <v>245</v>
      </c>
      <c r="W9" s="152">
        <v>88</v>
      </c>
      <c r="X9" s="152">
        <v>6</v>
      </c>
      <c r="Y9" s="145"/>
      <c r="Z9" s="37">
        <v>39184</v>
      </c>
      <c r="AA9" s="39"/>
      <c r="AB9" s="39">
        <v>39191</v>
      </c>
      <c r="AC9" s="39"/>
      <c r="AD9" s="32">
        <v>39200</v>
      </c>
      <c r="AE9" s="41"/>
      <c r="AF9" s="42"/>
      <c r="AG9" s="43"/>
    </row>
    <row r="10" spans="1:33" x14ac:dyDescent="0.3">
      <c r="A10" s="81" t="s">
        <v>308</v>
      </c>
      <c r="B10" s="82" t="s">
        <v>309</v>
      </c>
      <c r="C10" s="104">
        <v>2008</v>
      </c>
      <c r="D10" s="113">
        <v>5222605.6595987929</v>
      </c>
      <c r="E10" s="107"/>
      <c r="F10" s="120"/>
      <c r="G10" s="167" t="s">
        <v>317</v>
      </c>
      <c r="H10" s="99">
        <v>0</v>
      </c>
      <c r="I10" s="99">
        <v>4900954</v>
      </c>
      <c r="J10" s="83">
        <v>227481</v>
      </c>
      <c r="K10" s="158">
        <f t="shared" si="0"/>
        <v>5128435</v>
      </c>
      <c r="L10" s="162">
        <f t="shared" si="1"/>
        <v>0.9556431932938606</v>
      </c>
      <c r="M10" s="27"/>
      <c r="N10" s="130" t="s">
        <v>245</v>
      </c>
      <c r="O10" s="127">
        <v>77</v>
      </c>
      <c r="P10" s="53">
        <v>102</v>
      </c>
      <c r="Q10" s="79"/>
      <c r="R10" s="117" t="s">
        <v>245</v>
      </c>
      <c r="S10" s="133">
        <v>3.0377385274817348</v>
      </c>
      <c r="T10" s="118">
        <v>6.9209817970889684</v>
      </c>
      <c r="U10" s="119" t="s">
        <v>318</v>
      </c>
      <c r="V10" s="153" t="s">
        <v>245</v>
      </c>
      <c r="W10" s="152">
        <v>96</v>
      </c>
      <c r="X10" s="152">
        <v>6</v>
      </c>
      <c r="Y10" s="145"/>
      <c r="Z10" s="37">
        <v>39551</v>
      </c>
      <c r="AA10" s="39"/>
      <c r="AB10" s="39">
        <v>39556</v>
      </c>
      <c r="AC10" s="39"/>
      <c r="AD10" s="32">
        <v>39572</v>
      </c>
      <c r="AE10" s="41"/>
      <c r="AF10" s="42"/>
      <c r="AG10" s="43"/>
    </row>
    <row r="11" spans="1:33" x14ac:dyDescent="0.3">
      <c r="A11" s="81" t="s">
        <v>308</v>
      </c>
      <c r="B11" s="82" t="s">
        <v>309</v>
      </c>
      <c r="C11" s="103">
        <v>2009</v>
      </c>
      <c r="D11" s="113">
        <v>3147128.3435023553</v>
      </c>
      <c r="E11" s="107"/>
      <c r="F11" s="120"/>
      <c r="G11" s="165"/>
      <c r="H11" s="99">
        <v>0</v>
      </c>
      <c r="I11" s="99">
        <v>2912448</v>
      </c>
      <c r="J11" s="83">
        <v>141443</v>
      </c>
      <c r="K11" s="158">
        <f t="shared" si="0"/>
        <v>3053891</v>
      </c>
      <c r="L11" s="162">
        <f t="shared" si="1"/>
        <v>0.95368433254494023</v>
      </c>
      <c r="M11" s="27"/>
      <c r="N11" s="130" t="s">
        <v>245</v>
      </c>
      <c r="O11" s="127">
        <v>61</v>
      </c>
      <c r="P11" s="53">
        <v>112</v>
      </c>
      <c r="Q11" s="79"/>
      <c r="R11" s="71" t="s">
        <v>245</v>
      </c>
      <c r="S11" s="134">
        <v>2.6856599894960027</v>
      </c>
      <c r="T11" s="72">
        <v>4.9938857510980368</v>
      </c>
      <c r="U11" s="36"/>
      <c r="V11" s="153" t="s">
        <v>245</v>
      </c>
      <c r="W11" s="152">
        <v>71</v>
      </c>
      <c r="X11" s="152">
        <v>1</v>
      </c>
      <c r="Y11" s="145"/>
      <c r="Z11" s="37">
        <v>39934</v>
      </c>
      <c r="AA11" s="39"/>
      <c r="AB11" s="39">
        <v>39939</v>
      </c>
      <c r="AC11" s="39"/>
      <c r="AD11" s="32">
        <v>39953</v>
      </c>
      <c r="AE11" s="41"/>
      <c r="AF11" s="42"/>
      <c r="AG11" s="43"/>
    </row>
    <row r="12" spans="1:33" x14ac:dyDescent="0.3">
      <c r="A12" s="81" t="s">
        <v>308</v>
      </c>
      <c r="B12" s="82" t="s">
        <v>309</v>
      </c>
      <c r="C12" s="104">
        <v>2010</v>
      </c>
      <c r="D12" s="113">
        <v>8434300.5534976274</v>
      </c>
      <c r="E12" s="107"/>
      <c r="F12" s="120"/>
      <c r="G12" s="165"/>
      <c r="H12" s="99">
        <v>0</v>
      </c>
      <c r="I12" s="99">
        <v>7949575</v>
      </c>
      <c r="J12" s="83">
        <v>384908</v>
      </c>
      <c r="K12" s="158">
        <f t="shared" si="0"/>
        <v>8334483</v>
      </c>
      <c r="L12" s="162">
        <f t="shared" si="1"/>
        <v>0.95381741134993014</v>
      </c>
      <c r="M12" s="27"/>
      <c r="N12" s="130" t="s">
        <v>245</v>
      </c>
      <c r="O12" s="127">
        <v>64</v>
      </c>
      <c r="P12" s="53">
        <v>109</v>
      </c>
      <c r="Q12" s="79"/>
      <c r="R12" s="71" t="s">
        <v>245</v>
      </c>
      <c r="S12" s="134">
        <v>3.8854404612442504</v>
      </c>
      <c r="T12" s="72">
        <v>4.2317551897592054</v>
      </c>
      <c r="U12" s="36"/>
      <c r="V12" s="153" t="s">
        <v>245</v>
      </c>
      <c r="W12" s="152">
        <v>100</v>
      </c>
      <c r="X12" s="152">
        <v>23</v>
      </c>
      <c r="Y12" s="145"/>
      <c r="Z12" s="37">
        <v>40300</v>
      </c>
      <c r="AA12" s="39"/>
      <c r="AB12" s="39">
        <v>40310</v>
      </c>
      <c r="AC12" s="39"/>
      <c r="AD12" s="32">
        <v>40317</v>
      </c>
      <c r="AE12" s="41"/>
      <c r="AF12" s="42"/>
      <c r="AG12" s="43"/>
    </row>
    <row r="13" spans="1:33" x14ac:dyDescent="0.3">
      <c r="A13" s="81" t="s">
        <v>308</v>
      </c>
      <c r="B13" s="82" t="s">
        <v>309</v>
      </c>
      <c r="C13" s="103">
        <v>2011</v>
      </c>
      <c r="D13" s="113">
        <v>7362136.6965480847</v>
      </c>
      <c r="E13" s="107"/>
      <c r="F13" s="120"/>
      <c r="G13" s="165"/>
      <c r="H13" s="99">
        <v>0</v>
      </c>
      <c r="I13" s="99">
        <v>7092985</v>
      </c>
      <c r="J13" s="83">
        <v>172093</v>
      </c>
      <c r="K13" s="158">
        <f t="shared" si="0"/>
        <v>7265078</v>
      </c>
      <c r="L13" s="162">
        <f t="shared" si="1"/>
        <v>0.97631229836761557</v>
      </c>
      <c r="M13" s="27"/>
      <c r="N13" s="130" t="s">
        <v>245</v>
      </c>
      <c r="O13" s="127">
        <v>61</v>
      </c>
      <c r="P13" s="53">
        <v>99</v>
      </c>
      <c r="Q13" s="79"/>
      <c r="R13" s="71" t="s">
        <v>245</v>
      </c>
      <c r="S13" s="134">
        <v>2.8616433523602849</v>
      </c>
      <c r="T13" s="72">
        <v>4.7888629415996675</v>
      </c>
      <c r="U13" s="36" t="s">
        <v>319</v>
      </c>
      <c r="V13" s="153" t="s">
        <v>245</v>
      </c>
      <c r="W13" s="152">
        <v>93</v>
      </c>
      <c r="X13" s="152">
        <v>14</v>
      </c>
      <c r="Y13" s="145"/>
      <c r="Z13" s="37"/>
      <c r="AA13" s="39"/>
      <c r="AB13" s="39">
        <v>40650</v>
      </c>
      <c r="AC13" s="39"/>
      <c r="AD13" s="32">
        <v>40662</v>
      </c>
      <c r="AE13" s="41"/>
      <c r="AF13" s="91" t="s">
        <v>320</v>
      </c>
      <c r="AG13" s="43"/>
    </row>
    <row r="14" spans="1:33" x14ac:dyDescent="0.3">
      <c r="A14" s="81" t="s">
        <v>308</v>
      </c>
      <c r="B14" s="82" t="s">
        <v>309</v>
      </c>
      <c r="C14" s="104">
        <v>2012</v>
      </c>
      <c r="D14" s="113">
        <v>2937454.8182201735</v>
      </c>
      <c r="E14" s="107"/>
      <c r="F14" s="120"/>
      <c r="G14" s="165"/>
      <c r="H14" s="99">
        <v>0</v>
      </c>
      <c r="I14" s="99">
        <v>2781765</v>
      </c>
      <c r="J14" s="83">
        <v>61916</v>
      </c>
      <c r="K14" s="158">
        <f t="shared" si="0"/>
        <v>2843681</v>
      </c>
      <c r="L14" s="162">
        <f t="shared" si="1"/>
        <v>0.97822681236045816</v>
      </c>
      <c r="M14" s="27"/>
      <c r="N14" s="130" t="s">
        <v>245</v>
      </c>
      <c r="O14" s="127">
        <v>73</v>
      </c>
      <c r="P14" s="53">
        <v>96</v>
      </c>
      <c r="Q14" s="79"/>
      <c r="R14" s="71" t="s">
        <v>245</v>
      </c>
      <c r="S14" s="134">
        <v>4.0316084208187339</v>
      </c>
      <c r="T14" s="72">
        <v>6.1232253604667646</v>
      </c>
      <c r="U14" s="36" t="s">
        <v>319</v>
      </c>
      <c r="V14" s="153" t="s">
        <v>245</v>
      </c>
      <c r="W14" s="152">
        <v>100</v>
      </c>
      <c r="X14" s="152">
        <v>2</v>
      </c>
      <c r="Y14" s="145"/>
      <c r="Z14" s="37">
        <v>41033</v>
      </c>
      <c r="AA14" s="39"/>
      <c r="AB14" s="39">
        <v>41038</v>
      </c>
      <c r="AC14" s="39"/>
      <c r="AD14" s="32">
        <v>41052</v>
      </c>
      <c r="AE14" s="41"/>
      <c r="AF14" s="42"/>
      <c r="AG14" s="43"/>
    </row>
    <row r="15" spans="1:33" x14ac:dyDescent="0.3">
      <c r="A15" s="81" t="s">
        <v>308</v>
      </c>
      <c r="B15" s="82" t="s">
        <v>309</v>
      </c>
      <c r="C15" s="103">
        <v>2013</v>
      </c>
      <c r="D15" s="168">
        <v>6268286.8692750772</v>
      </c>
      <c r="E15" s="107"/>
      <c r="F15" s="120"/>
      <c r="G15" s="169" t="s">
        <v>321</v>
      </c>
      <c r="H15" s="99">
        <v>0</v>
      </c>
      <c r="I15" s="99">
        <v>6073754</v>
      </c>
      <c r="J15" s="83">
        <v>102964</v>
      </c>
      <c r="K15" s="158">
        <f t="shared" si="0"/>
        <v>6176718</v>
      </c>
      <c r="L15" s="162">
        <f t="shared" si="1"/>
        <v>0.98333030583555858</v>
      </c>
      <c r="M15" s="27"/>
      <c r="N15" s="130" t="s">
        <v>245</v>
      </c>
      <c r="O15" s="127">
        <v>73</v>
      </c>
      <c r="P15" s="53">
        <v>109</v>
      </c>
      <c r="Q15" s="79"/>
      <c r="R15" s="71" t="s">
        <v>245</v>
      </c>
      <c r="S15" s="134">
        <v>2.5619880405160753</v>
      </c>
      <c r="T15" s="72">
        <v>7.7045683370993991</v>
      </c>
      <c r="U15" s="36" t="s">
        <v>319</v>
      </c>
      <c r="V15" s="153" t="s">
        <v>245</v>
      </c>
      <c r="W15" s="152">
        <v>97</v>
      </c>
      <c r="X15" s="152">
        <v>16</v>
      </c>
      <c r="Y15" s="145"/>
      <c r="Z15" s="37">
        <v>41376</v>
      </c>
      <c r="AA15" s="39">
        <f>(Z15+AB15)/2</f>
        <v>41380</v>
      </c>
      <c r="AB15" s="39">
        <v>41384</v>
      </c>
      <c r="AC15" s="39">
        <v>41389</v>
      </c>
      <c r="AD15" s="32">
        <v>41394</v>
      </c>
      <c r="AE15" s="41"/>
      <c r="AF15" s="42"/>
      <c r="AG15" s="43"/>
    </row>
    <row r="16" spans="1:33" x14ac:dyDescent="0.3">
      <c r="A16" s="81" t="s">
        <v>308</v>
      </c>
      <c r="B16" s="82" t="s">
        <v>309</v>
      </c>
      <c r="C16" s="104">
        <v>2014</v>
      </c>
      <c r="D16" s="113">
        <v>9982856.9626555499</v>
      </c>
      <c r="E16" s="107"/>
      <c r="F16" s="120"/>
      <c r="G16" s="165"/>
      <c r="H16" s="99">
        <v>0</v>
      </c>
      <c r="I16" s="99">
        <v>9591770</v>
      </c>
      <c r="J16" s="83">
        <v>297853</v>
      </c>
      <c r="K16" s="158">
        <f t="shared" si="0"/>
        <v>9889623</v>
      </c>
      <c r="L16" s="162">
        <f t="shared" si="1"/>
        <v>0.96988226952635104</v>
      </c>
      <c r="M16" s="27"/>
      <c r="N16" s="130" t="s">
        <v>245</v>
      </c>
      <c r="O16" s="127">
        <v>75</v>
      </c>
      <c r="P16" s="53">
        <v>91</v>
      </c>
      <c r="Q16" s="79"/>
      <c r="R16" s="71" t="s">
        <v>245</v>
      </c>
      <c r="S16" s="134">
        <v>4.3095081422924011</v>
      </c>
      <c r="T16" s="72">
        <v>6.5750191735835095</v>
      </c>
      <c r="U16" s="36"/>
      <c r="V16" s="153" t="s">
        <v>245</v>
      </c>
      <c r="W16" s="152">
        <v>65</v>
      </c>
      <c r="X16" s="152">
        <v>5</v>
      </c>
      <c r="Y16" s="145"/>
      <c r="Z16" s="37">
        <v>41776</v>
      </c>
      <c r="AA16" s="39"/>
      <c r="AB16" s="39">
        <v>41783</v>
      </c>
      <c r="AC16" s="39"/>
      <c r="AD16" s="32">
        <v>41792</v>
      </c>
      <c r="AE16" s="41"/>
      <c r="AF16" s="91" t="s">
        <v>322</v>
      </c>
      <c r="AG16" s="43"/>
    </row>
    <row r="17" spans="1:33" x14ac:dyDescent="0.3">
      <c r="A17" s="81" t="s">
        <v>308</v>
      </c>
      <c r="B17" s="82" t="s">
        <v>309</v>
      </c>
      <c r="C17" s="103">
        <v>2015</v>
      </c>
      <c r="D17" s="113">
        <v>8081653.7474214658</v>
      </c>
      <c r="E17" s="107"/>
      <c r="F17" s="120"/>
      <c r="G17" s="165"/>
      <c r="H17" s="99">
        <v>0</v>
      </c>
      <c r="I17" s="99">
        <v>7968151</v>
      </c>
      <c r="J17" s="96">
        <v>19873</v>
      </c>
      <c r="K17" s="158">
        <f t="shared" si="0"/>
        <v>7988024</v>
      </c>
      <c r="L17" s="162">
        <f t="shared" si="1"/>
        <v>0.99751215068958232</v>
      </c>
      <c r="M17" s="136" t="s">
        <v>323</v>
      </c>
      <c r="N17" s="130" t="s">
        <v>245</v>
      </c>
      <c r="O17" s="127">
        <v>68</v>
      </c>
      <c r="P17" s="94">
        <v>104</v>
      </c>
      <c r="Q17" s="95" t="s">
        <v>324</v>
      </c>
      <c r="R17" s="71" t="s">
        <v>245</v>
      </c>
      <c r="S17" s="134">
        <v>3.4385632659758656</v>
      </c>
      <c r="T17" s="97">
        <v>5.1885053966808599</v>
      </c>
      <c r="U17" s="36" t="s">
        <v>325</v>
      </c>
      <c r="V17" s="153" t="s">
        <v>245</v>
      </c>
      <c r="W17" s="152">
        <v>80</v>
      </c>
      <c r="X17" s="152">
        <v>17</v>
      </c>
      <c r="Y17" s="156" t="s">
        <v>326</v>
      </c>
      <c r="Z17" s="37">
        <v>42127</v>
      </c>
      <c r="AA17" s="39"/>
      <c r="AB17" s="39">
        <v>42132</v>
      </c>
      <c r="AC17" s="39"/>
      <c r="AD17" s="32">
        <v>42148</v>
      </c>
      <c r="AE17" s="41"/>
      <c r="AF17" s="91" t="s">
        <v>327</v>
      </c>
      <c r="AG17" s="43"/>
    </row>
    <row r="18" spans="1:33" x14ac:dyDescent="0.3">
      <c r="A18" s="81" t="s">
        <v>308</v>
      </c>
      <c r="B18" s="82" t="s">
        <v>309</v>
      </c>
      <c r="C18" s="104">
        <v>2016</v>
      </c>
      <c r="D18" s="113">
        <v>4021751.0822480735</v>
      </c>
      <c r="E18" s="107"/>
      <c r="F18" s="120"/>
      <c r="G18" s="165"/>
      <c r="H18" s="99">
        <v>0</v>
      </c>
      <c r="I18" s="99">
        <v>3703790</v>
      </c>
      <c r="J18" s="83">
        <v>221249</v>
      </c>
      <c r="K18" s="158">
        <f t="shared" si="0"/>
        <v>3925039</v>
      </c>
      <c r="L18" s="162">
        <f t="shared" si="1"/>
        <v>0.94363138812123903</v>
      </c>
      <c r="M18" s="27"/>
      <c r="N18" s="130" t="s">
        <v>245</v>
      </c>
      <c r="O18" s="127">
        <v>63</v>
      </c>
      <c r="P18" s="53">
        <v>101</v>
      </c>
      <c r="Q18" s="79"/>
      <c r="R18" s="71" t="s">
        <v>245</v>
      </c>
      <c r="S18" s="134">
        <v>2.0140092428621106</v>
      </c>
      <c r="T18" s="72">
        <v>8.0118753375886786</v>
      </c>
      <c r="U18" s="36"/>
      <c r="V18" s="153" t="s">
        <v>245</v>
      </c>
      <c r="W18" s="152">
        <v>81</v>
      </c>
      <c r="X18" s="152">
        <v>17</v>
      </c>
      <c r="Y18" s="156" t="s">
        <v>326</v>
      </c>
      <c r="Z18" s="37">
        <v>42498</v>
      </c>
      <c r="AA18" s="39"/>
      <c r="AB18" s="39">
        <v>42503</v>
      </c>
      <c r="AC18" s="39"/>
      <c r="AD18" s="32">
        <v>42516</v>
      </c>
      <c r="AE18" s="41"/>
      <c r="AF18" s="91" t="s">
        <v>328</v>
      </c>
      <c r="AG18" s="43"/>
    </row>
    <row r="19" spans="1:33" x14ac:dyDescent="0.3">
      <c r="A19" s="81" t="s">
        <v>308</v>
      </c>
      <c r="B19" s="82" t="s">
        <v>309</v>
      </c>
      <c r="C19" s="103">
        <v>2017</v>
      </c>
      <c r="D19" s="113">
        <v>7235967.7064183978</v>
      </c>
      <c r="E19" s="107"/>
      <c r="F19" s="120"/>
      <c r="G19" s="165"/>
      <c r="H19" s="99">
        <v>8885</v>
      </c>
      <c r="I19" s="99">
        <v>6575061</v>
      </c>
      <c r="J19" s="83">
        <v>552744</v>
      </c>
      <c r="K19" s="158">
        <f t="shared" si="0"/>
        <v>7136690</v>
      </c>
      <c r="L19" s="162">
        <f t="shared" si="1"/>
        <v>0.92130399386830586</v>
      </c>
      <c r="M19" s="27"/>
      <c r="N19" s="52">
        <v>48</v>
      </c>
      <c r="O19" s="127">
        <v>61</v>
      </c>
      <c r="P19" s="53">
        <v>101</v>
      </c>
      <c r="Q19" s="79" t="s">
        <v>319</v>
      </c>
      <c r="R19" s="71">
        <v>4.310149063547291</v>
      </c>
      <c r="S19" s="134">
        <v>4.310149063547291</v>
      </c>
      <c r="T19" s="72">
        <v>4.8060271413421773</v>
      </c>
      <c r="U19" s="36"/>
      <c r="V19" s="153">
        <v>3</v>
      </c>
      <c r="W19" s="152">
        <v>90</v>
      </c>
      <c r="X19" s="152">
        <v>6</v>
      </c>
      <c r="Y19" s="156" t="s">
        <v>326</v>
      </c>
      <c r="Z19" s="37">
        <v>42834</v>
      </c>
      <c r="AA19" s="39">
        <f>(Z19+AB19)/2</f>
        <v>42837</v>
      </c>
      <c r="AB19" s="39">
        <v>42840</v>
      </c>
      <c r="AC19" s="39">
        <v>42847</v>
      </c>
      <c r="AD19" s="32">
        <v>42854</v>
      </c>
      <c r="AE19" s="41"/>
      <c r="AF19" s="42"/>
      <c r="AG19" s="43"/>
    </row>
    <row r="20" spans="1:33" x14ac:dyDescent="0.3">
      <c r="A20" s="81" t="s">
        <v>308</v>
      </c>
      <c r="B20" s="82" t="s">
        <v>309</v>
      </c>
      <c r="C20" s="104">
        <v>2018</v>
      </c>
      <c r="D20" s="113">
        <v>8676550.9720086027</v>
      </c>
      <c r="E20" s="107"/>
      <c r="F20" s="120"/>
      <c r="G20" s="165"/>
      <c r="H20" s="99">
        <v>0</v>
      </c>
      <c r="I20" s="99">
        <v>8307691</v>
      </c>
      <c r="J20" s="83">
        <v>272849</v>
      </c>
      <c r="K20" s="158">
        <f t="shared" si="0"/>
        <v>8580540</v>
      </c>
      <c r="L20" s="162">
        <f t="shared" si="1"/>
        <v>0.96820141855873876</v>
      </c>
      <c r="M20" s="27"/>
      <c r="N20" s="130" t="s">
        <v>245</v>
      </c>
      <c r="O20" s="127">
        <v>60</v>
      </c>
      <c r="P20" s="53">
        <v>104</v>
      </c>
      <c r="Q20" s="79"/>
      <c r="R20" s="71" t="s">
        <v>245</v>
      </c>
      <c r="S20" s="134">
        <v>3.4722976487389672</v>
      </c>
      <c r="T20" s="72">
        <v>8.3477990772493378</v>
      </c>
      <c r="U20" s="36"/>
      <c r="V20" s="153" t="s">
        <v>245</v>
      </c>
      <c r="W20" s="152">
        <v>75</v>
      </c>
      <c r="X20" s="152">
        <v>21</v>
      </c>
      <c r="Y20" s="156" t="s">
        <v>326</v>
      </c>
      <c r="Z20" s="37">
        <v>43220</v>
      </c>
      <c r="AA20" s="39"/>
      <c r="AB20" s="39">
        <v>43227</v>
      </c>
      <c r="AC20" s="39"/>
      <c r="AD20" s="32">
        <v>43237</v>
      </c>
      <c r="AE20" s="41"/>
      <c r="AF20" s="42"/>
      <c r="AG20" s="43"/>
    </row>
    <row r="21" spans="1:33" x14ac:dyDescent="0.3">
      <c r="A21" s="81" t="s">
        <v>308</v>
      </c>
      <c r="B21" s="82" t="s">
        <v>309</v>
      </c>
      <c r="C21" s="103">
        <v>2019</v>
      </c>
      <c r="D21" s="113">
        <v>7940119.795161332</v>
      </c>
      <c r="E21" s="107"/>
      <c r="F21" s="120"/>
      <c r="G21" s="165"/>
      <c r="H21" s="99">
        <v>9985</v>
      </c>
      <c r="I21" s="99">
        <v>7063483</v>
      </c>
      <c r="J21" s="83">
        <v>768483</v>
      </c>
      <c r="K21" s="158">
        <f t="shared" si="0"/>
        <v>7841951</v>
      </c>
      <c r="L21" s="162">
        <f t="shared" si="1"/>
        <v>0.9007303157084251</v>
      </c>
      <c r="M21" s="27"/>
      <c r="N21" s="52">
        <v>64</v>
      </c>
      <c r="O21" s="127">
        <v>75</v>
      </c>
      <c r="P21" s="53">
        <v>103</v>
      </c>
      <c r="Q21" s="79" t="s">
        <v>319</v>
      </c>
      <c r="R21" s="72">
        <v>3.737359942623117</v>
      </c>
      <c r="S21" s="72">
        <v>3.737359942623117</v>
      </c>
      <c r="T21" s="72">
        <v>8.0177612443603721</v>
      </c>
      <c r="U21" s="36"/>
      <c r="V21" s="153">
        <v>15</v>
      </c>
      <c r="W21" s="152">
        <v>104</v>
      </c>
      <c r="X21" s="152">
        <v>15</v>
      </c>
      <c r="Y21" s="156" t="s">
        <v>326</v>
      </c>
      <c r="Z21" s="37">
        <v>43564</v>
      </c>
      <c r="AA21" s="39">
        <f>(Z21+AB21)/2</f>
        <v>43566.5</v>
      </c>
      <c r="AB21" s="39">
        <v>43569</v>
      </c>
      <c r="AC21" s="39">
        <v>43573.5</v>
      </c>
      <c r="AD21" s="32">
        <v>43578</v>
      </c>
      <c r="AE21" s="41"/>
      <c r="AF21" s="42"/>
      <c r="AG21" s="43"/>
    </row>
    <row r="22" spans="1:33" x14ac:dyDescent="0.3">
      <c r="A22" s="81" t="s">
        <v>308</v>
      </c>
      <c r="B22" s="82" t="s">
        <v>309</v>
      </c>
      <c r="C22" s="104">
        <v>2020</v>
      </c>
      <c r="D22" s="113">
        <v>2934200.7211355907</v>
      </c>
      <c r="E22" s="107"/>
      <c r="F22" s="120"/>
      <c r="G22" s="165"/>
      <c r="H22" s="99">
        <v>10910</v>
      </c>
      <c r="I22" s="99">
        <v>2619193</v>
      </c>
      <c r="J22" s="83">
        <v>207758</v>
      </c>
      <c r="K22" s="158">
        <f t="shared" si="0"/>
        <v>2837861</v>
      </c>
      <c r="L22" s="162">
        <f t="shared" si="1"/>
        <v>0.92294619081061402</v>
      </c>
      <c r="M22" s="27"/>
      <c r="N22" s="52">
        <v>60</v>
      </c>
      <c r="O22" s="127">
        <v>74</v>
      </c>
      <c r="P22" s="53">
        <v>104</v>
      </c>
      <c r="Q22" s="79" t="s">
        <v>319</v>
      </c>
      <c r="R22" s="72">
        <v>4.6121268404464875</v>
      </c>
      <c r="S22" s="72">
        <v>4.6121268404464875</v>
      </c>
      <c r="T22" s="72">
        <v>8.4353551822379771</v>
      </c>
      <c r="U22" s="36" t="s">
        <v>319</v>
      </c>
      <c r="V22" s="153">
        <v>4</v>
      </c>
      <c r="W22" s="152">
        <v>84</v>
      </c>
      <c r="X22" s="152">
        <v>16</v>
      </c>
      <c r="Y22" s="156" t="s">
        <v>326</v>
      </c>
      <c r="Z22" s="37"/>
      <c r="AA22" s="39">
        <f>(Z22+AB22)/2</f>
        <v>21969</v>
      </c>
      <c r="AB22" s="39">
        <v>43938</v>
      </c>
      <c r="AC22" s="39">
        <v>43944</v>
      </c>
      <c r="AD22" s="32"/>
      <c r="AE22" s="154" t="s">
        <v>329</v>
      </c>
      <c r="AF22" s="91" t="s">
        <v>245</v>
      </c>
      <c r="AG22" s="43"/>
    </row>
    <row r="23" spans="1:33" x14ac:dyDescent="0.3">
      <c r="A23" s="84"/>
      <c r="B23" s="85"/>
      <c r="C23" s="103">
        <v>2021</v>
      </c>
      <c r="D23" s="106"/>
      <c r="E23" s="107"/>
      <c r="F23" s="120"/>
      <c r="G23" s="165"/>
      <c r="H23" s="100"/>
      <c r="I23" s="100"/>
      <c r="J23" s="86"/>
      <c r="K23" s="158" t="str">
        <f t="shared" si="0"/>
        <v/>
      </c>
      <c r="L23" s="162" t="str">
        <f t="shared" si="1"/>
        <v/>
      </c>
      <c r="M23" s="27"/>
      <c r="N23" s="52" t="s">
        <v>245</v>
      </c>
      <c r="O23" s="127"/>
      <c r="P23" s="53"/>
      <c r="Q23" s="79"/>
      <c r="R23" s="71" t="s">
        <v>245</v>
      </c>
      <c r="S23" s="134"/>
      <c r="T23" s="72"/>
      <c r="U23" s="36"/>
      <c r="V23" s="146"/>
      <c r="W23" s="147"/>
      <c r="X23" s="144"/>
      <c r="Y23" s="145"/>
      <c r="Z23" s="37"/>
      <c r="AA23" s="39"/>
      <c r="AB23" s="39"/>
      <c r="AC23" s="39"/>
      <c r="AD23" s="40"/>
      <c r="AE23" s="41"/>
      <c r="AF23" s="42"/>
      <c r="AG23" s="43"/>
    </row>
    <row r="24" spans="1:33" x14ac:dyDescent="0.3">
      <c r="A24" s="84"/>
      <c r="B24" s="85"/>
      <c r="C24" s="104">
        <v>2022</v>
      </c>
      <c r="D24" s="106"/>
      <c r="E24" s="107"/>
      <c r="F24" s="120"/>
      <c r="G24" s="165"/>
      <c r="H24" s="100"/>
      <c r="I24" s="100"/>
      <c r="J24" s="86"/>
      <c r="K24" s="158" t="str">
        <f t="shared" si="0"/>
        <v/>
      </c>
      <c r="L24" s="162" t="str">
        <f t="shared" si="1"/>
        <v/>
      </c>
      <c r="M24" s="27"/>
      <c r="N24" s="52" t="s">
        <v>245</v>
      </c>
      <c r="O24" s="127"/>
      <c r="P24" s="53"/>
      <c r="Q24" s="79"/>
      <c r="R24" s="71" t="s">
        <v>245</v>
      </c>
      <c r="S24" s="134"/>
      <c r="T24" s="72"/>
      <c r="U24" s="36"/>
      <c r="V24" s="146"/>
      <c r="W24" s="147"/>
      <c r="X24" s="144"/>
      <c r="Y24" s="145"/>
      <c r="Z24" s="37"/>
      <c r="AA24" s="39"/>
      <c r="AB24" s="39"/>
      <c r="AC24" s="39"/>
      <c r="AD24" s="40"/>
      <c r="AE24" s="41"/>
      <c r="AF24" s="42"/>
      <c r="AG24" s="43"/>
    </row>
    <row r="25" spans="1:33" x14ac:dyDescent="0.3">
      <c r="A25" s="84"/>
      <c r="B25" s="85"/>
      <c r="C25" s="103">
        <v>2023</v>
      </c>
      <c r="D25" s="106"/>
      <c r="E25" s="107"/>
      <c r="F25" s="120"/>
      <c r="G25" s="165"/>
      <c r="H25" s="100"/>
      <c r="I25" s="100"/>
      <c r="J25" s="86"/>
      <c r="K25" s="158" t="str">
        <f t="shared" si="0"/>
        <v/>
      </c>
      <c r="L25" s="162" t="str">
        <f t="shared" si="1"/>
        <v/>
      </c>
      <c r="M25" s="27"/>
      <c r="N25" s="52" t="s">
        <v>245</v>
      </c>
      <c r="O25" s="127"/>
      <c r="P25" s="53"/>
      <c r="Q25" s="79"/>
      <c r="R25" s="71" t="s">
        <v>245</v>
      </c>
      <c r="S25" s="134"/>
      <c r="T25" s="72"/>
      <c r="U25" s="36"/>
      <c r="V25" s="146"/>
      <c r="W25" s="147"/>
      <c r="X25" s="144"/>
      <c r="Y25" s="145"/>
      <c r="Z25" s="37"/>
      <c r="AA25" s="39"/>
      <c r="AB25" s="39"/>
      <c r="AC25" s="39"/>
      <c r="AD25" s="40"/>
      <c r="AE25" s="41"/>
      <c r="AF25" s="42"/>
      <c r="AG25" s="43"/>
    </row>
    <row r="26" spans="1:33" ht="15" thickBot="1" x14ac:dyDescent="0.35">
      <c r="A26" s="87"/>
      <c r="B26" s="88"/>
      <c r="C26" s="105">
        <v>2024</v>
      </c>
      <c r="D26" s="108"/>
      <c r="E26" s="109"/>
      <c r="F26" s="121"/>
      <c r="G26" s="166"/>
      <c r="H26" s="101"/>
      <c r="I26" s="101"/>
      <c r="J26" s="89"/>
      <c r="K26" s="159" t="str">
        <f t="shared" si="0"/>
        <v/>
      </c>
      <c r="L26" s="163" t="str">
        <f t="shared" si="1"/>
        <v/>
      </c>
      <c r="M26" s="28"/>
      <c r="N26" s="54" t="s">
        <v>245</v>
      </c>
      <c r="O26" s="128"/>
      <c r="P26" s="55"/>
      <c r="Q26" s="80"/>
      <c r="R26" s="137" t="s">
        <v>245</v>
      </c>
      <c r="S26" s="138"/>
      <c r="T26" s="73"/>
      <c r="U26" s="44"/>
      <c r="V26" s="148"/>
      <c r="W26" s="149"/>
      <c r="X26" s="150"/>
      <c r="Y26" s="151"/>
      <c r="Z26" s="45"/>
      <c r="AA26" s="46"/>
      <c r="AB26" s="46"/>
      <c r="AC26" s="46"/>
      <c r="AD26" s="47"/>
      <c r="AE26" s="48"/>
      <c r="AF26" s="49"/>
      <c r="AG26" s="50"/>
    </row>
  </sheetData>
  <sheetProtection formatCells="0" insertColumns="0" insertRows="0" sort="0" autoFilter="0" pivotTables="0"/>
  <mergeCells count="11">
    <mergeCell ref="Z1:AE1"/>
    <mergeCell ref="AG1:AG2"/>
    <mergeCell ref="AF1:AF2"/>
    <mergeCell ref="H1:M1"/>
    <mergeCell ref="A1:A2"/>
    <mergeCell ref="B1:B2"/>
    <mergeCell ref="C1:C2"/>
    <mergeCell ref="N1:Q1"/>
    <mergeCell ref="V1:Y1"/>
    <mergeCell ref="D1:G1"/>
    <mergeCell ref="R1:U1"/>
  </mergeCells>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tabColor theme="8" tint="0.39997558519241921"/>
  </sheetPr>
  <dimension ref="A1:AU27"/>
  <sheetViews>
    <sheetView zoomScaleNormal="100" workbookViewId="0">
      <pane xSplit="3" ySplit="2" topLeftCell="AF3" activePane="bottomRight" state="frozen"/>
      <selection pane="topRight" activeCell="D1" sqref="D1"/>
      <selection pane="bottomLeft" activeCell="A3" sqref="A3"/>
      <selection pane="bottomRight" activeCell="AX19" sqref="AX19"/>
    </sheetView>
  </sheetViews>
  <sheetFormatPr defaultRowHeight="14.4" x14ac:dyDescent="0.3"/>
  <cols>
    <col min="1" max="1" width="10.33203125" customWidth="1"/>
    <col min="2" max="2" width="13.6640625" customWidth="1"/>
    <col min="3" max="3" width="9.33203125" customWidth="1"/>
    <col min="4" max="4" width="6.44140625" bestFit="1" customWidth="1"/>
    <col min="5" max="5" width="9.33203125" customWidth="1"/>
    <col min="6" max="6" width="6.44140625" bestFit="1" customWidth="1"/>
    <col min="7" max="7" width="8.6640625" customWidth="1"/>
    <col min="8" max="8" width="7.44140625" bestFit="1" customWidth="1"/>
    <col min="9" max="9" width="6.44140625" bestFit="1" customWidth="1"/>
    <col min="10" max="10" width="3.5546875" bestFit="1" customWidth="1"/>
    <col min="11" max="11" width="9.6640625" bestFit="1" customWidth="1"/>
    <col min="12" max="12" width="8.33203125" bestFit="1" customWidth="1"/>
    <col min="13" max="19" width="4" bestFit="1" customWidth="1"/>
    <col min="20" max="20" width="8.6640625" bestFit="1" customWidth="1"/>
    <col min="21" max="21" width="9.33203125" customWidth="1"/>
    <col min="22" max="27" width="5.33203125" customWidth="1"/>
    <col min="28" max="28" width="4.6640625" bestFit="1" customWidth="1"/>
    <col min="29" max="30" width="9.6640625" customWidth="1"/>
    <col min="31" max="36" width="4.6640625" customWidth="1"/>
    <col min="37" max="37" width="3.5546875" bestFit="1" customWidth="1"/>
    <col min="38" max="38" width="5.33203125" bestFit="1" customWidth="1"/>
    <col min="39" max="39" width="8.33203125" bestFit="1" customWidth="1"/>
    <col min="40" max="41" width="9" bestFit="1" customWidth="1"/>
    <col min="42" max="43" width="8.44140625" bestFit="1" customWidth="1"/>
    <col min="44" max="44" width="9.33203125" bestFit="1" customWidth="1"/>
    <col min="46" max="46" width="13.5546875" customWidth="1"/>
    <col min="47" max="47" width="13" customWidth="1"/>
  </cols>
  <sheetData>
    <row r="1" spans="1:47" s="2" customFormat="1" ht="24" customHeight="1" x14ac:dyDescent="0.3">
      <c r="A1" s="2513" t="s">
        <v>291</v>
      </c>
      <c r="B1" s="2467" t="s">
        <v>292</v>
      </c>
      <c r="C1" s="2511" t="s">
        <v>330</v>
      </c>
      <c r="D1" s="2515" t="s">
        <v>331</v>
      </c>
      <c r="E1" s="2488"/>
      <c r="F1" s="2488"/>
      <c r="G1" s="2489"/>
      <c r="H1" s="2489"/>
      <c r="I1" s="2489"/>
      <c r="J1" s="2489"/>
      <c r="K1" s="2489"/>
      <c r="L1" s="2490"/>
      <c r="M1" s="2495" t="s">
        <v>332</v>
      </c>
      <c r="N1" s="2496"/>
      <c r="O1" s="2496"/>
      <c r="P1" s="2496"/>
      <c r="Q1" s="2496"/>
      <c r="R1" s="2496"/>
      <c r="S1" s="2497"/>
      <c r="T1" s="2497"/>
      <c r="U1" s="2516"/>
      <c r="V1" s="2520" t="s">
        <v>333</v>
      </c>
      <c r="W1" s="2521"/>
      <c r="X1" s="2521"/>
      <c r="Y1" s="2521"/>
      <c r="Z1" s="2521"/>
      <c r="AA1" s="2521"/>
      <c r="AB1" s="2522"/>
      <c r="AC1" s="2522"/>
      <c r="AD1" s="2523"/>
      <c r="AE1" s="2517" t="s">
        <v>334</v>
      </c>
      <c r="AF1" s="2518"/>
      <c r="AG1" s="2518"/>
      <c r="AH1" s="2518"/>
      <c r="AI1" s="2518"/>
      <c r="AJ1" s="2518"/>
      <c r="AK1" s="2518"/>
      <c r="AL1" s="2518"/>
      <c r="AM1" s="2519"/>
      <c r="AN1" s="2510" t="s">
        <v>335</v>
      </c>
      <c r="AO1" s="2461"/>
      <c r="AP1" s="2461"/>
      <c r="AQ1" s="2461"/>
      <c r="AR1" s="2462"/>
      <c r="AS1" s="2463"/>
      <c r="AT1" s="2485" t="s">
        <v>336</v>
      </c>
      <c r="AU1" s="2483" t="s">
        <v>216</v>
      </c>
    </row>
    <row r="2" spans="1:47" s="1" customFormat="1" ht="43.2" customHeight="1" thickBot="1" x14ac:dyDescent="0.4">
      <c r="A2" s="2514"/>
      <c r="B2" s="2469"/>
      <c r="C2" s="2512"/>
      <c r="D2" s="93" t="s">
        <v>337</v>
      </c>
      <c r="E2" s="70" t="s">
        <v>338</v>
      </c>
      <c r="F2" s="70" t="s">
        <v>339</v>
      </c>
      <c r="G2" s="70" t="s">
        <v>340</v>
      </c>
      <c r="H2" s="70" t="s">
        <v>341</v>
      </c>
      <c r="I2" s="70" t="s">
        <v>342</v>
      </c>
      <c r="J2" s="205" t="s">
        <v>343</v>
      </c>
      <c r="K2" s="170" t="s">
        <v>221</v>
      </c>
      <c r="L2" s="4" t="s">
        <v>302</v>
      </c>
      <c r="M2" s="129" t="s">
        <v>337</v>
      </c>
      <c r="N2" s="174" t="s">
        <v>338</v>
      </c>
      <c r="O2" s="174" t="s">
        <v>339</v>
      </c>
      <c r="P2" s="174" t="s">
        <v>340</v>
      </c>
      <c r="Q2" s="174" t="s">
        <v>341</v>
      </c>
      <c r="R2" s="174" t="s">
        <v>342</v>
      </c>
      <c r="S2" s="204" t="s">
        <v>343</v>
      </c>
      <c r="T2" s="6" t="s">
        <v>344</v>
      </c>
      <c r="U2" s="75" t="s">
        <v>302</v>
      </c>
      <c r="V2" s="175" t="s">
        <v>337</v>
      </c>
      <c r="W2" s="176" t="s">
        <v>338</v>
      </c>
      <c r="X2" s="176" t="s">
        <v>339</v>
      </c>
      <c r="Y2" s="176" t="s">
        <v>340</v>
      </c>
      <c r="Z2" s="176" t="s">
        <v>341</v>
      </c>
      <c r="AA2" s="176" t="s">
        <v>342</v>
      </c>
      <c r="AB2" s="206" t="s">
        <v>343</v>
      </c>
      <c r="AC2" s="195" t="s">
        <v>344</v>
      </c>
      <c r="AD2" s="215" t="s">
        <v>302</v>
      </c>
      <c r="AE2" s="233" t="s">
        <v>345</v>
      </c>
      <c r="AF2" s="208" t="s">
        <v>346</v>
      </c>
      <c r="AG2" s="208" t="s">
        <v>347</v>
      </c>
      <c r="AH2" s="208" t="s">
        <v>348</v>
      </c>
      <c r="AI2" s="208" t="s">
        <v>349</v>
      </c>
      <c r="AJ2" s="208" t="s">
        <v>350</v>
      </c>
      <c r="AK2" s="207" t="s">
        <v>343</v>
      </c>
      <c r="AL2" s="208" t="s">
        <v>221</v>
      </c>
      <c r="AM2" s="209" t="s">
        <v>302</v>
      </c>
      <c r="AN2" s="76" t="s">
        <v>225</v>
      </c>
      <c r="AO2" s="7" t="s">
        <v>306</v>
      </c>
      <c r="AP2" s="7" t="s">
        <v>351</v>
      </c>
      <c r="AQ2" s="7" t="s">
        <v>307</v>
      </c>
      <c r="AR2" s="8" t="s">
        <v>229</v>
      </c>
      <c r="AS2" s="9" t="s">
        <v>302</v>
      </c>
      <c r="AT2" s="2486"/>
      <c r="AU2" s="2484"/>
    </row>
    <row r="3" spans="1:47" x14ac:dyDescent="0.3">
      <c r="A3" s="81" t="s">
        <v>308</v>
      </c>
      <c r="B3" s="82" t="s">
        <v>309</v>
      </c>
      <c r="C3" s="60">
        <v>2001</v>
      </c>
      <c r="D3" s="63">
        <v>3027</v>
      </c>
      <c r="E3" s="69">
        <v>178756</v>
      </c>
      <c r="F3" s="69"/>
      <c r="G3" s="69">
        <v>14253</v>
      </c>
      <c r="H3" s="69">
        <v>2722</v>
      </c>
      <c r="I3" s="69"/>
      <c r="J3" s="69"/>
      <c r="K3" s="171">
        <f>SUM(D3:J3)</f>
        <v>198758</v>
      </c>
      <c r="L3" s="26"/>
      <c r="M3" s="199">
        <v>380</v>
      </c>
      <c r="N3" s="199">
        <v>555</v>
      </c>
      <c r="O3" s="199">
        <v>398</v>
      </c>
      <c r="P3" s="199">
        <v>648</v>
      </c>
      <c r="Q3" s="199">
        <v>703</v>
      </c>
      <c r="R3" s="199">
        <v>718</v>
      </c>
      <c r="S3" s="177"/>
      <c r="T3" s="187">
        <f t="shared" ref="T3:T20" si="0">IF(ISNUMBER($K3),(IF(ISNUMBER(M3),M3*$D3)+IF(ISNUMBER(N3),N3*$E3)+IF(ISNUMBER(O3),O3*$F3)+IF(ISNUMBER(P3),P3*$G3)+IF(ISNUMBER(Q3),Q3*$H3)+IF(ISNUMBER(R3),R3*$I3)+IF(ISNUMBER(S3),S3*$J3))/$K3,"")</f>
        <v>561.03075096348323</v>
      </c>
      <c r="U3" s="74"/>
      <c r="V3" s="191">
        <v>1.9</v>
      </c>
      <c r="W3" s="184">
        <v>2.9</v>
      </c>
      <c r="X3" s="184">
        <v>1.4</v>
      </c>
      <c r="Y3" s="184">
        <v>3.6</v>
      </c>
      <c r="Z3" s="184">
        <v>3.7</v>
      </c>
      <c r="AA3" s="190">
        <v>3.9</v>
      </c>
      <c r="AB3" s="190"/>
      <c r="AC3" s="196">
        <f t="shared" ref="AC3:AC20" si="1">IF(ISNUMBER($K3),(IF(ISNUMBER(V3),V3*$D3)+IF(ISNUMBER(W3),W3*$E3)+IF(ISNUMBER(X3),X3*$F3)+IF(ISNUMBER(Y3),Y3*$G3)+IF(ISNUMBER(Z3),Z3*$H3)+IF(ISNUMBER(AA3),AA3*$I3)+IF(ISNUMBER(AB3),AB3*$J3))/$K3,"")</f>
        <v>2.9459236860906231</v>
      </c>
      <c r="AD3" s="216"/>
      <c r="AE3" s="210">
        <v>5</v>
      </c>
      <c r="AF3" s="231">
        <v>49</v>
      </c>
      <c r="AG3" s="231">
        <v>5</v>
      </c>
      <c r="AH3" s="231">
        <v>26</v>
      </c>
      <c r="AI3" s="231">
        <v>4</v>
      </c>
      <c r="AJ3" s="231">
        <v>0</v>
      </c>
      <c r="AK3" s="211"/>
      <c r="AL3" s="212">
        <f>IF(0&lt;SUM(AE3:AK3),SUM(AE3:AK3),"")</f>
        <v>89</v>
      </c>
      <c r="AM3" s="232"/>
      <c r="AN3" s="219">
        <v>37071</v>
      </c>
      <c r="AO3" s="19"/>
      <c r="AP3" s="20">
        <v>37085</v>
      </c>
      <c r="AQ3" s="19"/>
      <c r="AR3" s="20">
        <v>37109</v>
      </c>
      <c r="AS3" s="10"/>
      <c r="AT3" s="13"/>
      <c r="AU3" s="16"/>
    </row>
    <row r="4" spans="1:47" x14ac:dyDescent="0.3">
      <c r="A4" s="81" t="s">
        <v>308</v>
      </c>
      <c r="B4" s="82" t="s">
        <v>309</v>
      </c>
      <c r="C4" s="61">
        <v>2002</v>
      </c>
      <c r="D4" s="63">
        <v>1510</v>
      </c>
      <c r="E4" s="69">
        <v>177241</v>
      </c>
      <c r="F4" s="69"/>
      <c r="G4" s="69">
        <v>10824</v>
      </c>
      <c r="H4" s="69">
        <v>1836</v>
      </c>
      <c r="I4" s="69"/>
      <c r="J4" s="69"/>
      <c r="K4" s="171">
        <f t="shared" ref="K4:K20" si="2">SUM(D4:J4)</f>
        <v>191411</v>
      </c>
      <c r="L4" s="27"/>
      <c r="M4" s="199">
        <v>420</v>
      </c>
      <c r="N4" s="199">
        <v>690</v>
      </c>
      <c r="O4" s="199">
        <v>311</v>
      </c>
      <c r="P4" s="199">
        <v>665</v>
      </c>
      <c r="Q4" s="199">
        <v>622</v>
      </c>
      <c r="R4" s="199">
        <v>674</v>
      </c>
      <c r="S4" s="177"/>
      <c r="T4" s="187">
        <f t="shared" si="0"/>
        <v>685.80406559706603</v>
      </c>
      <c r="U4" s="79"/>
      <c r="V4" s="191">
        <v>1.8</v>
      </c>
      <c r="W4" s="184">
        <v>2.7</v>
      </c>
      <c r="X4" s="184">
        <v>1.3</v>
      </c>
      <c r="Y4" s="184">
        <v>2.2999999999999998</v>
      </c>
      <c r="Z4" s="184">
        <v>3.5</v>
      </c>
      <c r="AA4" s="189">
        <v>3.3</v>
      </c>
      <c r="AB4" s="189"/>
      <c r="AC4" s="197">
        <f t="shared" si="1"/>
        <v>2.6779542450538369</v>
      </c>
      <c r="AD4" s="217"/>
      <c r="AE4" s="224">
        <v>6</v>
      </c>
      <c r="AF4" s="222">
        <v>44</v>
      </c>
      <c r="AG4" s="222">
        <v>3</v>
      </c>
      <c r="AH4" s="222">
        <v>26</v>
      </c>
      <c r="AI4" s="222">
        <v>0</v>
      </c>
      <c r="AJ4" s="222">
        <v>3</v>
      </c>
      <c r="AK4" s="213"/>
      <c r="AL4" s="223">
        <f t="shared" ref="AL4:AL26" si="3">IF(0&lt;SUM(AE4:AK4),SUM(AE4:AK4),"")</f>
        <v>82</v>
      </c>
      <c r="AM4" s="225"/>
      <c r="AN4" s="219">
        <v>37445</v>
      </c>
      <c r="AO4" s="25"/>
      <c r="AP4" s="20">
        <v>37458</v>
      </c>
      <c r="AQ4" s="21"/>
      <c r="AR4" s="20">
        <v>37471</v>
      </c>
      <c r="AS4" s="11"/>
      <c r="AT4" s="14"/>
      <c r="AU4" s="17"/>
    </row>
    <row r="5" spans="1:47" x14ac:dyDescent="0.3">
      <c r="A5" s="81" t="s">
        <v>308</v>
      </c>
      <c r="B5" s="82" t="s">
        <v>309</v>
      </c>
      <c r="C5" s="61">
        <v>2003</v>
      </c>
      <c r="D5" s="63">
        <v>4526</v>
      </c>
      <c r="E5" s="69">
        <v>55257</v>
      </c>
      <c r="F5" s="69"/>
      <c r="G5" s="69">
        <v>7633</v>
      </c>
      <c r="H5" s="69">
        <v>469</v>
      </c>
      <c r="I5" s="69"/>
      <c r="J5" s="69"/>
      <c r="K5" s="171">
        <f t="shared" si="2"/>
        <v>67885</v>
      </c>
      <c r="L5" s="27"/>
      <c r="M5" s="199">
        <v>344</v>
      </c>
      <c r="N5" s="199">
        <v>658</v>
      </c>
      <c r="O5" s="199">
        <v>395</v>
      </c>
      <c r="P5" s="199">
        <v>728</v>
      </c>
      <c r="Q5" s="199">
        <v>651</v>
      </c>
      <c r="R5" s="199">
        <v>749</v>
      </c>
      <c r="S5" s="178"/>
      <c r="T5" s="187">
        <f t="shared" si="0"/>
        <v>644.88757457464828</v>
      </c>
      <c r="U5" s="79"/>
      <c r="V5" s="191">
        <v>1</v>
      </c>
      <c r="W5" s="184">
        <v>2.6</v>
      </c>
      <c r="X5" s="184">
        <v>2</v>
      </c>
      <c r="Y5" s="184">
        <v>2.8</v>
      </c>
      <c r="Z5" s="184">
        <v>2.7</v>
      </c>
      <c r="AA5" s="189">
        <v>4</v>
      </c>
      <c r="AB5" s="189"/>
      <c r="AC5" s="197">
        <f t="shared" si="1"/>
        <v>2.5165043824114308</v>
      </c>
      <c r="AD5" s="217"/>
      <c r="AE5" s="224">
        <v>15</v>
      </c>
      <c r="AF5" s="222">
        <v>42</v>
      </c>
      <c r="AG5" s="222">
        <v>1</v>
      </c>
      <c r="AH5" s="222">
        <v>22</v>
      </c>
      <c r="AI5" s="222">
        <v>9</v>
      </c>
      <c r="AJ5" s="222">
        <v>6</v>
      </c>
      <c r="AK5" s="213"/>
      <c r="AL5" s="223">
        <f t="shared" si="3"/>
        <v>95</v>
      </c>
      <c r="AM5" s="225"/>
      <c r="AN5" s="219">
        <v>37800</v>
      </c>
      <c r="AO5" s="21"/>
      <c r="AP5" s="20">
        <v>37814</v>
      </c>
      <c r="AQ5" s="21"/>
      <c r="AR5" s="20">
        <v>37823</v>
      </c>
      <c r="AS5" s="11"/>
      <c r="AT5" s="14"/>
      <c r="AU5" s="17"/>
    </row>
    <row r="6" spans="1:47" x14ac:dyDescent="0.3">
      <c r="A6" s="81" t="s">
        <v>308</v>
      </c>
      <c r="B6" s="82" t="s">
        <v>309</v>
      </c>
      <c r="C6" s="61">
        <v>2004</v>
      </c>
      <c r="D6" s="63">
        <v>373</v>
      </c>
      <c r="E6" s="69">
        <v>73590</v>
      </c>
      <c r="F6" s="69"/>
      <c r="G6" s="69">
        <v>6431</v>
      </c>
      <c r="H6" s="69">
        <v>1689</v>
      </c>
      <c r="I6" s="69"/>
      <c r="J6" s="69"/>
      <c r="K6" s="171">
        <f t="shared" si="2"/>
        <v>82083</v>
      </c>
      <c r="L6" s="27"/>
      <c r="M6" s="199">
        <v>445</v>
      </c>
      <c r="N6" s="199">
        <v>506</v>
      </c>
      <c r="O6" s="199">
        <v>433</v>
      </c>
      <c r="P6" s="199">
        <v>715</v>
      </c>
      <c r="Q6" s="199">
        <v>611</v>
      </c>
      <c r="R6" s="199">
        <v>640</v>
      </c>
      <c r="S6" s="180"/>
      <c r="T6" s="187">
        <f t="shared" si="0"/>
        <v>524.25799495632475</v>
      </c>
      <c r="U6" s="79"/>
      <c r="V6" s="191">
        <v>1.2</v>
      </c>
      <c r="W6" s="184">
        <v>3</v>
      </c>
      <c r="X6" s="184">
        <v>1.1000000000000001</v>
      </c>
      <c r="Y6" s="184">
        <v>3.1</v>
      </c>
      <c r="Z6" s="184">
        <v>3.9</v>
      </c>
      <c r="AA6" s="189">
        <v>3.4</v>
      </c>
      <c r="AB6" s="189"/>
      <c r="AC6" s="197">
        <f t="shared" si="1"/>
        <v>3.0181742870021808</v>
      </c>
      <c r="AD6" s="217"/>
      <c r="AE6" s="224">
        <v>7</v>
      </c>
      <c r="AF6" s="222">
        <v>50</v>
      </c>
      <c r="AG6" s="222">
        <v>1</v>
      </c>
      <c r="AH6" s="222">
        <v>21</v>
      </c>
      <c r="AI6" s="222">
        <v>5</v>
      </c>
      <c r="AJ6" s="222">
        <v>6</v>
      </c>
      <c r="AK6" s="213"/>
      <c r="AL6" s="223">
        <f t="shared" si="3"/>
        <v>90</v>
      </c>
      <c r="AM6" s="225"/>
      <c r="AN6" s="219">
        <v>38167</v>
      </c>
      <c r="AO6" s="21"/>
      <c r="AP6" s="20">
        <v>38181</v>
      </c>
      <c r="AQ6" s="21"/>
      <c r="AR6" s="20">
        <v>38198</v>
      </c>
      <c r="AS6" s="11"/>
      <c r="AT6" s="14"/>
      <c r="AU6" s="17"/>
    </row>
    <row r="7" spans="1:47" x14ac:dyDescent="0.3">
      <c r="A7" s="81" t="s">
        <v>308</v>
      </c>
      <c r="B7" s="82" t="s">
        <v>309</v>
      </c>
      <c r="C7" s="61">
        <v>2005</v>
      </c>
      <c r="D7" s="63">
        <v>1881</v>
      </c>
      <c r="E7" s="69">
        <v>161589</v>
      </c>
      <c r="F7" s="69"/>
      <c r="G7" s="69">
        <v>7807</v>
      </c>
      <c r="H7" s="69">
        <v>2376</v>
      </c>
      <c r="I7" s="69"/>
      <c r="J7" s="69"/>
      <c r="K7" s="171">
        <f t="shared" si="2"/>
        <v>173653</v>
      </c>
      <c r="L7" s="27"/>
      <c r="M7" s="199">
        <v>352</v>
      </c>
      <c r="N7" s="199">
        <v>608</v>
      </c>
      <c r="O7" s="199">
        <v>416</v>
      </c>
      <c r="P7" s="199">
        <v>615</v>
      </c>
      <c r="Q7" s="199">
        <v>729</v>
      </c>
      <c r="R7" s="199">
        <v>691</v>
      </c>
      <c r="S7" s="180"/>
      <c r="T7" s="187">
        <f t="shared" si="0"/>
        <v>607.19730151509043</v>
      </c>
      <c r="U7" s="79"/>
      <c r="V7" s="191">
        <v>1.4</v>
      </c>
      <c r="W7" s="184">
        <v>2.2999999999999998</v>
      </c>
      <c r="X7" s="184">
        <v>1.8</v>
      </c>
      <c r="Y7" s="184">
        <v>3</v>
      </c>
      <c r="Z7" s="184">
        <v>2.8</v>
      </c>
      <c r="AA7" s="189">
        <v>3.9</v>
      </c>
      <c r="AB7" s="189"/>
      <c r="AC7" s="197">
        <f t="shared" si="1"/>
        <v>2.3285627083897196</v>
      </c>
      <c r="AD7" s="217"/>
      <c r="AE7" s="224">
        <v>13</v>
      </c>
      <c r="AF7" s="222">
        <v>46</v>
      </c>
      <c r="AG7" s="222">
        <v>4</v>
      </c>
      <c r="AH7" s="222">
        <v>25</v>
      </c>
      <c r="AI7" s="222">
        <v>1</v>
      </c>
      <c r="AJ7" s="222">
        <v>3</v>
      </c>
      <c r="AK7" s="213"/>
      <c r="AL7" s="223">
        <f t="shared" si="3"/>
        <v>92</v>
      </c>
      <c r="AM7" s="225"/>
      <c r="AN7" s="219">
        <v>38542</v>
      </c>
      <c r="AO7" s="21"/>
      <c r="AP7" s="20">
        <v>38556</v>
      </c>
      <c r="AQ7" s="21"/>
      <c r="AR7" s="20">
        <v>38564</v>
      </c>
      <c r="AS7" s="11"/>
      <c r="AT7" s="14"/>
      <c r="AU7" s="17"/>
    </row>
    <row r="8" spans="1:47" x14ac:dyDescent="0.3">
      <c r="A8" s="81" t="s">
        <v>308</v>
      </c>
      <c r="B8" s="82" t="s">
        <v>309</v>
      </c>
      <c r="C8" s="61">
        <v>2006</v>
      </c>
      <c r="D8" s="63">
        <v>1322</v>
      </c>
      <c r="E8" s="69">
        <v>67311</v>
      </c>
      <c r="F8" s="69"/>
      <c r="G8" s="69">
        <v>12177</v>
      </c>
      <c r="H8" s="69">
        <v>3011</v>
      </c>
      <c r="I8" s="69"/>
      <c r="J8" s="69"/>
      <c r="K8" s="171">
        <f t="shared" si="2"/>
        <v>83821</v>
      </c>
      <c r="L8" s="27"/>
      <c r="M8" s="199">
        <v>494</v>
      </c>
      <c r="N8" s="199">
        <v>667</v>
      </c>
      <c r="O8" s="199">
        <v>353</v>
      </c>
      <c r="P8" s="199">
        <v>674</v>
      </c>
      <c r="Q8" s="199">
        <v>738</v>
      </c>
      <c r="R8" s="199">
        <v>641</v>
      </c>
      <c r="S8" s="180"/>
      <c r="T8" s="187">
        <f t="shared" si="0"/>
        <v>667.83885899714869</v>
      </c>
      <c r="U8" s="79"/>
      <c r="V8" s="191">
        <v>2</v>
      </c>
      <c r="W8" s="184">
        <v>2.6</v>
      </c>
      <c r="X8" s="184">
        <v>1.9</v>
      </c>
      <c r="Y8" s="184">
        <v>3.5</v>
      </c>
      <c r="Z8" s="184">
        <v>3.6</v>
      </c>
      <c r="AA8" s="189">
        <v>4.4000000000000004</v>
      </c>
      <c r="AB8" s="189"/>
      <c r="AC8" s="197">
        <f t="shared" si="1"/>
        <v>2.7572052349649852</v>
      </c>
      <c r="AD8" s="217"/>
      <c r="AE8" s="224">
        <v>8</v>
      </c>
      <c r="AF8" s="222">
        <v>44</v>
      </c>
      <c r="AG8" s="222">
        <v>4</v>
      </c>
      <c r="AH8" s="222">
        <v>27</v>
      </c>
      <c r="AI8" s="222">
        <v>6</v>
      </c>
      <c r="AJ8" s="222">
        <v>3</v>
      </c>
      <c r="AK8" s="213"/>
      <c r="AL8" s="223">
        <f t="shared" si="3"/>
        <v>92</v>
      </c>
      <c r="AM8" s="225"/>
      <c r="AN8" s="219">
        <v>38894</v>
      </c>
      <c r="AO8" s="21"/>
      <c r="AP8" s="20">
        <v>38904</v>
      </c>
      <c r="AQ8" s="21"/>
      <c r="AR8" s="20">
        <v>38927</v>
      </c>
      <c r="AS8" s="11"/>
      <c r="AT8" s="14"/>
      <c r="AU8" s="17"/>
    </row>
    <row r="9" spans="1:47" x14ac:dyDescent="0.3">
      <c r="A9" s="81" t="s">
        <v>308</v>
      </c>
      <c r="B9" s="82" t="s">
        <v>309</v>
      </c>
      <c r="C9" s="61">
        <v>2007</v>
      </c>
      <c r="D9" s="63">
        <v>1663</v>
      </c>
      <c r="E9" s="69">
        <v>51902</v>
      </c>
      <c r="F9" s="69"/>
      <c r="G9" s="69">
        <v>4067</v>
      </c>
      <c r="H9" s="69">
        <v>1233</v>
      </c>
      <c r="I9" s="69"/>
      <c r="J9" s="69"/>
      <c r="K9" s="171">
        <f t="shared" si="2"/>
        <v>58865</v>
      </c>
      <c r="L9" s="27"/>
      <c r="M9" s="199">
        <v>461</v>
      </c>
      <c r="N9" s="199">
        <v>664</v>
      </c>
      <c r="O9" s="199">
        <v>328</v>
      </c>
      <c r="P9" s="199">
        <v>649</v>
      </c>
      <c r="Q9" s="199">
        <v>727</v>
      </c>
      <c r="R9" s="199">
        <v>645</v>
      </c>
      <c r="S9" s="180">
        <v>650</v>
      </c>
      <c r="T9" s="187">
        <f t="shared" si="0"/>
        <v>658.54828845663803</v>
      </c>
      <c r="U9" s="79"/>
      <c r="V9" s="191">
        <v>1.1000000000000001</v>
      </c>
      <c r="W9" s="184">
        <v>2.6</v>
      </c>
      <c r="X9" s="184">
        <v>1.2</v>
      </c>
      <c r="Y9" s="184">
        <v>3.1</v>
      </c>
      <c r="Z9" s="184">
        <v>3.3</v>
      </c>
      <c r="AA9" s="189">
        <v>4.3</v>
      </c>
      <c r="AB9" s="189">
        <v>4.5</v>
      </c>
      <c r="AC9" s="197">
        <f t="shared" si="1"/>
        <v>2.6068308842266203</v>
      </c>
      <c r="AD9" s="217"/>
      <c r="AE9" s="224">
        <v>10</v>
      </c>
      <c r="AF9" s="222">
        <v>42</v>
      </c>
      <c r="AG9" s="222">
        <v>4</v>
      </c>
      <c r="AH9" s="222">
        <v>29</v>
      </c>
      <c r="AI9" s="222">
        <v>0</v>
      </c>
      <c r="AJ9" s="222">
        <v>1</v>
      </c>
      <c r="AK9" s="222">
        <v>1</v>
      </c>
      <c r="AL9" s="223">
        <f t="shared" si="3"/>
        <v>87</v>
      </c>
      <c r="AM9" s="226" t="s">
        <v>352</v>
      </c>
      <c r="AN9" s="219">
        <v>39259</v>
      </c>
      <c r="AO9" s="21"/>
      <c r="AP9" s="20">
        <v>39269</v>
      </c>
      <c r="AQ9" s="21"/>
      <c r="AR9" s="20">
        <v>39299</v>
      </c>
      <c r="AS9" s="11"/>
      <c r="AT9" s="14"/>
      <c r="AU9" s="17"/>
    </row>
    <row r="10" spans="1:47" x14ac:dyDescent="0.3">
      <c r="A10" s="81" t="s">
        <v>308</v>
      </c>
      <c r="B10" s="82" t="s">
        <v>309</v>
      </c>
      <c r="C10" s="61">
        <v>2008</v>
      </c>
      <c r="D10" s="63">
        <v>1457</v>
      </c>
      <c r="E10" s="69">
        <v>131100</v>
      </c>
      <c r="F10" s="69"/>
      <c r="G10" s="69">
        <v>12087</v>
      </c>
      <c r="H10" s="69">
        <v>2332</v>
      </c>
      <c r="I10" s="69"/>
      <c r="J10" s="69"/>
      <c r="K10" s="171">
        <f t="shared" si="2"/>
        <v>146976</v>
      </c>
      <c r="L10" s="27"/>
      <c r="M10" s="199">
        <v>412</v>
      </c>
      <c r="N10" s="199">
        <v>522</v>
      </c>
      <c r="O10" s="199">
        <v>335</v>
      </c>
      <c r="P10" s="199">
        <v>743</v>
      </c>
      <c r="Q10" s="199">
        <v>725</v>
      </c>
      <c r="R10" s="199">
        <v>660</v>
      </c>
      <c r="S10" s="180"/>
      <c r="T10" s="187">
        <f t="shared" si="0"/>
        <v>542.3050361963858</v>
      </c>
      <c r="U10" s="79"/>
      <c r="V10" s="191">
        <v>1.2</v>
      </c>
      <c r="W10" s="184">
        <v>2.1</v>
      </c>
      <c r="X10" s="184">
        <v>2</v>
      </c>
      <c r="Y10" s="184">
        <v>3.2</v>
      </c>
      <c r="Z10" s="184">
        <v>3.7</v>
      </c>
      <c r="AA10" s="189">
        <v>4.0999999999999996</v>
      </c>
      <c r="AB10" s="189"/>
      <c r="AC10" s="197">
        <f t="shared" si="1"/>
        <v>2.2069263008926634</v>
      </c>
      <c r="AD10" s="217"/>
      <c r="AE10" s="224">
        <v>14</v>
      </c>
      <c r="AF10" s="222">
        <v>45</v>
      </c>
      <c r="AG10" s="222">
        <v>2</v>
      </c>
      <c r="AH10" s="222">
        <v>23</v>
      </c>
      <c r="AI10" s="222">
        <v>8</v>
      </c>
      <c r="AJ10" s="222">
        <v>2</v>
      </c>
      <c r="AK10" s="213"/>
      <c r="AL10" s="223">
        <f t="shared" si="3"/>
        <v>94</v>
      </c>
      <c r="AM10" s="225"/>
      <c r="AN10" s="219">
        <v>39638</v>
      </c>
      <c r="AO10" s="21"/>
      <c r="AP10" s="20">
        <v>39653</v>
      </c>
      <c r="AQ10" s="21"/>
      <c r="AR10" s="20">
        <v>39675</v>
      </c>
      <c r="AS10" s="11"/>
      <c r="AT10" s="14"/>
      <c r="AU10" s="17"/>
    </row>
    <row r="11" spans="1:47" x14ac:dyDescent="0.3">
      <c r="A11" s="81" t="s">
        <v>308</v>
      </c>
      <c r="B11" s="82" t="s">
        <v>309</v>
      </c>
      <c r="C11" s="61">
        <v>2009</v>
      </c>
      <c r="D11" s="63">
        <v>398</v>
      </c>
      <c r="E11" s="69">
        <v>167609</v>
      </c>
      <c r="F11" s="69"/>
      <c r="G11" s="69">
        <v>871</v>
      </c>
      <c r="H11" s="69">
        <v>248</v>
      </c>
      <c r="I11" s="69"/>
      <c r="J11" s="69"/>
      <c r="K11" s="171">
        <f t="shared" si="2"/>
        <v>169126</v>
      </c>
      <c r="L11" s="27"/>
      <c r="M11" s="199">
        <v>475</v>
      </c>
      <c r="N11" s="199">
        <v>508</v>
      </c>
      <c r="O11" s="199">
        <v>304</v>
      </c>
      <c r="P11" s="199">
        <v>681</v>
      </c>
      <c r="Q11" s="199">
        <v>673</v>
      </c>
      <c r="R11" s="199">
        <v>685</v>
      </c>
      <c r="S11" s="180"/>
      <c r="T11" s="187">
        <f t="shared" si="0"/>
        <v>509.05524283670161</v>
      </c>
      <c r="U11" s="79"/>
      <c r="V11" s="191">
        <v>1.5</v>
      </c>
      <c r="W11" s="184">
        <v>2.2999999999999998</v>
      </c>
      <c r="X11" s="184">
        <v>1.1000000000000001</v>
      </c>
      <c r="Y11" s="184">
        <v>3</v>
      </c>
      <c r="Z11" s="184">
        <v>3.5</v>
      </c>
      <c r="AA11" s="189">
        <v>3.8</v>
      </c>
      <c r="AB11" s="189"/>
      <c r="AC11" s="197">
        <f t="shared" si="1"/>
        <v>2.3034820193228716</v>
      </c>
      <c r="AD11" s="217"/>
      <c r="AE11" s="224">
        <v>11</v>
      </c>
      <c r="AF11" s="222">
        <v>44</v>
      </c>
      <c r="AG11" s="222">
        <v>5</v>
      </c>
      <c r="AH11" s="222">
        <v>29</v>
      </c>
      <c r="AI11" s="222">
        <v>0</v>
      </c>
      <c r="AJ11" s="222">
        <v>4</v>
      </c>
      <c r="AK11" s="213"/>
      <c r="AL11" s="223">
        <f t="shared" si="3"/>
        <v>93</v>
      </c>
      <c r="AM11" s="225"/>
      <c r="AN11" s="219">
        <v>39992</v>
      </c>
      <c r="AO11" s="21"/>
      <c r="AP11" s="20">
        <v>40004</v>
      </c>
      <c r="AQ11" s="21"/>
      <c r="AR11" s="20">
        <v>40014</v>
      </c>
      <c r="AS11" s="11"/>
      <c r="AT11" s="14"/>
      <c r="AU11" s="17"/>
    </row>
    <row r="12" spans="1:47" x14ac:dyDescent="0.3">
      <c r="A12" s="81" t="s">
        <v>308</v>
      </c>
      <c r="B12" s="82" t="s">
        <v>309</v>
      </c>
      <c r="C12" s="61">
        <v>2010</v>
      </c>
      <c r="D12" s="63">
        <v>7729</v>
      </c>
      <c r="E12" s="69">
        <v>163745</v>
      </c>
      <c r="F12" s="69"/>
      <c r="G12" s="69">
        <v>11451</v>
      </c>
      <c r="H12" s="69">
        <v>3251</v>
      </c>
      <c r="I12" s="69"/>
      <c r="J12" s="69"/>
      <c r="K12" s="171">
        <f t="shared" si="2"/>
        <v>186176</v>
      </c>
      <c r="L12" s="27"/>
      <c r="M12" s="199">
        <v>379</v>
      </c>
      <c r="N12" s="199">
        <v>510</v>
      </c>
      <c r="O12" s="199">
        <v>393</v>
      </c>
      <c r="P12" s="199">
        <v>744</v>
      </c>
      <c r="Q12" s="199">
        <v>698</v>
      </c>
      <c r="R12" s="199">
        <v>677</v>
      </c>
      <c r="S12" s="180"/>
      <c r="T12" s="187">
        <f t="shared" si="0"/>
        <v>522.23693172052253</v>
      </c>
      <c r="U12" s="79"/>
      <c r="V12" s="191">
        <v>1.9</v>
      </c>
      <c r="W12" s="184">
        <v>2.4</v>
      </c>
      <c r="X12" s="184">
        <v>1.1000000000000001</v>
      </c>
      <c r="Y12" s="184">
        <v>2.8</v>
      </c>
      <c r="Z12" s="184">
        <v>2.7</v>
      </c>
      <c r="AA12" s="189">
        <v>3.7</v>
      </c>
      <c r="AB12" s="189"/>
      <c r="AC12" s="197">
        <f t="shared" si="1"/>
        <v>2.4090838776211756</v>
      </c>
      <c r="AD12" s="217"/>
      <c r="AE12" s="224">
        <v>12</v>
      </c>
      <c r="AF12" s="222">
        <v>44</v>
      </c>
      <c r="AG12" s="222">
        <v>3</v>
      </c>
      <c r="AH12" s="222">
        <v>26</v>
      </c>
      <c r="AI12" s="222">
        <v>4</v>
      </c>
      <c r="AJ12" s="222">
        <v>4</v>
      </c>
      <c r="AK12" s="213"/>
      <c r="AL12" s="223">
        <f t="shared" si="3"/>
        <v>93</v>
      </c>
      <c r="AM12" s="225"/>
      <c r="AN12" s="219">
        <v>40359</v>
      </c>
      <c r="AO12" s="21"/>
      <c r="AP12" s="20">
        <v>40369</v>
      </c>
      <c r="AQ12" s="21"/>
      <c r="AR12" s="20">
        <v>40398</v>
      </c>
      <c r="AS12" s="11"/>
      <c r="AT12" s="14"/>
      <c r="AU12" s="17"/>
    </row>
    <row r="13" spans="1:47" x14ac:dyDescent="0.3">
      <c r="A13" s="81" t="s">
        <v>308</v>
      </c>
      <c r="B13" s="82" t="s">
        <v>309</v>
      </c>
      <c r="C13" s="61">
        <v>2011</v>
      </c>
      <c r="D13" s="63">
        <v>4691</v>
      </c>
      <c r="E13" s="69">
        <v>87395</v>
      </c>
      <c r="F13" s="69"/>
      <c r="G13" s="69">
        <v>9538</v>
      </c>
      <c r="H13" s="69">
        <v>300</v>
      </c>
      <c r="I13" s="69"/>
      <c r="J13" s="69"/>
      <c r="K13" s="171">
        <f t="shared" si="2"/>
        <v>101924</v>
      </c>
      <c r="L13" s="27"/>
      <c r="M13" s="199">
        <v>393</v>
      </c>
      <c r="N13" s="199">
        <v>579</v>
      </c>
      <c r="O13" s="199">
        <v>442</v>
      </c>
      <c r="P13" s="199">
        <v>661</v>
      </c>
      <c r="Q13" s="199">
        <v>623</v>
      </c>
      <c r="R13" s="199">
        <v>724</v>
      </c>
      <c r="S13" s="180"/>
      <c r="T13" s="187">
        <f t="shared" si="0"/>
        <v>578.24247478513405</v>
      </c>
      <c r="U13" s="79"/>
      <c r="V13" s="191">
        <v>1.6</v>
      </c>
      <c r="W13" s="184">
        <v>2.8</v>
      </c>
      <c r="X13" s="184">
        <v>1.1000000000000001</v>
      </c>
      <c r="Y13" s="184">
        <v>3.1</v>
      </c>
      <c r="Z13" s="184">
        <v>2.5</v>
      </c>
      <c r="AA13" s="189">
        <v>3.6</v>
      </c>
      <c r="AB13" s="189"/>
      <c r="AC13" s="197">
        <f t="shared" si="1"/>
        <v>2.7719614614811032</v>
      </c>
      <c r="AD13" s="217"/>
      <c r="AE13" s="224">
        <v>5</v>
      </c>
      <c r="AF13" s="222">
        <v>46</v>
      </c>
      <c r="AG13" s="222">
        <v>1</v>
      </c>
      <c r="AH13" s="222">
        <v>23</v>
      </c>
      <c r="AI13" s="222">
        <v>9</v>
      </c>
      <c r="AJ13" s="222">
        <v>6</v>
      </c>
      <c r="AK13" s="213"/>
      <c r="AL13" s="223">
        <f t="shared" si="3"/>
        <v>90</v>
      </c>
      <c r="AM13" s="225"/>
      <c r="AN13" s="219">
        <v>40730</v>
      </c>
      <c r="AO13" s="21"/>
      <c r="AP13" s="20">
        <v>40743</v>
      </c>
      <c r="AQ13" s="21"/>
      <c r="AR13" s="20">
        <v>40760</v>
      </c>
      <c r="AS13" s="11"/>
      <c r="AT13" s="14"/>
      <c r="AU13" s="17"/>
    </row>
    <row r="14" spans="1:47" x14ac:dyDescent="0.3">
      <c r="A14" s="81" t="s">
        <v>308</v>
      </c>
      <c r="B14" s="82" t="s">
        <v>309</v>
      </c>
      <c r="C14" s="61">
        <v>2012</v>
      </c>
      <c r="D14" s="63">
        <v>630</v>
      </c>
      <c r="E14" s="69">
        <v>94561</v>
      </c>
      <c r="F14" s="69"/>
      <c r="G14" s="69">
        <v>827</v>
      </c>
      <c r="H14" s="69">
        <v>23</v>
      </c>
      <c r="I14" s="69"/>
      <c r="J14" s="69"/>
      <c r="K14" s="171">
        <f t="shared" si="2"/>
        <v>96041</v>
      </c>
      <c r="L14" s="27"/>
      <c r="M14" s="199">
        <v>481</v>
      </c>
      <c r="N14" s="199">
        <v>553</v>
      </c>
      <c r="O14" s="199">
        <v>376</v>
      </c>
      <c r="P14" s="199">
        <v>708</v>
      </c>
      <c r="Q14" s="199">
        <v>670</v>
      </c>
      <c r="R14" s="199">
        <v>646</v>
      </c>
      <c r="S14" s="180"/>
      <c r="T14" s="187">
        <f t="shared" si="0"/>
        <v>553.89041138680352</v>
      </c>
      <c r="U14" s="79"/>
      <c r="V14" s="191">
        <v>1.9</v>
      </c>
      <c r="W14" s="184">
        <v>2.1</v>
      </c>
      <c r="X14" s="184">
        <v>1.6</v>
      </c>
      <c r="Y14" s="184">
        <v>3.2</v>
      </c>
      <c r="Z14" s="184">
        <v>3.9</v>
      </c>
      <c r="AA14" s="189">
        <v>2.6</v>
      </c>
      <c r="AB14" s="189"/>
      <c r="AC14" s="197">
        <f t="shared" si="1"/>
        <v>2.1085911225414149</v>
      </c>
      <c r="AD14" s="217"/>
      <c r="AE14" s="224">
        <v>10</v>
      </c>
      <c r="AF14" s="222">
        <v>49</v>
      </c>
      <c r="AG14" s="222">
        <v>0</v>
      </c>
      <c r="AH14" s="222">
        <v>21</v>
      </c>
      <c r="AI14" s="222">
        <v>9</v>
      </c>
      <c r="AJ14" s="222">
        <v>1</v>
      </c>
      <c r="AK14" s="213"/>
      <c r="AL14" s="223">
        <f t="shared" si="3"/>
        <v>90</v>
      </c>
      <c r="AM14" s="225"/>
      <c r="AN14" s="219">
        <v>41088</v>
      </c>
      <c r="AO14" s="21"/>
      <c r="AP14" s="20">
        <v>41101</v>
      </c>
      <c r="AQ14" s="21"/>
      <c r="AR14" s="20">
        <v>41120</v>
      </c>
      <c r="AS14" s="11"/>
      <c r="AT14" s="14"/>
      <c r="AU14" s="17"/>
    </row>
    <row r="15" spans="1:47" x14ac:dyDescent="0.3">
      <c r="A15" s="81" t="s">
        <v>308</v>
      </c>
      <c r="B15" s="82" t="s">
        <v>309</v>
      </c>
      <c r="C15" s="61">
        <v>2013</v>
      </c>
      <c r="D15" s="63">
        <v>4729</v>
      </c>
      <c r="E15" s="69">
        <v>138395</v>
      </c>
      <c r="F15" s="69"/>
      <c r="G15" s="69">
        <v>15423</v>
      </c>
      <c r="H15" s="69">
        <v>495</v>
      </c>
      <c r="I15" s="69"/>
      <c r="J15" s="69"/>
      <c r="K15" s="171">
        <f t="shared" si="2"/>
        <v>159042</v>
      </c>
      <c r="L15" s="27"/>
      <c r="M15" s="199">
        <v>429</v>
      </c>
      <c r="N15" s="199">
        <v>576</v>
      </c>
      <c r="O15" s="199">
        <v>463</v>
      </c>
      <c r="P15" s="199">
        <v>739</v>
      </c>
      <c r="Q15" s="199">
        <v>646</v>
      </c>
      <c r="R15" s="199">
        <v>667</v>
      </c>
      <c r="S15" s="180"/>
      <c r="T15" s="187">
        <f t="shared" si="0"/>
        <v>587.65375183913682</v>
      </c>
      <c r="U15" s="79"/>
      <c r="V15" s="191">
        <v>1.1000000000000001</v>
      </c>
      <c r="W15" s="184">
        <v>2.5</v>
      </c>
      <c r="X15" s="184">
        <v>1.8</v>
      </c>
      <c r="Y15" s="184">
        <v>2.5</v>
      </c>
      <c r="Z15" s="184">
        <v>2.6</v>
      </c>
      <c r="AA15" s="189">
        <v>3.4</v>
      </c>
      <c r="AB15" s="189"/>
      <c r="AC15" s="197">
        <f t="shared" si="1"/>
        <v>2.4586832409049184</v>
      </c>
      <c r="AD15" s="217"/>
      <c r="AE15" s="224">
        <v>12</v>
      </c>
      <c r="AF15" s="222">
        <v>50</v>
      </c>
      <c r="AG15" s="222">
        <v>4</v>
      </c>
      <c r="AH15" s="222">
        <v>27</v>
      </c>
      <c r="AI15" s="222">
        <v>6</v>
      </c>
      <c r="AJ15" s="222">
        <v>5</v>
      </c>
      <c r="AK15" s="213"/>
      <c r="AL15" s="223">
        <f t="shared" si="3"/>
        <v>104</v>
      </c>
      <c r="AM15" s="225"/>
      <c r="AN15" s="219">
        <v>41454</v>
      </c>
      <c r="AO15" s="21"/>
      <c r="AP15" s="20">
        <v>41466</v>
      </c>
      <c r="AQ15" s="21"/>
      <c r="AR15" s="20">
        <v>41489</v>
      </c>
      <c r="AS15" s="11"/>
      <c r="AT15" s="14"/>
      <c r="AU15" s="17"/>
    </row>
    <row r="16" spans="1:47" x14ac:dyDescent="0.3">
      <c r="A16" s="81" t="s">
        <v>308</v>
      </c>
      <c r="B16" s="82" t="s">
        <v>309</v>
      </c>
      <c r="C16" s="61">
        <v>2014</v>
      </c>
      <c r="D16" s="63">
        <v>3231</v>
      </c>
      <c r="E16" s="69">
        <v>183342</v>
      </c>
      <c r="F16" s="69"/>
      <c r="G16" s="69">
        <v>9280</v>
      </c>
      <c r="H16" s="69">
        <v>284</v>
      </c>
      <c r="I16" s="69"/>
      <c r="J16" s="69"/>
      <c r="K16" s="171">
        <f t="shared" si="2"/>
        <v>196137</v>
      </c>
      <c r="L16" s="27"/>
      <c r="M16" s="200">
        <v>353</v>
      </c>
      <c r="N16" s="200">
        <v>611</v>
      </c>
      <c r="O16" s="200">
        <v>496</v>
      </c>
      <c r="P16" s="200">
        <v>667</v>
      </c>
      <c r="Q16" s="200">
        <v>634</v>
      </c>
      <c r="R16" s="200">
        <v>716</v>
      </c>
      <c r="S16" s="180"/>
      <c r="T16" s="187">
        <f t="shared" si="0"/>
        <v>609.43279952278249</v>
      </c>
      <c r="U16" s="203" t="s">
        <v>353</v>
      </c>
      <c r="V16" s="191">
        <v>1.5</v>
      </c>
      <c r="W16" s="184">
        <v>2.2000000000000002</v>
      </c>
      <c r="X16" s="184">
        <v>1.9</v>
      </c>
      <c r="Y16" s="184">
        <v>2.2000000000000002</v>
      </c>
      <c r="Z16" s="184">
        <v>3.1</v>
      </c>
      <c r="AA16" s="189">
        <v>3.8</v>
      </c>
      <c r="AB16" s="189"/>
      <c r="AC16" s="197">
        <f t="shared" si="1"/>
        <v>2.1897719451199928</v>
      </c>
      <c r="AD16" s="217"/>
      <c r="AE16" s="224">
        <v>6</v>
      </c>
      <c r="AF16" s="222">
        <v>46</v>
      </c>
      <c r="AG16" s="222">
        <v>0</v>
      </c>
      <c r="AH16" s="222">
        <v>20</v>
      </c>
      <c r="AI16" s="222">
        <v>8</v>
      </c>
      <c r="AJ16" s="222">
        <v>2</v>
      </c>
      <c r="AK16" s="213"/>
      <c r="AL16" s="223">
        <f t="shared" si="3"/>
        <v>82</v>
      </c>
      <c r="AM16" s="225"/>
      <c r="AN16" s="219">
        <v>41826</v>
      </c>
      <c r="AO16" s="21">
        <f>INT(AVERAGE(AN16,AP16))</f>
        <v>41833</v>
      </c>
      <c r="AP16" s="20">
        <v>41840</v>
      </c>
      <c r="AQ16" s="21">
        <f>INT(AVERAGE(AP16,AR16))</f>
        <v>41848</v>
      </c>
      <c r="AR16" s="20">
        <v>41857</v>
      </c>
      <c r="AS16" s="11"/>
      <c r="AT16" s="14"/>
      <c r="AU16" s="17"/>
    </row>
    <row r="17" spans="1:47" x14ac:dyDescent="0.3">
      <c r="A17" s="81" t="s">
        <v>308</v>
      </c>
      <c r="B17" s="82" t="s">
        <v>309</v>
      </c>
      <c r="C17" s="61">
        <v>2015</v>
      </c>
      <c r="D17" s="63">
        <v>1437</v>
      </c>
      <c r="E17" s="69">
        <v>111992</v>
      </c>
      <c r="F17" s="69"/>
      <c r="G17" s="69">
        <v>17412</v>
      </c>
      <c r="H17" s="69">
        <v>3133</v>
      </c>
      <c r="I17" s="69"/>
      <c r="J17" s="69"/>
      <c r="K17" s="171">
        <f t="shared" si="2"/>
        <v>133974</v>
      </c>
      <c r="L17" s="27"/>
      <c r="M17" s="199">
        <v>439</v>
      </c>
      <c r="N17" s="199">
        <v>567</v>
      </c>
      <c r="O17" s="199">
        <v>375</v>
      </c>
      <c r="P17" s="199">
        <v>638</v>
      </c>
      <c r="Q17" s="199">
        <v>672</v>
      </c>
      <c r="R17" s="199">
        <v>616</v>
      </c>
      <c r="S17" s="180"/>
      <c r="T17" s="187">
        <f t="shared" si="0"/>
        <v>577.31006762506161</v>
      </c>
      <c r="U17" s="79"/>
      <c r="V17" s="191">
        <v>1.3</v>
      </c>
      <c r="W17" s="184">
        <v>2.6</v>
      </c>
      <c r="X17" s="184">
        <v>1.5</v>
      </c>
      <c r="Y17" s="184">
        <v>3.5</v>
      </c>
      <c r="Z17" s="184">
        <v>2.6</v>
      </c>
      <c r="AA17" s="189">
        <v>3.9</v>
      </c>
      <c r="AB17" s="189"/>
      <c r="AC17" s="197">
        <f t="shared" si="1"/>
        <v>2.7030252138474626</v>
      </c>
      <c r="AD17" s="217"/>
      <c r="AE17" s="224">
        <v>9</v>
      </c>
      <c r="AF17" s="222">
        <v>48</v>
      </c>
      <c r="AG17" s="222">
        <v>2</v>
      </c>
      <c r="AH17" s="222">
        <v>20</v>
      </c>
      <c r="AI17" s="222">
        <v>6</v>
      </c>
      <c r="AJ17" s="222">
        <v>6</v>
      </c>
      <c r="AK17" s="213"/>
      <c r="AL17" s="223">
        <f t="shared" si="3"/>
        <v>91</v>
      </c>
      <c r="AM17" s="225"/>
      <c r="AN17" s="219">
        <v>42184</v>
      </c>
      <c r="AO17" s="21">
        <f t="shared" ref="AO17:AQ20" si="4">INT(AVERAGE(AN17,AP17))</f>
        <v>42189</v>
      </c>
      <c r="AP17" s="20">
        <v>42194</v>
      </c>
      <c r="AQ17" s="21">
        <f t="shared" si="4"/>
        <v>42208</v>
      </c>
      <c r="AR17" s="20">
        <v>42222</v>
      </c>
      <c r="AS17" s="11"/>
      <c r="AT17" s="14"/>
      <c r="AU17" s="17"/>
    </row>
    <row r="18" spans="1:47" x14ac:dyDescent="0.3">
      <c r="A18" s="81" t="s">
        <v>308</v>
      </c>
      <c r="B18" s="82" t="s">
        <v>309</v>
      </c>
      <c r="C18" s="61">
        <v>2016</v>
      </c>
      <c r="D18" s="63">
        <v>934</v>
      </c>
      <c r="E18" s="69">
        <v>107364</v>
      </c>
      <c r="F18" s="69"/>
      <c r="G18" s="69">
        <v>9136</v>
      </c>
      <c r="H18" s="69">
        <v>2178</v>
      </c>
      <c r="I18" s="69"/>
      <c r="J18" s="69"/>
      <c r="K18" s="171">
        <f t="shared" si="2"/>
        <v>119612</v>
      </c>
      <c r="L18" s="27"/>
      <c r="M18" s="199">
        <v>435</v>
      </c>
      <c r="N18" s="199">
        <v>664</v>
      </c>
      <c r="O18" s="199">
        <v>498</v>
      </c>
      <c r="P18" s="199">
        <v>643</v>
      </c>
      <c r="Q18" s="199">
        <v>678</v>
      </c>
      <c r="R18" s="199">
        <v>746</v>
      </c>
      <c r="S18" s="180"/>
      <c r="T18" s="187">
        <f t="shared" si="0"/>
        <v>660.86277296592311</v>
      </c>
      <c r="U18" s="79"/>
      <c r="V18" s="191">
        <v>1.2</v>
      </c>
      <c r="W18" s="184">
        <v>2.2999999999999998</v>
      </c>
      <c r="X18" s="184">
        <v>1.6</v>
      </c>
      <c r="Y18" s="184">
        <v>2.8</v>
      </c>
      <c r="Z18" s="184">
        <v>3.7</v>
      </c>
      <c r="AA18" s="189">
        <v>3.5</v>
      </c>
      <c r="AB18" s="189"/>
      <c r="AC18" s="197">
        <f t="shared" si="1"/>
        <v>2.3550931344681132</v>
      </c>
      <c r="AD18" s="217"/>
      <c r="AE18" s="224">
        <v>7</v>
      </c>
      <c r="AF18" s="222">
        <v>41</v>
      </c>
      <c r="AG18" s="222">
        <v>4</v>
      </c>
      <c r="AH18" s="222">
        <v>25</v>
      </c>
      <c r="AI18" s="222">
        <v>1</v>
      </c>
      <c r="AJ18" s="222">
        <v>6</v>
      </c>
      <c r="AK18" s="213"/>
      <c r="AL18" s="223">
        <f t="shared" si="3"/>
        <v>84</v>
      </c>
      <c r="AM18" s="225"/>
      <c r="AN18" s="219">
        <v>42543</v>
      </c>
      <c r="AO18" s="21">
        <f t="shared" si="4"/>
        <v>42548</v>
      </c>
      <c r="AP18" s="20">
        <v>42554</v>
      </c>
      <c r="AQ18" s="21">
        <f t="shared" si="4"/>
        <v>42564</v>
      </c>
      <c r="AR18" s="20">
        <v>42575</v>
      </c>
      <c r="AS18" s="11"/>
      <c r="AT18" s="14"/>
      <c r="AU18" s="17"/>
    </row>
    <row r="19" spans="1:47" x14ac:dyDescent="0.3">
      <c r="A19" s="81" t="s">
        <v>308</v>
      </c>
      <c r="B19" s="82" t="s">
        <v>309</v>
      </c>
      <c r="C19" s="61">
        <v>2017</v>
      </c>
      <c r="D19" s="63">
        <v>2886</v>
      </c>
      <c r="E19" s="69">
        <v>81601</v>
      </c>
      <c r="F19" s="69"/>
      <c r="G19" s="69">
        <v>6360</v>
      </c>
      <c r="H19" s="69">
        <v>1720</v>
      </c>
      <c r="I19" s="69"/>
      <c r="J19" s="69"/>
      <c r="K19" s="171">
        <f t="shared" si="2"/>
        <v>92567</v>
      </c>
      <c r="L19" s="27"/>
      <c r="M19" s="199">
        <v>398</v>
      </c>
      <c r="N19" s="199">
        <v>626</v>
      </c>
      <c r="O19" s="199">
        <v>411</v>
      </c>
      <c r="P19" s="199">
        <v>628</v>
      </c>
      <c r="Q19" s="199">
        <v>653</v>
      </c>
      <c r="R19" s="199">
        <v>689</v>
      </c>
      <c r="S19" s="180"/>
      <c r="T19" s="187">
        <f t="shared" si="0"/>
        <v>619.53065347261986</v>
      </c>
      <c r="U19" s="79"/>
      <c r="V19" s="191">
        <v>1.3</v>
      </c>
      <c r="W19" s="184">
        <v>2.4</v>
      </c>
      <c r="X19" s="184">
        <v>1.9</v>
      </c>
      <c r="Y19" s="184">
        <v>2.9</v>
      </c>
      <c r="Z19" s="184">
        <v>3.9</v>
      </c>
      <c r="AA19" s="189">
        <v>4.3</v>
      </c>
      <c r="AB19" s="189"/>
      <c r="AC19" s="197">
        <f t="shared" si="1"/>
        <v>2.4279300398630181</v>
      </c>
      <c r="AD19" s="217"/>
      <c r="AE19" s="224">
        <v>9</v>
      </c>
      <c r="AF19" s="222">
        <v>43</v>
      </c>
      <c r="AG19" s="222">
        <v>4</v>
      </c>
      <c r="AH19" s="222">
        <v>22</v>
      </c>
      <c r="AI19" s="222">
        <v>1</v>
      </c>
      <c r="AJ19" s="222">
        <v>1</v>
      </c>
      <c r="AK19" s="213"/>
      <c r="AL19" s="223">
        <f t="shared" si="3"/>
        <v>80</v>
      </c>
      <c r="AM19" s="225"/>
      <c r="AN19" s="219">
        <v>42922</v>
      </c>
      <c r="AO19" s="21">
        <f t="shared" si="4"/>
        <v>42928</v>
      </c>
      <c r="AP19" s="20">
        <v>42935</v>
      </c>
      <c r="AQ19" s="21">
        <f t="shared" si="4"/>
        <v>42942</v>
      </c>
      <c r="AR19" s="20">
        <v>42949</v>
      </c>
      <c r="AS19" s="11"/>
      <c r="AT19" s="14"/>
      <c r="AU19" s="17"/>
    </row>
    <row r="20" spans="1:47" x14ac:dyDescent="0.3">
      <c r="A20" s="81" t="s">
        <v>308</v>
      </c>
      <c r="B20" s="82" t="s">
        <v>309</v>
      </c>
      <c r="C20" s="61">
        <v>2018</v>
      </c>
      <c r="D20" s="63">
        <v>7640</v>
      </c>
      <c r="E20" s="69">
        <v>105745</v>
      </c>
      <c r="F20" s="69"/>
      <c r="G20" s="69">
        <v>11806</v>
      </c>
      <c r="H20" s="69">
        <v>3858</v>
      </c>
      <c r="I20" s="69"/>
      <c r="J20" s="69"/>
      <c r="K20" s="171">
        <f t="shared" si="2"/>
        <v>129049</v>
      </c>
      <c r="L20" s="27"/>
      <c r="M20" s="199">
        <v>327</v>
      </c>
      <c r="N20" s="199">
        <v>574</v>
      </c>
      <c r="O20" s="199">
        <v>386</v>
      </c>
      <c r="P20" s="199">
        <v>621</v>
      </c>
      <c r="Q20" s="199">
        <v>619</v>
      </c>
      <c r="R20" s="199">
        <v>685</v>
      </c>
      <c r="S20" s="180"/>
      <c r="T20" s="187">
        <f t="shared" si="0"/>
        <v>565.02210788150239</v>
      </c>
      <c r="U20" s="79"/>
      <c r="V20" s="191">
        <v>1.3</v>
      </c>
      <c r="W20" s="184">
        <v>2.7</v>
      </c>
      <c r="X20" s="184">
        <v>2</v>
      </c>
      <c r="Y20" s="184">
        <v>2.9</v>
      </c>
      <c r="Z20" s="184">
        <v>2.9</v>
      </c>
      <c r="AA20" s="189">
        <v>2.9</v>
      </c>
      <c r="AB20" s="189"/>
      <c r="AC20" s="197">
        <f t="shared" si="1"/>
        <v>2.6413928042836443</v>
      </c>
      <c r="AD20" s="217"/>
      <c r="AE20" s="224">
        <v>13</v>
      </c>
      <c r="AF20" s="222">
        <v>42</v>
      </c>
      <c r="AG20" s="222">
        <v>3</v>
      </c>
      <c r="AH20" s="222">
        <v>29</v>
      </c>
      <c r="AI20" s="222">
        <v>0</v>
      </c>
      <c r="AJ20" s="222">
        <v>5</v>
      </c>
      <c r="AK20" s="213"/>
      <c r="AL20" s="223">
        <f t="shared" si="3"/>
        <v>92</v>
      </c>
      <c r="AM20" s="225"/>
      <c r="AN20" s="219">
        <v>43276</v>
      </c>
      <c r="AO20" s="21">
        <f t="shared" si="4"/>
        <v>43283</v>
      </c>
      <c r="AP20" s="20">
        <v>43291</v>
      </c>
      <c r="AQ20" s="21">
        <f t="shared" si="4"/>
        <v>43296</v>
      </c>
      <c r="AR20" s="20">
        <v>43302</v>
      </c>
      <c r="AS20" s="11"/>
      <c r="AT20" s="14"/>
      <c r="AU20" s="17"/>
    </row>
    <row r="21" spans="1:47" x14ac:dyDescent="0.3">
      <c r="A21" s="81" t="s">
        <v>308</v>
      </c>
      <c r="B21" s="82" t="s">
        <v>309</v>
      </c>
      <c r="C21" s="61">
        <v>2019</v>
      </c>
      <c r="D21" s="64"/>
      <c r="E21" s="65">
        <v>200000</v>
      </c>
      <c r="F21" s="201" t="s">
        <v>245</v>
      </c>
      <c r="G21" s="65">
        <v>200000</v>
      </c>
      <c r="H21" s="65"/>
      <c r="I21" s="65"/>
      <c r="J21" s="65"/>
      <c r="K21" s="172">
        <f t="shared" ref="K21:K27" si="5">IF(OR(ISNUMBER(D21),ISNUMBER(E21),ISNUMBER(F21),ISNUMBER(G21),ISNUMBER(H21),ISNUMBER(I21),ISNUMBER(J21)),SUM(D21:J21),"")</f>
        <v>400000</v>
      </c>
      <c r="L21" s="27"/>
      <c r="M21" s="199"/>
      <c r="N21" s="199">
        <v>500</v>
      </c>
      <c r="O21" s="199"/>
      <c r="P21" s="199">
        <v>600</v>
      </c>
      <c r="Q21" s="199"/>
      <c r="R21" s="199"/>
      <c r="S21" s="180"/>
      <c r="T21" s="187">
        <f t="shared" ref="T21:T26" si="6">IF(ISNUMBER($K21),(IF(ISNUMBER(M21),M21*$D21)+IF(ISNUMBER(N21),N21*$E21)+IF(ISNUMBER(O21),O21*$F21)+IF(ISNUMBER(P21),P21*$G21)+IF(ISNUMBER(Q21),Q21*$H21)+IF(ISNUMBER(R21),R21*$I21)+IF(ISNUMBER(S21),S21*$J21))/$K21,"")</f>
        <v>550</v>
      </c>
      <c r="U21" s="79"/>
      <c r="V21" s="191"/>
      <c r="W21" s="184">
        <v>2</v>
      </c>
      <c r="X21" s="184"/>
      <c r="Y21" s="184">
        <v>3</v>
      </c>
      <c r="Z21" s="184"/>
      <c r="AA21" s="189"/>
      <c r="AB21" s="189"/>
      <c r="AC21" s="197">
        <f>IF(ISNUMBER($K21),(IF(ISNUMBER(V21),V21*$D21)+IF(ISNUMBER(W21),W21*$E21)+IF(ISNUMBER(X21),X21*$F21)+IF(ISNUMBER(Y21),Y21*$G21)+IF(ISNUMBER(Z21),Z21*$H21)+IF(ISNUMBER(AA21),AA21*$I21)+IF(ISNUMBER(AB21),AB21*$J21))/$K21,"")</f>
        <v>2.5</v>
      </c>
      <c r="AD21" s="217"/>
      <c r="AE21" s="224">
        <v>0</v>
      </c>
      <c r="AF21" s="222">
        <v>40</v>
      </c>
      <c r="AG21" s="222">
        <v>0</v>
      </c>
      <c r="AH21" s="222">
        <v>40</v>
      </c>
      <c r="AI21" s="222"/>
      <c r="AJ21" s="222"/>
      <c r="AK21" s="213"/>
      <c r="AL21" s="223">
        <f t="shared" si="3"/>
        <v>80</v>
      </c>
      <c r="AM21" s="225"/>
      <c r="AN21" s="219">
        <v>39638</v>
      </c>
      <c r="AO21" s="21">
        <f>INT(AVERAGE(AN21,AP21))</f>
        <v>39645</v>
      </c>
      <c r="AP21" s="20">
        <v>39653</v>
      </c>
      <c r="AQ21" s="21">
        <f>INT(AVERAGE(AP21,AR21))</f>
        <v>39664</v>
      </c>
      <c r="AR21" s="20">
        <v>39675</v>
      </c>
      <c r="AS21" s="11"/>
      <c r="AT21" s="14"/>
      <c r="AU21" s="17"/>
    </row>
    <row r="22" spans="1:47" x14ac:dyDescent="0.3">
      <c r="A22" s="81" t="s">
        <v>308</v>
      </c>
      <c r="B22" s="82" t="s">
        <v>309</v>
      </c>
      <c r="C22" s="61">
        <v>2020</v>
      </c>
      <c r="D22" s="64">
        <v>5000</v>
      </c>
      <c r="E22" s="65">
        <v>100000</v>
      </c>
      <c r="F22" s="65">
        <v>20000</v>
      </c>
      <c r="G22" s="65">
        <v>10000</v>
      </c>
      <c r="H22" s="65">
        <v>10000</v>
      </c>
      <c r="I22" s="65">
        <v>5000</v>
      </c>
      <c r="J22" s="65"/>
      <c r="K22" s="172">
        <f t="shared" si="5"/>
        <v>150000</v>
      </c>
      <c r="L22" s="27"/>
      <c r="M22" s="199">
        <v>494</v>
      </c>
      <c r="N22" s="199">
        <v>667</v>
      </c>
      <c r="O22" s="199">
        <v>353</v>
      </c>
      <c r="P22" s="199">
        <v>674</v>
      </c>
      <c r="Q22" s="199">
        <v>738</v>
      </c>
      <c r="R22" s="199">
        <v>641</v>
      </c>
      <c r="S22" s="180"/>
      <c r="T22" s="187">
        <f t="shared" si="6"/>
        <v>623.70000000000005</v>
      </c>
      <c r="U22" s="79"/>
      <c r="V22" s="191">
        <v>2</v>
      </c>
      <c r="W22" s="184">
        <v>2.6</v>
      </c>
      <c r="X22" s="184">
        <v>1.9</v>
      </c>
      <c r="Y22" s="184">
        <v>3.5</v>
      </c>
      <c r="Z22" s="184">
        <v>3.6</v>
      </c>
      <c r="AA22" s="189">
        <v>4.4000000000000004</v>
      </c>
      <c r="AB22" s="189"/>
      <c r="AC22" s="197">
        <f>IF(ISNUMBER($K22),(IF(ISNUMBER(V22),V22*$D22)+IF(ISNUMBER(W22),W22*$E22)+IF(ISNUMBER(X22),X22*$F22)+IF(ISNUMBER(Y22),Y22*$G22)+IF(ISNUMBER(Z22),Z22*$H22)+IF(ISNUMBER(AA22),AA22*$I22)+IF(ISNUMBER(AB22),AB22*$J22))/$K22,"")</f>
        <v>2.6733333333333333</v>
      </c>
      <c r="AD22" s="217"/>
      <c r="AE22" s="224">
        <v>5</v>
      </c>
      <c r="AF22" s="222">
        <v>47</v>
      </c>
      <c r="AG22" s="222">
        <v>0</v>
      </c>
      <c r="AH22" s="222">
        <v>21</v>
      </c>
      <c r="AI22" s="222">
        <v>4</v>
      </c>
      <c r="AJ22" s="222">
        <v>2</v>
      </c>
      <c r="AK22" s="213"/>
      <c r="AL22" s="223">
        <f t="shared" si="3"/>
        <v>79</v>
      </c>
      <c r="AM22" s="225"/>
      <c r="AN22" s="219">
        <v>39992</v>
      </c>
      <c r="AO22" s="21">
        <f>INT(AVERAGE(AN22,AP22))</f>
        <v>39998</v>
      </c>
      <c r="AP22" s="20">
        <v>40004</v>
      </c>
      <c r="AQ22" s="21">
        <f>INT(AVERAGE(AP22,AR22))</f>
        <v>40009</v>
      </c>
      <c r="AR22" s="20">
        <v>40014</v>
      </c>
      <c r="AS22" s="11"/>
      <c r="AT22" s="14"/>
      <c r="AU22" s="17"/>
    </row>
    <row r="23" spans="1:47" x14ac:dyDescent="0.3">
      <c r="A23" s="56"/>
      <c r="B23" s="57"/>
      <c r="C23" s="61">
        <v>2021</v>
      </c>
      <c r="D23" s="64"/>
      <c r="E23" s="65"/>
      <c r="F23" s="65"/>
      <c r="G23" s="65"/>
      <c r="H23" s="65"/>
      <c r="I23" s="65"/>
      <c r="J23" s="65"/>
      <c r="K23" s="172" t="str">
        <f t="shared" si="5"/>
        <v/>
      </c>
      <c r="L23" s="27"/>
      <c r="M23" s="179"/>
      <c r="N23" s="178"/>
      <c r="O23" s="178"/>
      <c r="P23" s="178"/>
      <c r="Q23" s="178"/>
      <c r="R23" s="178"/>
      <c r="S23" s="180"/>
      <c r="T23" s="187" t="str">
        <f t="shared" si="6"/>
        <v/>
      </c>
      <c r="U23" s="79"/>
      <c r="V23" s="192"/>
      <c r="W23" s="185"/>
      <c r="X23" s="185"/>
      <c r="Y23" s="185"/>
      <c r="Z23" s="185"/>
      <c r="AA23" s="189"/>
      <c r="AB23" s="189"/>
      <c r="AC23" s="197" t="str">
        <f>IF(ISNUMBER($K23),(IF(ISNUMBER(V23),V23*$D23)+IF(ISNUMBER(W23),W23*$E23)+IF(ISNUMBER(X23),X23*$F23)+IF(ISNUMBER(Y23),Y23*$G23)+IF(ISNUMBER(Z23),Z23*$H23)+IF(ISNUMBER(AA23),AA23*$I23)+IF(ISNUMBER(AB23),AB23*$J23))/$K23,"")</f>
        <v/>
      </c>
      <c r="AD23" s="217"/>
      <c r="AE23" s="227"/>
      <c r="AF23" s="213"/>
      <c r="AG23" s="213"/>
      <c r="AH23" s="213"/>
      <c r="AI23" s="213"/>
      <c r="AJ23" s="213"/>
      <c r="AK23" s="213"/>
      <c r="AL23" s="223" t="str">
        <f t="shared" si="3"/>
        <v/>
      </c>
      <c r="AM23" s="225"/>
      <c r="AN23" s="220"/>
      <c r="AO23" s="21"/>
      <c r="AP23" s="21"/>
      <c r="AQ23" s="21"/>
      <c r="AR23" s="22"/>
      <c r="AS23" s="11"/>
      <c r="AT23" s="14"/>
      <c r="AU23" s="17"/>
    </row>
    <row r="24" spans="1:47" x14ac:dyDescent="0.3">
      <c r="A24" s="56"/>
      <c r="B24" s="57"/>
      <c r="C24" s="61">
        <v>2022</v>
      </c>
      <c r="D24" s="64"/>
      <c r="E24" s="65"/>
      <c r="F24" s="65"/>
      <c r="G24" s="65"/>
      <c r="H24" s="65"/>
      <c r="I24" s="65"/>
      <c r="J24" s="65"/>
      <c r="K24" s="172" t="str">
        <f t="shared" si="5"/>
        <v/>
      </c>
      <c r="L24" s="27"/>
      <c r="M24" s="179"/>
      <c r="N24" s="178"/>
      <c r="O24" s="178"/>
      <c r="P24" s="178"/>
      <c r="Q24" s="178"/>
      <c r="R24" s="178"/>
      <c r="S24" s="180"/>
      <c r="T24" s="187" t="str">
        <f t="shared" si="6"/>
        <v/>
      </c>
      <c r="U24" s="79"/>
      <c r="V24" s="192"/>
      <c r="W24" s="185"/>
      <c r="X24" s="185"/>
      <c r="Y24" s="185"/>
      <c r="Z24" s="185"/>
      <c r="AA24" s="189"/>
      <c r="AB24" s="189"/>
      <c r="AC24" s="197" t="str">
        <f>IF(ISNUMBER($K24),(IF(ISNUMBER(V24),V24*$D24)+IF(ISNUMBER(W24),W24*$E24)+IF(ISNUMBER(X24),X24*$F24)+IF(ISNUMBER(Y24),Y24*$G24)+IF(ISNUMBER(Z24),Z24*$H24)+IF(ISNUMBER(AA24),AA24*$I24)+IF(ISNUMBER(AB24),AB24*$J24))/$K24,"")</f>
        <v/>
      </c>
      <c r="AD24" s="217"/>
      <c r="AE24" s="227"/>
      <c r="AF24" s="213"/>
      <c r="AG24" s="213"/>
      <c r="AH24" s="213"/>
      <c r="AI24" s="213"/>
      <c r="AJ24" s="213"/>
      <c r="AK24" s="213"/>
      <c r="AL24" s="223" t="str">
        <f t="shared" si="3"/>
        <v/>
      </c>
      <c r="AM24" s="225"/>
      <c r="AN24" s="220"/>
      <c r="AO24" s="21"/>
      <c r="AP24" s="21"/>
      <c r="AQ24" s="21"/>
      <c r="AR24" s="22"/>
      <c r="AS24" s="11"/>
      <c r="AT24" s="14"/>
      <c r="AU24" s="17"/>
    </row>
    <row r="25" spans="1:47" x14ac:dyDescent="0.3">
      <c r="A25" s="56"/>
      <c r="B25" s="57"/>
      <c r="C25" s="61">
        <v>2023</v>
      </c>
      <c r="D25" s="64"/>
      <c r="E25" s="65"/>
      <c r="F25" s="65"/>
      <c r="G25" s="65"/>
      <c r="H25" s="65"/>
      <c r="I25" s="65"/>
      <c r="J25" s="65"/>
      <c r="K25" s="172" t="str">
        <f t="shared" si="5"/>
        <v/>
      </c>
      <c r="L25" s="27"/>
      <c r="M25" s="179"/>
      <c r="N25" s="178"/>
      <c r="O25" s="178"/>
      <c r="P25" s="178"/>
      <c r="Q25" s="178"/>
      <c r="R25" s="178"/>
      <c r="S25" s="180"/>
      <c r="T25" s="187" t="str">
        <f t="shared" si="6"/>
        <v/>
      </c>
      <c r="U25" s="79"/>
      <c r="V25" s="192"/>
      <c r="W25" s="185"/>
      <c r="X25" s="185"/>
      <c r="Y25" s="185"/>
      <c r="Z25" s="185"/>
      <c r="AA25" s="189"/>
      <c r="AB25" s="189"/>
      <c r="AC25" s="197" t="str">
        <f>IF(ISNUMBER($K25),(IF(ISNUMBER(V25),V25*$D25)+IF(ISNUMBER(W25),W25*$E25)+IF(ISNUMBER(X25),X25*$F25)+IF(ISNUMBER(Y25),Y25*$G25)+IF(ISNUMBER(Z25),Z25*$H25)+IF(ISNUMBER(AA25),AA25*$I25)+IF(ISNUMBER(AB25),AB25*$J25))/$K25,"")</f>
        <v/>
      </c>
      <c r="AD25" s="217"/>
      <c r="AE25" s="227"/>
      <c r="AF25" s="213"/>
      <c r="AG25" s="213"/>
      <c r="AH25" s="213"/>
      <c r="AI25" s="213"/>
      <c r="AJ25" s="213"/>
      <c r="AK25" s="213"/>
      <c r="AL25" s="223" t="str">
        <f t="shared" si="3"/>
        <v/>
      </c>
      <c r="AM25" s="225"/>
      <c r="AN25" s="220"/>
      <c r="AO25" s="21"/>
      <c r="AP25" s="21"/>
      <c r="AQ25" s="21"/>
      <c r="AR25" s="22"/>
      <c r="AS25" s="11"/>
      <c r="AT25" s="14"/>
      <c r="AU25" s="17"/>
    </row>
    <row r="26" spans="1:47" ht="15" thickBot="1" x14ac:dyDescent="0.35">
      <c r="A26" s="58"/>
      <c r="B26" s="59"/>
      <c r="C26" s="62">
        <v>2024</v>
      </c>
      <c r="D26" s="66"/>
      <c r="E26" s="67"/>
      <c r="F26" s="67"/>
      <c r="G26" s="68"/>
      <c r="H26" s="68"/>
      <c r="I26" s="68"/>
      <c r="J26" s="68"/>
      <c r="K26" s="173" t="str">
        <f t="shared" si="5"/>
        <v/>
      </c>
      <c r="L26" s="28"/>
      <c r="M26" s="181"/>
      <c r="N26" s="182"/>
      <c r="O26" s="182"/>
      <c r="P26" s="182"/>
      <c r="Q26" s="182"/>
      <c r="R26" s="182"/>
      <c r="S26" s="183"/>
      <c r="T26" s="188" t="str">
        <f t="shared" si="6"/>
        <v/>
      </c>
      <c r="U26" s="80"/>
      <c r="V26" s="193"/>
      <c r="W26" s="186"/>
      <c r="X26" s="186"/>
      <c r="Y26" s="186"/>
      <c r="Z26" s="186"/>
      <c r="AA26" s="194"/>
      <c r="AB26" s="194"/>
      <c r="AC26" s="198" t="str">
        <f>IF(AND(ISNUMBER(B26),OR(ISNUMBER(V26),ISNUMBER(W26),ISNUMBER(X26),ISNUMBER(Y26),ISNUMBER(Z26),ISNUMBER(AA26),ISNUMBER(AB26))),SUM(#REF!*V26,#REF!*W26,#REF!*X26,#REF!*Y26,#REF!*Z26,#REF!*AA26,A26*AB26)/B26,"")</f>
        <v/>
      </c>
      <c r="AD26" s="218"/>
      <c r="AE26" s="228"/>
      <c r="AF26" s="214"/>
      <c r="AG26" s="214"/>
      <c r="AH26" s="214"/>
      <c r="AI26" s="214"/>
      <c r="AJ26" s="214"/>
      <c r="AK26" s="214"/>
      <c r="AL26" s="229" t="str">
        <f t="shared" si="3"/>
        <v/>
      </c>
      <c r="AM26" s="230"/>
      <c r="AN26" s="221"/>
      <c r="AO26" s="23"/>
      <c r="AP26" s="23"/>
      <c r="AQ26" s="23"/>
      <c r="AR26" s="24"/>
      <c r="AS26" s="12"/>
      <c r="AT26" s="15"/>
      <c r="AU26" s="18"/>
    </row>
    <row r="27" spans="1:47" x14ac:dyDescent="0.3">
      <c r="K27" t="str">
        <f t="shared" si="5"/>
        <v/>
      </c>
    </row>
  </sheetData>
  <sheetProtection sort="0" autoFilter="0" pivotTables="0"/>
  <mergeCells count="10">
    <mergeCell ref="AN1:AS1"/>
    <mergeCell ref="AT1:AT2"/>
    <mergeCell ref="AU1:AU2"/>
    <mergeCell ref="C1:C2"/>
    <mergeCell ref="A1:A2"/>
    <mergeCell ref="B1:B2"/>
    <mergeCell ref="D1:L1"/>
    <mergeCell ref="M1:U1"/>
    <mergeCell ref="AE1:AM1"/>
    <mergeCell ref="V1:AD1"/>
  </mergeCells>
  <pageMargins left="0.7" right="0.7" top="0.75" bottom="0.75" header="0.3" footer="0.3"/>
  <pageSetup orientation="portrait" r:id="rId1"/>
  <ignoredErrors>
    <ignoredError sqref="K21:K26" formulaRange="1"/>
  </ignoredErrors>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filterMode="1">
    <tabColor rgb="FFFF9999"/>
  </sheetPr>
  <dimension ref="A1:BF72"/>
  <sheetViews>
    <sheetView zoomScaleNormal="100" workbookViewId="0">
      <pane xSplit="2" ySplit="3" topLeftCell="S31" activePane="bottomRight" state="frozen"/>
      <selection pane="topRight" activeCell="C15" sqref="C15"/>
      <selection pane="bottomLeft" activeCell="C15" sqref="C15"/>
      <selection pane="bottomRight" activeCell="F9" sqref="F9"/>
    </sheetView>
  </sheetViews>
  <sheetFormatPr defaultRowHeight="14.4" x14ac:dyDescent="0.3"/>
  <cols>
    <col min="1" max="1" width="19.33203125" customWidth="1"/>
    <col min="2" max="2" width="8.44140625" customWidth="1"/>
    <col min="3" max="4" width="9.33203125" style="316" bestFit="1" customWidth="1"/>
    <col min="5" max="5" width="7.6640625" style="316" customWidth="1"/>
    <col min="6" max="6" width="8.44140625" style="316" bestFit="1" customWidth="1"/>
    <col min="7" max="7" width="7.5546875" style="316" bestFit="1" customWidth="1"/>
    <col min="8" max="10" width="7.33203125" style="316" bestFit="1" customWidth="1"/>
    <col min="11" max="11" width="9.6640625" style="316" bestFit="1" customWidth="1"/>
    <col min="12" max="12" width="190" style="316" hidden="1" customWidth="1"/>
    <col min="13" max="13" width="2.33203125" bestFit="1" customWidth="1"/>
    <col min="14" max="14" width="4" bestFit="1" customWidth="1"/>
    <col min="15" max="15" width="3.5546875" bestFit="1" customWidth="1"/>
    <col min="16" max="16" width="2.33203125" bestFit="1" customWidth="1"/>
    <col min="17" max="17" width="4" bestFit="1" customWidth="1"/>
    <col min="18" max="18" width="3.5546875" bestFit="1" customWidth="1"/>
    <col min="19" max="19" width="2.33203125" bestFit="1" customWidth="1"/>
    <col min="20" max="20" width="4" bestFit="1" customWidth="1"/>
    <col min="21" max="21" width="3.5546875" bestFit="1" customWidth="1"/>
    <col min="22" max="22" width="2.33203125" bestFit="1" customWidth="1"/>
    <col min="23" max="23" width="4" bestFit="1" customWidth="1"/>
    <col min="24" max="24" width="3.5546875" bestFit="1" customWidth="1"/>
    <col min="25" max="25" width="2.33203125" bestFit="1" customWidth="1"/>
    <col min="26" max="26" width="4" bestFit="1" customWidth="1"/>
    <col min="27" max="27" width="3.5546875" bestFit="1" customWidth="1"/>
    <col min="28" max="28" width="1" bestFit="1" customWidth="1"/>
    <col min="29" max="29" width="4" bestFit="1" customWidth="1"/>
    <col min="30" max="30" width="3.5546875" bestFit="1" customWidth="1"/>
    <col min="31" max="31" width="2.33203125" bestFit="1" customWidth="1"/>
    <col min="32" max="32" width="4" bestFit="1" customWidth="1"/>
    <col min="33" max="33" width="3.5546875" bestFit="1" customWidth="1"/>
    <col min="34" max="34" width="1" bestFit="1" customWidth="1"/>
    <col min="35" max="35" width="4" bestFit="1" customWidth="1"/>
    <col min="36" max="36" width="3.5546875" bestFit="1" customWidth="1"/>
    <col min="37" max="37" width="5.33203125" bestFit="1" customWidth="1"/>
    <col min="38" max="38" width="9.33203125" customWidth="1"/>
    <col min="39" max="39" width="10.6640625" customWidth="1"/>
    <col min="40" max="40" width="13.33203125" bestFit="1" customWidth="1"/>
    <col min="41" max="41" width="8.6640625" bestFit="1" customWidth="1"/>
    <col min="42" max="42" width="5" bestFit="1" customWidth="1"/>
    <col min="43" max="43" width="11.33203125" bestFit="1" customWidth="1"/>
    <col min="44" max="44" width="14.5546875" bestFit="1" customWidth="1"/>
    <col min="45" max="45" width="11.6640625" bestFit="1" customWidth="1"/>
    <col min="46" max="46" width="8.5546875" bestFit="1" customWidth="1"/>
    <col min="47" max="47" width="8.6640625" bestFit="1" customWidth="1"/>
    <col min="48" max="48" width="36.33203125" customWidth="1"/>
    <col min="49" max="49" width="55.6640625" customWidth="1"/>
  </cols>
  <sheetData>
    <row r="1" spans="1:58" s="2" customFormat="1" x14ac:dyDescent="0.3">
      <c r="A1" s="2513" t="s">
        <v>209</v>
      </c>
      <c r="B1" s="2511" t="s">
        <v>330</v>
      </c>
      <c r="C1" s="2525" t="s">
        <v>354</v>
      </c>
      <c r="D1" s="2526"/>
      <c r="E1" s="2526"/>
      <c r="F1" s="2527"/>
      <c r="G1" s="2527"/>
      <c r="H1" s="2527"/>
      <c r="I1" s="2527"/>
      <c r="J1" s="2527"/>
      <c r="K1" s="2527"/>
      <c r="L1" s="2528"/>
      <c r="M1" s="2506" t="s">
        <v>355</v>
      </c>
      <c r="N1" s="2507"/>
      <c r="O1" s="2507"/>
      <c r="P1" s="2507"/>
      <c r="Q1" s="2507"/>
      <c r="R1" s="2507"/>
      <c r="S1" s="2507"/>
      <c r="T1" s="2507"/>
      <c r="U1" s="2507"/>
      <c r="V1" s="2507"/>
      <c r="W1" s="2507"/>
      <c r="X1" s="2507"/>
      <c r="Y1" s="2507"/>
      <c r="Z1" s="2507"/>
      <c r="AA1" s="2507"/>
      <c r="AB1" s="2507"/>
      <c r="AC1" s="2507"/>
      <c r="AD1" s="2507"/>
      <c r="AE1" s="2507"/>
      <c r="AF1" s="2507"/>
      <c r="AG1" s="2507"/>
      <c r="AH1" s="2507"/>
      <c r="AI1" s="2507"/>
      <c r="AJ1" s="2508"/>
      <c r="AK1" s="2508"/>
      <c r="AL1" s="2508"/>
      <c r="AM1" s="2529"/>
      <c r="AN1" s="2529"/>
      <c r="AO1" s="2529"/>
      <c r="AP1" s="2460" t="s">
        <v>356</v>
      </c>
      <c r="AQ1" s="2461"/>
      <c r="AR1" s="2461"/>
      <c r="AS1" s="2461"/>
      <c r="AT1" s="2461"/>
      <c r="AU1" s="2463"/>
      <c r="AV1" s="2485" t="s">
        <v>215</v>
      </c>
      <c r="AW1" s="2483" t="s">
        <v>216</v>
      </c>
      <c r="AX1" s="2457" t="s">
        <v>217</v>
      </c>
    </row>
    <row r="2" spans="1:58" s="2" customFormat="1" ht="15" x14ac:dyDescent="0.35">
      <c r="A2" s="2419"/>
      <c r="B2" s="2524"/>
      <c r="C2" s="2536" t="s">
        <v>357</v>
      </c>
      <c r="D2" s="2537"/>
      <c r="E2" s="2537"/>
      <c r="F2" s="2537"/>
      <c r="G2" s="2537"/>
      <c r="H2" s="2537"/>
      <c r="I2" s="2537"/>
      <c r="J2" s="2538"/>
      <c r="K2" s="2539" t="s">
        <v>221</v>
      </c>
      <c r="L2" s="2541" t="s">
        <v>222</v>
      </c>
      <c r="M2" s="2545" t="s">
        <v>358</v>
      </c>
      <c r="N2" s="2533"/>
      <c r="O2" s="2533"/>
      <c r="P2" s="2533" t="s">
        <v>359</v>
      </c>
      <c r="Q2" s="2533"/>
      <c r="R2" s="2533"/>
      <c r="S2" s="2533" t="s">
        <v>360</v>
      </c>
      <c r="T2" s="2533"/>
      <c r="U2" s="2533"/>
      <c r="V2" s="2533" t="s">
        <v>361</v>
      </c>
      <c r="W2" s="2533"/>
      <c r="X2" s="2533"/>
      <c r="Y2" s="2533" t="s">
        <v>362</v>
      </c>
      <c r="Z2" s="2533"/>
      <c r="AA2" s="2533"/>
      <c r="AB2" s="2533" t="s">
        <v>363</v>
      </c>
      <c r="AC2" s="2533"/>
      <c r="AD2" s="2533"/>
      <c r="AE2" s="2533" t="s">
        <v>364</v>
      </c>
      <c r="AF2" s="2533"/>
      <c r="AG2" s="2533"/>
      <c r="AH2" s="2530">
        <f>OtherAge</f>
        <v>3.1</v>
      </c>
      <c r="AI2" s="2530"/>
      <c r="AJ2" s="2530"/>
      <c r="AK2" s="2531" t="s">
        <v>224</v>
      </c>
      <c r="AL2" s="2532"/>
      <c r="AM2" s="2532"/>
      <c r="AN2" s="2453" t="s">
        <v>365</v>
      </c>
      <c r="AO2" s="2534" t="s">
        <v>222</v>
      </c>
      <c r="AP2" s="2546" t="s">
        <v>225</v>
      </c>
      <c r="AQ2" s="2547" t="s">
        <v>366</v>
      </c>
      <c r="AR2" s="2547" t="s">
        <v>367</v>
      </c>
      <c r="AS2" s="2547" t="s">
        <v>368</v>
      </c>
      <c r="AT2" s="2547" t="s">
        <v>229</v>
      </c>
      <c r="AU2" s="2548" t="s">
        <v>222</v>
      </c>
      <c r="AV2" s="2543"/>
      <c r="AW2" s="2544"/>
      <c r="AX2" s="2458"/>
    </row>
    <row r="3" spans="1:58" s="1" customFormat="1" ht="44.4" thickBot="1" x14ac:dyDescent="0.4">
      <c r="A3" s="2514"/>
      <c r="B3" s="2512"/>
      <c r="C3" s="379" t="s">
        <v>358</v>
      </c>
      <c r="D3" s="380" t="s">
        <v>369</v>
      </c>
      <c r="E3" s="380" t="s">
        <v>370</v>
      </c>
      <c r="F3" s="380" t="s">
        <v>361</v>
      </c>
      <c r="G3" s="380" t="s">
        <v>362</v>
      </c>
      <c r="H3" s="380" t="s">
        <v>371</v>
      </c>
      <c r="I3" s="380" t="s">
        <v>372</v>
      </c>
      <c r="J3" s="446">
        <v>3.1</v>
      </c>
      <c r="K3" s="2540"/>
      <c r="L3" s="2542"/>
      <c r="M3" s="328" t="s">
        <v>234</v>
      </c>
      <c r="N3" s="329" t="s">
        <v>235</v>
      </c>
      <c r="O3" s="329" t="s">
        <v>236</v>
      </c>
      <c r="P3" s="329" t="s">
        <v>234</v>
      </c>
      <c r="Q3" s="329" t="s">
        <v>235</v>
      </c>
      <c r="R3" s="329" t="s">
        <v>236</v>
      </c>
      <c r="S3" s="329" t="s">
        <v>234</v>
      </c>
      <c r="T3" s="329" t="s">
        <v>235</v>
      </c>
      <c r="U3" s="329" t="s">
        <v>236</v>
      </c>
      <c r="V3" s="329" t="s">
        <v>234</v>
      </c>
      <c r="W3" s="329" t="s">
        <v>235</v>
      </c>
      <c r="X3" s="329" t="s">
        <v>236</v>
      </c>
      <c r="Y3" s="329" t="s">
        <v>234</v>
      </c>
      <c r="Z3" s="329" t="s">
        <v>235</v>
      </c>
      <c r="AA3" s="329" t="s">
        <v>236</v>
      </c>
      <c r="AB3" s="329" t="s">
        <v>234</v>
      </c>
      <c r="AC3" s="329" t="s">
        <v>235</v>
      </c>
      <c r="AD3" s="329" t="s">
        <v>236</v>
      </c>
      <c r="AE3" s="329" t="s">
        <v>234</v>
      </c>
      <c r="AF3" s="329" t="s">
        <v>235</v>
      </c>
      <c r="AG3" s="329" t="s">
        <v>236</v>
      </c>
      <c r="AH3" s="329" t="s">
        <v>234</v>
      </c>
      <c r="AI3" s="329" t="s">
        <v>235</v>
      </c>
      <c r="AJ3" s="329" t="s">
        <v>236</v>
      </c>
      <c r="AK3" s="330" t="s">
        <v>237</v>
      </c>
      <c r="AL3" s="331" t="s">
        <v>238</v>
      </c>
      <c r="AM3" s="332" t="s">
        <v>239</v>
      </c>
      <c r="AN3" s="2454"/>
      <c r="AO3" s="2535"/>
      <c r="AP3" s="2482"/>
      <c r="AQ3" s="2448"/>
      <c r="AR3" s="2448"/>
      <c r="AS3" s="2448"/>
      <c r="AT3" s="2448"/>
      <c r="AU3" s="2478"/>
      <c r="AV3" s="2486"/>
      <c r="AW3" s="2484"/>
      <c r="AX3" s="2459" t="s">
        <v>217</v>
      </c>
    </row>
    <row r="4" spans="1:58" x14ac:dyDescent="0.3">
      <c r="A4" s="425" t="s">
        <v>373</v>
      </c>
      <c r="B4" s="426">
        <v>1980</v>
      </c>
      <c r="C4" s="792">
        <f t="shared" ref="C4:C47" si="0">IF(ISNUMBER(VLOOKUP($B4,AdultAgeComp,6)),VLOOKUP($B4,AdultAgeComp,2)*VLOOKUP($B4,AdultAgeComp,6),0)</f>
        <v>0</v>
      </c>
      <c r="D4" s="793">
        <f t="shared" ref="D4:D47" si="1">IF(ISNUMBER(VLOOKUP($B4,AdultAgeComp,7)),VLOOKUP($B4,AdultAgeComp,2)*VLOOKUP($B4,AdultAgeComp,7),0)</f>
        <v>0</v>
      </c>
      <c r="E4" s="793">
        <f t="shared" ref="E4:E47" si="2">IF(ISNUMBER(VLOOKUP($B4,AdultAgeComp,8)),VLOOKUP($B4,AdultAgeComp,2)*VLOOKUP($B4,AdultAgeComp,8),0)</f>
        <v>0</v>
      </c>
      <c r="F4" s="793">
        <f t="shared" ref="F4:F47" si="3">IF(ISNUMBER(VLOOKUP($B4,AdultAgeComp,9)),VLOOKUP($B4,AdultAgeComp,2)*VLOOKUP($B4,AdultAgeComp,9),0)</f>
        <v>0</v>
      </c>
      <c r="G4" s="793">
        <f t="shared" ref="G4:G47" si="4">IF(ISNUMBER(VLOOKUP($B4,AdultAgeComp,10)),VLOOKUP($B4,AdultAgeComp,2)*VLOOKUP($B4,AdultAgeComp,10),0)</f>
        <v>0</v>
      </c>
      <c r="H4" s="793">
        <f t="shared" ref="H4:H47" si="5">IF(ISNUMBER(VLOOKUP($B4,AdultAgeComp,11)),VLOOKUP($B4,AdultAgeComp,2)*VLOOKUP($B4,AdultAgeComp,11),0)</f>
        <v>0</v>
      </c>
      <c r="I4" s="793">
        <f t="shared" ref="I4:I47" si="6">IF(ISNUMBER(VLOOKUP($B4,AdultAgeComp,12)),VLOOKUP($B4,AdultAgeComp,2)*VLOOKUP($B4,AdultAgeComp,12),0)</f>
        <v>0</v>
      </c>
      <c r="J4" s="794">
        <f t="shared" ref="J4:J47" si="7">IF(ISNUMBER(VLOOKUP($B4,AdultAgeComp,13)),VLOOKUP($B4,AdultAgeComp,2)*VLOOKUP($B4,AdultAgeComp,13),0)</f>
        <v>0</v>
      </c>
      <c r="K4" s="451">
        <f>SUM(C4:J4)</f>
        <v>0</v>
      </c>
      <c r="L4" s="460" t="s">
        <v>374</v>
      </c>
      <c r="M4" s="277"/>
      <c r="N4" s="472"/>
      <c r="O4" s="238"/>
      <c r="P4" s="237"/>
      <c r="Q4" s="472"/>
      <c r="R4" s="238"/>
      <c r="S4" s="237"/>
      <c r="T4" s="472"/>
      <c r="U4" s="238"/>
      <c r="V4" s="237"/>
      <c r="W4" s="472"/>
      <c r="X4" s="238"/>
      <c r="Y4" s="237"/>
      <c r="Z4" s="472"/>
      <c r="AA4" s="238"/>
      <c r="AB4" s="237"/>
      <c r="AC4" s="472"/>
      <c r="AD4" s="238"/>
      <c r="AE4" s="237"/>
      <c r="AF4" s="472"/>
      <c r="AG4" s="238"/>
      <c r="AH4" s="237"/>
      <c r="AI4" s="472"/>
      <c r="AJ4" s="238"/>
      <c r="AK4" s="240" t="str">
        <f t="shared" ref="AK4:AK46" si="8">IF(0&lt;(SUM(M4,P4,S4,V4,Y4,AB4,AE4,AH4)),SUM(M4,P4,S4,V4,Y4,AB4,AE4,AH4),"")</f>
        <v/>
      </c>
      <c r="AL4" s="476" t="str">
        <f t="shared" ref="AL4:AL46" si="9">IF(ISNUMBER($AK4),(IF(ISNUMBER($M4),$M4*N4)+IF(ISNUMBER($P4),$P4*Q4)+IF(ISNUMBER($S4),$S4*T4)+IF(ISNUMBER($V4),$V4*W4)+IF(ISNUMBER($Y4),$Y4*Z4)+IF(ISNUMBER($AE4),$AE4*AF4)+IF(ISNUMBER($AB4),$AB4*AC4)+IF(ISNUMBER($AH4),$AH4*AI4))/$AK4,"")</f>
        <v/>
      </c>
      <c r="AM4" s="278" t="str">
        <f t="shared" ref="AM4:AM46" si="10">IF(ISNUMBER($AK4),(IF(ISNUMBER($M4),$M4*O4)+IF(ISNUMBER($P4),$P4*R4)+IF(ISNUMBER($S4),$S4*U4)+IF(ISNUMBER($V4),$V4*X4)+IF(ISNUMBER($Y4),$Y4*AA4)+IF(ISNUMBER($AE4),$AE4*AG4)+IF(ISNUMBER($AB4),$AB4*AD4)+IF(ISNUMBER($AH4),$AH4*AJ4))/$AK4,"")</f>
        <v/>
      </c>
      <c r="AN4" s="303"/>
      <c r="AO4" s="289"/>
      <c r="AP4" s="431"/>
      <c r="AQ4" s="326"/>
      <c r="AR4" s="323"/>
      <c r="AS4" s="326"/>
      <c r="AT4" s="323"/>
      <c r="AU4" s="397"/>
      <c r="AV4" s="396"/>
      <c r="AW4" s="327" t="s">
        <v>375</v>
      </c>
      <c r="AX4" s="325"/>
      <c r="BA4" s="440"/>
      <c r="BD4" s="442"/>
      <c r="BE4" s="442"/>
      <c r="BF4" s="442"/>
    </row>
    <row r="5" spans="1:58" x14ac:dyDescent="0.3">
      <c r="A5" s="425" t="s">
        <v>373</v>
      </c>
      <c r="B5" s="427">
        <v>1981</v>
      </c>
      <c r="C5" s="795">
        <f t="shared" si="0"/>
        <v>0</v>
      </c>
      <c r="D5" s="796">
        <f t="shared" si="1"/>
        <v>0</v>
      </c>
      <c r="E5" s="796">
        <f t="shared" si="2"/>
        <v>0</v>
      </c>
      <c r="F5" s="796">
        <f t="shared" si="3"/>
        <v>0</v>
      </c>
      <c r="G5" s="796">
        <f t="shared" si="4"/>
        <v>0</v>
      </c>
      <c r="H5" s="796">
        <f t="shared" si="5"/>
        <v>0</v>
      </c>
      <c r="I5" s="796">
        <f t="shared" si="6"/>
        <v>0</v>
      </c>
      <c r="J5" s="797">
        <f t="shared" si="7"/>
        <v>0</v>
      </c>
      <c r="K5" s="451">
        <f t="shared" ref="K5:K47" si="11">SUM(C5:J5)</f>
        <v>0</v>
      </c>
      <c r="L5" s="460" t="s">
        <v>374</v>
      </c>
      <c r="M5" s="239" t="s">
        <v>245</v>
      </c>
      <c r="N5" s="473"/>
      <c r="O5" s="235"/>
      <c r="P5" s="234"/>
      <c r="Q5" s="473"/>
      <c r="R5" s="235"/>
      <c r="S5" s="234"/>
      <c r="T5" s="473"/>
      <c r="U5" s="235"/>
      <c r="V5" s="234"/>
      <c r="W5" s="473"/>
      <c r="X5" s="235"/>
      <c r="Y5" s="234"/>
      <c r="Z5" s="473"/>
      <c r="AA5" s="235"/>
      <c r="AB5" s="234"/>
      <c r="AC5" s="473"/>
      <c r="AD5" s="235"/>
      <c r="AE5" s="234"/>
      <c r="AF5" s="473"/>
      <c r="AG5" s="235"/>
      <c r="AH5" s="234"/>
      <c r="AI5" s="429"/>
      <c r="AJ5" s="235"/>
      <c r="AK5" s="241" t="str">
        <f t="shared" si="8"/>
        <v/>
      </c>
      <c r="AL5" s="477" t="str">
        <f t="shared" si="9"/>
        <v/>
      </c>
      <c r="AM5" s="279" t="str">
        <f t="shared" si="10"/>
        <v/>
      </c>
      <c r="AN5" s="304"/>
      <c r="AO5" s="280"/>
      <c r="AP5" s="431"/>
      <c r="AQ5" s="322"/>
      <c r="AR5" s="323"/>
      <c r="AS5" s="322"/>
      <c r="AT5" s="323"/>
      <c r="AU5" s="397"/>
      <c r="AV5" s="396"/>
      <c r="AW5" s="327" t="s">
        <v>375</v>
      </c>
      <c r="AX5" s="453" t="s">
        <v>376</v>
      </c>
      <c r="BA5" s="440"/>
      <c r="BD5" s="442"/>
      <c r="BE5" s="442"/>
      <c r="BF5" s="442"/>
    </row>
    <row r="6" spans="1:58" x14ac:dyDescent="0.3">
      <c r="A6" s="425" t="s">
        <v>373</v>
      </c>
      <c r="B6" s="427">
        <v>1982</v>
      </c>
      <c r="C6" s="795">
        <f t="shared" si="0"/>
        <v>0</v>
      </c>
      <c r="D6" s="796">
        <f t="shared" si="1"/>
        <v>0</v>
      </c>
      <c r="E6" s="796">
        <f t="shared" si="2"/>
        <v>0</v>
      </c>
      <c r="F6" s="796">
        <f t="shared" si="3"/>
        <v>0</v>
      </c>
      <c r="G6" s="796">
        <f t="shared" si="4"/>
        <v>0</v>
      </c>
      <c r="H6" s="796">
        <f t="shared" si="5"/>
        <v>0</v>
      </c>
      <c r="I6" s="796">
        <f t="shared" si="6"/>
        <v>0</v>
      </c>
      <c r="J6" s="797">
        <f t="shared" si="7"/>
        <v>0</v>
      </c>
      <c r="K6" s="451">
        <f t="shared" si="11"/>
        <v>0</v>
      </c>
      <c r="L6" s="460" t="s">
        <v>374</v>
      </c>
      <c r="M6" s="239" t="s">
        <v>245</v>
      </c>
      <c r="N6" s="473"/>
      <c r="O6" s="235"/>
      <c r="P6" s="234"/>
      <c r="Q6" s="473"/>
      <c r="R6" s="235"/>
      <c r="S6" s="234"/>
      <c r="T6" s="473"/>
      <c r="U6" s="235"/>
      <c r="V6" s="234"/>
      <c r="W6" s="473"/>
      <c r="X6" s="235"/>
      <c r="Y6" s="234"/>
      <c r="Z6" s="473"/>
      <c r="AA6" s="235"/>
      <c r="AB6" s="234"/>
      <c r="AC6" s="473"/>
      <c r="AD6" s="235"/>
      <c r="AE6" s="234"/>
      <c r="AF6" s="473"/>
      <c r="AG6" s="235"/>
      <c r="AH6" s="234"/>
      <c r="AI6" s="429"/>
      <c r="AJ6" s="235"/>
      <c r="AK6" s="241" t="str">
        <f t="shared" si="8"/>
        <v/>
      </c>
      <c r="AL6" s="477" t="str">
        <f t="shared" si="9"/>
        <v/>
      </c>
      <c r="AM6" s="279" t="str">
        <f t="shared" si="10"/>
        <v/>
      </c>
      <c r="AN6" s="304"/>
      <c r="AO6" s="280"/>
      <c r="AP6" s="431"/>
      <c r="AQ6" s="322"/>
      <c r="AR6" s="323"/>
      <c r="AS6" s="322"/>
      <c r="AT6" s="323"/>
      <c r="AU6" s="397"/>
      <c r="AV6" s="396"/>
      <c r="AW6" s="327" t="s">
        <v>375</v>
      </c>
      <c r="AX6" s="453" t="s">
        <v>376</v>
      </c>
      <c r="BA6" s="440"/>
      <c r="BD6" s="442"/>
      <c r="BE6" s="442"/>
      <c r="BF6" s="442"/>
    </row>
    <row r="7" spans="1:58" x14ac:dyDescent="0.3">
      <c r="A7" s="425" t="s">
        <v>373</v>
      </c>
      <c r="B7" s="427">
        <v>1983</v>
      </c>
      <c r="C7" s="795">
        <f t="shared" si="0"/>
        <v>0</v>
      </c>
      <c r="D7" s="796">
        <f t="shared" si="1"/>
        <v>0</v>
      </c>
      <c r="E7" s="796">
        <f t="shared" si="2"/>
        <v>0</v>
      </c>
      <c r="F7" s="796">
        <f t="shared" si="3"/>
        <v>0</v>
      </c>
      <c r="G7" s="796">
        <f t="shared" si="4"/>
        <v>0</v>
      </c>
      <c r="H7" s="796">
        <f t="shared" si="5"/>
        <v>0</v>
      </c>
      <c r="I7" s="796">
        <f t="shared" si="6"/>
        <v>0</v>
      </c>
      <c r="J7" s="797">
        <f t="shared" si="7"/>
        <v>0</v>
      </c>
      <c r="K7" s="451">
        <f t="shared" si="11"/>
        <v>0</v>
      </c>
      <c r="L7" s="460" t="s">
        <v>374</v>
      </c>
      <c r="M7" s="239" t="s">
        <v>245</v>
      </c>
      <c r="N7" s="473"/>
      <c r="O7" s="235"/>
      <c r="P7" s="234"/>
      <c r="Q7" s="473"/>
      <c r="R7" s="235"/>
      <c r="S7" s="234"/>
      <c r="T7" s="473"/>
      <c r="U7" s="235"/>
      <c r="V7" s="234"/>
      <c r="W7" s="473"/>
      <c r="X7" s="235"/>
      <c r="Y7" s="234"/>
      <c r="Z7" s="473"/>
      <c r="AA7" s="235"/>
      <c r="AB7" s="234"/>
      <c r="AC7" s="473"/>
      <c r="AD7" s="235"/>
      <c r="AE7" s="234"/>
      <c r="AF7" s="473"/>
      <c r="AG7" s="235"/>
      <c r="AH7" s="234"/>
      <c r="AI7" s="429"/>
      <c r="AJ7" s="235"/>
      <c r="AK7" s="241" t="str">
        <f t="shared" si="8"/>
        <v/>
      </c>
      <c r="AL7" s="477" t="str">
        <f t="shared" si="9"/>
        <v/>
      </c>
      <c r="AM7" s="279" t="str">
        <f t="shared" si="10"/>
        <v/>
      </c>
      <c r="AN7" s="305"/>
      <c r="AO7" s="439"/>
      <c r="AP7" s="431"/>
      <c r="AQ7" s="322"/>
      <c r="AR7" s="323"/>
      <c r="AS7" s="322"/>
      <c r="AT7" s="323"/>
      <c r="AU7" s="397"/>
      <c r="AV7" s="396"/>
      <c r="AW7" s="327" t="s">
        <v>375</v>
      </c>
      <c r="AX7" s="453" t="s">
        <v>376</v>
      </c>
      <c r="BA7" s="440"/>
      <c r="BC7" s="442"/>
      <c r="BD7" s="442"/>
      <c r="BE7" s="442"/>
      <c r="BF7" s="442"/>
    </row>
    <row r="8" spans="1:58" x14ac:dyDescent="0.3">
      <c r="A8" s="425" t="s">
        <v>373</v>
      </c>
      <c r="B8" s="427">
        <v>1984</v>
      </c>
      <c r="C8" s="795">
        <f t="shared" si="0"/>
        <v>0</v>
      </c>
      <c r="D8" s="796">
        <f t="shared" si="1"/>
        <v>0</v>
      </c>
      <c r="E8" s="796">
        <f t="shared" si="2"/>
        <v>0</v>
      </c>
      <c r="F8" s="796">
        <f t="shared" si="3"/>
        <v>0</v>
      </c>
      <c r="G8" s="796">
        <f t="shared" si="4"/>
        <v>0</v>
      </c>
      <c r="H8" s="796">
        <f t="shared" si="5"/>
        <v>0</v>
      </c>
      <c r="I8" s="796">
        <f t="shared" si="6"/>
        <v>0</v>
      </c>
      <c r="J8" s="797">
        <f t="shared" si="7"/>
        <v>0</v>
      </c>
      <c r="K8" s="451">
        <f t="shared" si="11"/>
        <v>0</v>
      </c>
      <c r="L8" s="460" t="s">
        <v>374</v>
      </c>
      <c r="M8" s="239" t="s">
        <v>245</v>
      </c>
      <c r="N8" s="473"/>
      <c r="O8" s="235"/>
      <c r="P8" s="234"/>
      <c r="Q8" s="473"/>
      <c r="R8" s="235"/>
      <c r="S8" s="234"/>
      <c r="T8" s="473"/>
      <c r="U8" s="235"/>
      <c r="V8" s="234"/>
      <c r="W8" s="473"/>
      <c r="X8" s="235"/>
      <c r="Y8" s="234"/>
      <c r="Z8" s="473"/>
      <c r="AA8" s="235"/>
      <c r="AB8" s="234"/>
      <c r="AC8" s="473"/>
      <c r="AD8" s="235"/>
      <c r="AE8" s="234"/>
      <c r="AF8" s="473"/>
      <c r="AG8" s="235"/>
      <c r="AH8" s="234"/>
      <c r="AI8" s="429"/>
      <c r="AJ8" s="235"/>
      <c r="AK8" s="241" t="str">
        <f t="shared" si="8"/>
        <v/>
      </c>
      <c r="AL8" s="477" t="str">
        <f t="shared" si="9"/>
        <v/>
      </c>
      <c r="AM8" s="279" t="str">
        <f t="shared" si="10"/>
        <v/>
      </c>
      <c r="AN8" s="305"/>
      <c r="AO8" s="439"/>
      <c r="AP8" s="431"/>
      <c r="AQ8" s="322"/>
      <c r="AR8" s="323"/>
      <c r="AS8" s="322"/>
      <c r="AT8" s="323"/>
      <c r="AU8" s="397"/>
      <c r="AV8" s="396"/>
      <c r="AW8" s="327" t="s">
        <v>375</v>
      </c>
      <c r="AX8" s="453" t="s">
        <v>376</v>
      </c>
      <c r="BA8" s="440"/>
      <c r="BC8" s="442"/>
      <c r="BD8" s="442"/>
      <c r="BE8" s="442"/>
      <c r="BF8" s="442"/>
    </row>
    <row r="9" spans="1:58" x14ac:dyDescent="0.3">
      <c r="A9" s="425" t="s">
        <v>373</v>
      </c>
      <c r="B9" s="427">
        <v>1985</v>
      </c>
      <c r="C9" s="795">
        <f t="shared" si="0"/>
        <v>8364.3869999999988</v>
      </c>
      <c r="D9" s="796">
        <f t="shared" si="1"/>
        <v>106676.24</v>
      </c>
      <c r="E9" s="796">
        <f t="shared" si="2"/>
        <v>1333.453</v>
      </c>
      <c r="F9" s="796">
        <f t="shared" si="3"/>
        <v>727.33799999999997</v>
      </c>
      <c r="G9" s="796">
        <f t="shared" si="4"/>
        <v>4121.5820000000003</v>
      </c>
      <c r="H9" s="796">
        <f t="shared" si="5"/>
        <v>0</v>
      </c>
      <c r="I9" s="796">
        <f t="shared" si="6"/>
        <v>0</v>
      </c>
      <c r="J9" s="797">
        <f t="shared" si="7"/>
        <v>0</v>
      </c>
      <c r="K9" s="451">
        <f t="shared" si="11"/>
        <v>121223</v>
      </c>
      <c r="L9" s="460" t="s">
        <v>374</v>
      </c>
      <c r="M9" s="239" t="s">
        <v>245</v>
      </c>
      <c r="N9" s="473"/>
      <c r="O9" s="235"/>
      <c r="P9" s="234"/>
      <c r="Q9" s="473"/>
      <c r="R9" s="235"/>
      <c r="S9" s="234"/>
      <c r="T9" s="473"/>
      <c r="U9" s="235"/>
      <c r="V9" s="234"/>
      <c r="W9" s="473"/>
      <c r="X9" s="235"/>
      <c r="Y9" s="234"/>
      <c r="Z9" s="473"/>
      <c r="AA9" s="235"/>
      <c r="AB9" s="234"/>
      <c r="AC9" s="473"/>
      <c r="AD9" s="235"/>
      <c r="AE9" s="234"/>
      <c r="AF9" s="473"/>
      <c r="AG9" s="235"/>
      <c r="AH9" s="234"/>
      <c r="AI9" s="429"/>
      <c r="AJ9" s="235"/>
      <c r="AK9" s="241" t="str">
        <f t="shared" si="8"/>
        <v/>
      </c>
      <c r="AL9" s="477" t="str">
        <f t="shared" si="9"/>
        <v/>
      </c>
      <c r="AM9" s="279" t="str">
        <f t="shared" si="10"/>
        <v/>
      </c>
      <c r="AN9" s="305"/>
      <c r="AO9" s="439"/>
      <c r="AP9" s="431"/>
      <c r="AQ9" s="322"/>
      <c r="AR9" s="323"/>
      <c r="AS9" s="322"/>
      <c r="AT9" s="323"/>
      <c r="AU9" s="397"/>
      <c r="AV9" s="396"/>
      <c r="AW9" s="327" t="s">
        <v>375</v>
      </c>
      <c r="AX9" s="453" t="s">
        <v>376</v>
      </c>
      <c r="BA9" s="440"/>
      <c r="BC9" s="442"/>
      <c r="BD9" s="442"/>
      <c r="BE9" s="442"/>
      <c r="BF9" s="442"/>
    </row>
    <row r="10" spans="1:58" x14ac:dyDescent="0.3">
      <c r="A10" s="425" t="s">
        <v>373</v>
      </c>
      <c r="B10" s="427">
        <v>1986</v>
      </c>
      <c r="C10" s="795">
        <f t="shared" si="0"/>
        <v>2557.5775775775778</v>
      </c>
      <c r="D10" s="796">
        <f t="shared" si="1"/>
        <v>40576.951951951953</v>
      </c>
      <c r="E10" s="796">
        <f t="shared" si="2"/>
        <v>1131.2362362362362</v>
      </c>
      <c r="F10" s="796">
        <f t="shared" si="3"/>
        <v>4082.2872872872881</v>
      </c>
      <c r="G10" s="796">
        <f t="shared" si="4"/>
        <v>786.94694694694692</v>
      </c>
      <c r="H10" s="796">
        <f t="shared" si="5"/>
        <v>0</v>
      </c>
      <c r="I10" s="796">
        <f t="shared" si="6"/>
        <v>0</v>
      </c>
      <c r="J10" s="797">
        <f t="shared" si="7"/>
        <v>0</v>
      </c>
      <c r="K10" s="451">
        <f t="shared" si="11"/>
        <v>49135</v>
      </c>
      <c r="L10" s="460" t="s">
        <v>374</v>
      </c>
      <c r="M10" s="239" t="s">
        <v>245</v>
      </c>
      <c r="N10" s="473"/>
      <c r="O10" s="235"/>
      <c r="P10" s="234"/>
      <c r="Q10" s="473"/>
      <c r="R10" s="235"/>
      <c r="S10" s="234"/>
      <c r="T10" s="473"/>
      <c r="U10" s="235"/>
      <c r="V10" s="234"/>
      <c r="W10" s="473"/>
      <c r="X10" s="235"/>
      <c r="Y10" s="234"/>
      <c r="Z10" s="473"/>
      <c r="AA10" s="235"/>
      <c r="AB10" s="234"/>
      <c r="AC10" s="473"/>
      <c r="AD10" s="235"/>
      <c r="AE10" s="234"/>
      <c r="AF10" s="473"/>
      <c r="AG10" s="235"/>
      <c r="AH10" s="234"/>
      <c r="AI10" s="429"/>
      <c r="AJ10" s="235"/>
      <c r="AK10" s="241" t="str">
        <f t="shared" si="8"/>
        <v/>
      </c>
      <c r="AL10" s="477" t="str">
        <f t="shared" si="9"/>
        <v/>
      </c>
      <c r="AM10" s="279" t="str">
        <f t="shared" si="10"/>
        <v/>
      </c>
      <c r="AN10" s="305"/>
      <c r="AO10" s="439"/>
      <c r="AP10" s="431"/>
      <c r="AQ10" s="322"/>
      <c r="AR10" s="323"/>
      <c r="AS10" s="322"/>
      <c r="AT10" s="323"/>
      <c r="AU10" s="397"/>
      <c r="AV10" s="396"/>
      <c r="AW10" s="327" t="s">
        <v>377</v>
      </c>
      <c r="AX10" s="453" t="s">
        <v>376</v>
      </c>
      <c r="BA10" s="440"/>
      <c r="BC10" s="442"/>
      <c r="BD10" s="442"/>
      <c r="BE10" s="442"/>
      <c r="BF10" s="442"/>
    </row>
    <row r="11" spans="1:58" x14ac:dyDescent="0.3">
      <c r="A11" s="425" t="s">
        <v>373</v>
      </c>
      <c r="B11" s="427">
        <v>1987</v>
      </c>
      <c r="C11" s="795">
        <f t="shared" si="0"/>
        <v>48808.86</v>
      </c>
      <c r="D11" s="796">
        <f t="shared" si="1"/>
        <v>45634.30000000001</v>
      </c>
      <c r="E11" s="796">
        <f t="shared" si="2"/>
        <v>992.05000000000007</v>
      </c>
      <c r="F11" s="796">
        <f t="shared" si="3"/>
        <v>2777.7400000000002</v>
      </c>
      <c r="G11" s="796">
        <f t="shared" si="4"/>
        <v>992.05000000000007</v>
      </c>
      <c r="H11" s="796">
        <f t="shared" si="5"/>
        <v>0</v>
      </c>
      <c r="I11" s="796">
        <f t="shared" si="6"/>
        <v>0</v>
      </c>
      <c r="J11" s="797">
        <f t="shared" si="7"/>
        <v>0</v>
      </c>
      <c r="K11" s="451">
        <f t="shared" si="11"/>
        <v>99205.000000000015</v>
      </c>
      <c r="L11" s="460" t="s">
        <v>374</v>
      </c>
      <c r="M11" s="239" t="s">
        <v>245</v>
      </c>
      <c r="N11" s="473"/>
      <c r="O11" s="235"/>
      <c r="P11" s="234"/>
      <c r="Q11" s="473"/>
      <c r="R11" s="235"/>
      <c r="S11" s="234"/>
      <c r="T11" s="473"/>
      <c r="U11" s="235"/>
      <c r="V11" s="234"/>
      <c r="W11" s="473"/>
      <c r="X11" s="235"/>
      <c r="Y11" s="234"/>
      <c r="Z11" s="473"/>
      <c r="AA11" s="235"/>
      <c r="AB11" s="234"/>
      <c r="AC11" s="473"/>
      <c r="AD11" s="235"/>
      <c r="AE11" s="234"/>
      <c r="AF11" s="473"/>
      <c r="AG11" s="235"/>
      <c r="AH11" s="234"/>
      <c r="AI11" s="429"/>
      <c r="AJ11" s="235"/>
      <c r="AK11" s="241" t="str">
        <f t="shared" si="8"/>
        <v/>
      </c>
      <c r="AL11" s="477" t="str">
        <f t="shared" si="9"/>
        <v/>
      </c>
      <c r="AM11" s="279" t="str">
        <f t="shared" si="10"/>
        <v/>
      </c>
      <c r="AN11" s="305"/>
      <c r="AO11" s="439"/>
      <c r="AP11" s="431"/>
      <c r="AQ11" s="322"/>
      <c r="AR11" s="323"/>
      <c r="AS11" s="322"/>
      <c r="AT11" s="323"/>
      <c r="AU11" s="397"/>
      <c r="AV11" s="396"/>
      <c r="AW11" s="327" t="s">
        <v>377</v>
      </c>
      <c r="AX11" s="453" t="s">
        <v>376</v>
      </c>
      <c r="BA11" s="440"/>
      <c r="BC11" s="442"/>
      <c r="BD11" s="442"/>
      <c r="BE11" s="442"/>
      <c r="BF11" s="442"/>
    </row>
    <row r="12" spans="1:58" x14ac:dyDescent="0.3">
      <c r="A12" s="425" t="s">
        <v>373</v>
      </c>
      <c r="B12" s="427">
        <v>1988</v>
      </c>
      <c r="C12" s="795">
        <f t="shared" si="0"/>
        <v>156.77600000000001</v>
      </c>
      <c r="D12" s="796">
        <f t="shared" si="1"/>
        <v>75957.971999999994</v>
      </c>
      <c r="E12" s="796">
        <f t="shared" si="2"/>
        <v>783.88</v>
      </c>
      <c r="F12" s="796">
        <f t="shared" si="3"/>
        <v>1019.044</v>
      </c>
      <c r="G12" s="796">
        <f t="shared" si="4"/>
        <v>470.32800000000003</v>
      </c>
      <c r="H12" s="796">
        <f t="shared" si="5"/>
        <v>0</v>
      </c>
      <c r="I12" s="796">
        <f t="shared" si="6"/>
        <v>0</v>
      </c>
      <c r="J12" s="797">
        <f t="shared" si="7"/>
        <v>0</v>
      </c>
      <c r="K12" s="451">
        <f t="shared" si="11"/>
        <v>78387.999999999985</v>
      </c>
      <c r="L12" s="460" t="s">
        <v>374</v>
      </c>
      <c r="M12" s="239" t="s">
        <v>245</v>
      </c>
      <c r="N12" s="473"/>
      <c r="O12" s="235"/>
      <c r="P12" s="234"/>
      <c r="Q12" s="473"/>
      <c r="R12" s="235"/>
      <c r="S12" s="234"/>
      <c r="T12" s="473"/>
      <c r="U12" s="235"/>
      <c r="V12" s="234"/>
      <c r="W12" s="473"/>
      <c r="X12" s="235"/>
      <c r="Y12" s="234"/>
      <c r="Z12" s="473"/>
      <c r="AA12" s="235"/>
      <c r="AB12" s="234"/>
      <c r="AC12" s="473"/>
      <c r="AD12" s="235"/>
      <c r="AE12" s="234"/>
      <c r="AF12" s="473"/>
      <c r="AG12" s="235"/>
      <c r="AH12" s="234"/>
      <c r="AI12" s="429"/>
      <c r="AJ12" s="235"/>
      <c r="AK12" s="241" t="str">
        <f t="shared" si="8"/>
        <v/>
      </c>
      <c r="AL12" s="477" t="str">
        <f t="shared" si="9"/>
        <v/>
      </c>
      <c r="AM12" s="279" t="str">
        <f t="shared" si="10"/>
        <v/>
      </c>
      <c r="AN12" s="305"/>
      <c r="AO12" s="439"/>
      <c r="AP12" s="431"/>
      <c r="AQ12" s="322"/>
      <c r="AR12" s="323"/>
      <c r="AS12" s="322"/>
      <c r="AT12" s="323"/>
      <c r="AU12" s="397"/>
      <c r="AV12" s="396"/>
      <c r="AW12" s="327" t="s">
        <v>377</v>
      </c>
      <c r="AX12" s="453" t="s">
        <v>376</v>
      </c>
      <c r="BA12" s="440"/>
      <c r="BC12" s="442"/>
      <c r="BD12" s="442"/>
      <c r="BE12" s="442"/>
      <c r="BF12" s="442"/>
    </row>
    <row r="13" spans="1:58" x14ac:dyDescent="0.3">
      <c r="A13" s="425" t="s">
        <v>373</v>
      </c>
      <c r="B13" s="427">
        <v>1989</v>
      </c>
      <c r="C13" s="795">
        <f t="shared" si="0"/>
        <v>0</v>
      </c>
      <c r="D13" s="796">
        <f t="shared" si="1"/>
        <v>0</v>
      </c>
      <c r="E13" s="796">
        <f t="shared" si="2"/>
        <v>0</v>
      </c>
      <c r="F13" s="796">
        <f t="shared" si="3"/>
        <v>0</v>
      </c>
      <c r="G13" s="796">
        <f t="shared" si="4"/>
        <v>0</v>
      </c>
      <c r="H13" s="796">
        <f t="shared" si="5"/>
        <v>0</v>
      </c>
      <c r="I13" s="796">
        <f t="shared" si="6"/>
        <v>0</v>
      </c>
      <c r="J13" s="797">
        <f t="shared" si="7"/>
        <v>0</v>
      </c>
      <c r="K13" s="451">
        <f t="shared" si="11"/>
        <v>0</v>
      </c>
      <c r="L13" s="460" t="s">
        <v>374</v>
      </c>
      <c r="M13" s="239" t="s">
        <v>245</v>
      </c>
      <c r="N13" s="473"/>
      <c r="O13" s="235"/>
      <c r="P13" s="234"/>
      <c r="Q13" s="473"/>
      <c r="R13" s="235"/>
      <c r="S13" s="234"/>
      <c r="T13" s="473"/>
      <c r="U13" s="235"/>
      <c r="V13" s="234"/>
      <c r="W13" s="473"/>
      <c r="X13" s="235"/>
      <c r="Y13" s="234"/>
      <c r="Z13" s="473"/>
      <c r="AA13" s="235"/>
      <c r="AB13" s="234"/>
      <c r="AC13" s="473"/>
      <c r="AD13" s="235"/>
      <c r="AE13" s="234"/>
      <c r="AF13" s="473"/>
      <c r="AG13" s="235"/>
      <c r="AH13" s="234"/>
      <c r="AI13" s="429"/>
      <c r="AJ13" s="235"/>
      <c r="AK13" s="241" t="str">
        <f t="shared" si="8"/>
        <v/>
      </c>
      <c r="AL13" s="477" t="str">
        <f t="shared" si="9"/>
        <v/>
      </c>
      <c r="AM13" s="279" t="str">
        <f t="shared" si="10"/>
        <v/>
      </c>
      <c r="AN13" s="305"/>
      <c r="AO13" s="439"/>
      <c r="AP13" s="431"/>
      <c r="AQ13" s="322"/>
      <c r="AR13" s="323"/>
      <c r="AS13" s="322"/>
      <c r="AT13" s="323"/>
      <c r="AU13" s="397"/>
      <c r="AV13" s="396"/>
      <c r="AW13" s="327" t="s">
        <v>377</v>
      </c>
      <c r="AX13" s="453" t="s">
        <v>376</v>
      </c>
      <c r="BA13" s="440"/>
      <c r="BC13" s="442"/>
      <c r="BD13" s="442"/>
      <c r="BE13" s="442"/>
      <c r="BF13" s="442"/>
    </row>
    <row r="14" spans="1:58" x14ac:dyDescent="0.3">
      <c r="A14" s="425" t="s">
        <v>373</v>
      </c>
      <c r="B14" s="427">
        <v>1990</v>
      </c>
      <c r="C14" s="795">
        <f t="shared" si="0"/>
        <v>0</v>
      </c>
      <c r="D14" s="796">
        <f t="shared" si="1"/>
        <v>0</v>
      </c>
      <c r="E14" s="796">
        <f t="shared" si="2"/>
        <v>0</v>
      </c>
      <c r="F14" s="796">
        <f t="shared" si="3"/>
        <v>0</v>
      </c>
      <c r="G14" s="796">
        <f t="shared" si="4"/>
        <v>0</v>
      </c>
      <c r="H14" s="796">
        <f t="shared" si="5"/>
        <v>0</v>
      </c>
      <c r="I14" s="796">
        <f t="shared" si="6"/>
        <v>0</v>
      </c>
      <c r="J14" s="797">
        <f t="shared" si="7"/>
        <v>0</v>
      </c>
      <c r="K14" s="451">
        <f t="shared" si="11"/>
        <v>0</v>
      </c>
      <c r="L14" s="460" t="s">
        <v>374</v>
      </c>
      <c r="M14" s="432" t="s">
        <v>245</v>
      </c>
      <c r="N14" s="474"/>
      <c r="O14" s="434"/>
      <c r="P14" s="435"/>
      <c r="Q14" s="474"/>
      <c r="R14" s="434"/>
      <c r="S14" s="435"/>
      <c r="T14" s="474"/>
      <c r="U14" s="434"/>
      <c r="V14" s="435"/>
      <c r="W14" s="474"/>
      <c r="X14" s="434"/>
      <c r="Y14" s="435"/>
      <c r="Z14" s="474"/>
      <c r="AA14" s="434"/>
      <c r="AB14" s="435"/>
      <c r="AC14" s="474"/>
      <c r="AD14" s="434"/>
      <c r="AE14" s="435"/>
      <c r="AF14" s="474"/>
      <c r="AG14" s="434"/>
      <c r="AH14" s="435"/>
      <c r="AI14" s="433"/>
      <c r="AJ14" s="434"/>
      <c r="AK14" s="436" t="str">
        <f t="shared" si="8"/>
        <v/>
      </c>
      <c r="AL14" s="478" t="str">
        <f t="shared" si="9"/>
        <v/>
      </c>
      <c r="AM14" s="437" t="str">
        <f t="shared" si="10"/>
        <v/>
      </c>
      <c r="AN14" s="438"/>
      <c r="AO14" s="281"/>
      <c r="AP14" s="431"/>
      <c r="AQ14" s="322"/>
      <c r="AR14" s="323"/>
      <c r="AS14" s="322"/>
      <c r="AT14" s="323"/>
      <c r="AU14" s="397"/>
      <c r="AV14" s="396"/>
      <c r="AW14" s="327" t="s">
        <v>377</v>
      </c>
      <c r="AX14" s="453" t="s">
        <v>376</v>
      </c>
      <c r="BA14" s="440"/>
      <c r="BC14" s="442"/>
      <c r="BD14" s="442"/>
      <c r="BE14" s="442"/>
      <c r="BF14" s="442"/>
    </row>
    <row r="15" spans="1:58" x14ac:dyDescent="0.3">
      <c r="A15" s="425" t="s">
        <v>373</v>
      </c>
      <c r="B15" s="427">
        <v>1991</v>
      </c>
      <c r="C15" s="795">
        <f t="shared" si="0"/>
        <v>0</v>
      </c>
      <c r="D15" s="796">
        <f t="shared" si="1"/>
        <v>0</v>
      </c>
      <c r="E15" s="796">
        <f t="shared" si="2"/>
        <v>0</v>
      </c>
      <c r="F15" s="796">
        <f t="shared" si="3"/>
        <v>0</v>
      </c>
      <c r="G15" s="796">
        <f t="shared" si="4"/>
        <v>0</v>
      </c>
      <c r="H15" s="796">
        <f t="shared" si="5"/>
        <v>0</v>
      </c>
      <c r="I15" s="796">
        <f t="shared" si="6"/>
        <v>0</v>
      </c>
      <c r="J15" s="797">
        <f t="shared" si="7"/>
        <v>0</v>
      </c>
      <c r="K15" s="451">
        <f t="shared" si="11"/>
        <v>0</v>
      </c>
      <c r="L15" s="460" t="s">
        <v>374</v>
      </c>
      <c r="M15" s="239" t="s">
        <v>245</v>
      </c>
      <c r="N15" s="473"/>
      <c r="O15" s="235"/>
      <c r="P15" s="234"/>
      <c r="Q15" s="473"/>
      <c r="R15" s="235"/>
      <c r="S15" s="234"/>
      <c r="T15" s="473"/>
      <c r="U15" s="235"/>
      <c r="V15" s="234"/>
      <c r="W15" s="473"/>
      <c r="X15" s="235"/>
      <c r="Y15" s="234"/>
      <c r="Z15" s="473"/>
      <c r="AA15" s="235"/>
      <c r="AB15" s="234"/>
      <c r="AC15" s="473"/>
      <c r="AD15" s="235"/>
      <c r="AE15" s="234"/>
      <c r="AF15" s="473"/>
      <c r="AG15" s="235"/>
      <c r="AH15" s="234"/>
      <c r="AI15" s="429"/>
      <c r="AJ15" s="235"/>
      <c r="AK15" s="241" t="str">
        <f t="shared" si="8"/>
        <v/>
      </c>
      <c r="AL15" s="477" t="str">
        <f t="shared" si="9"/>
        <v/>
      </c>
      <c r="AM15" s="279" t="str">
        <f t="shared" si="10"/>
        <v/>
      </c>
      <c r="AN15" s="305"/>
      <c r="AO15" s="439"/>
      <c r="AP15" s="431"/>
      <c r="AQ15" s="322"/>
      <c r="AR15" s="323"/>
      <c r="AS15" s="322"/>
      <c r="AT15" s="323"/>
      <c r="AU15" s="397"/>
      <c r="AV15" s="396"/>
      <c r="AW15" s="327" t="s">
        <v>377</v>
      </c>
      <c r="AX15" s="453" t="s">
        <v>376</v>
      </c>
      <c r="BA15" s="440"/>
      <c r="BC15" s="442"/>
      <c r="BD15" s="442"/>
      <c r="BE15" s="442"/>
      <c r="BF15" s="442"/>
    </row>
    <row r="16" spans="1:58" x14ac:dyDescent="0.3">
      <c r="A16" s="425" t="s">
        <v>373</v>
      </c>
      <c r="B16" s="427">
        <v>1992</v>
      </c>
      <c r="C16" s="795">
        <f t="shared" si="0"/>
        <v>0</v>
      </c>
      <c r="D16" s="796">
        <f t="shared" si="1"/>
        <v>0</v>
      </c>
      <c r="E16" s="796">
        <f t="shared" si="2"/>
        <v>0</v>
      </c>
      <c r="F16" s="796">
        <f t="shared" si="3"/>
        <v>0</v>
      </c>
      <c r="G16" s="796">
        <f t="shared" si="4"/>
        <v>0</v>
      </c>
      <c r="H16" s="796">
        <f t="shared" si="5"/>
        <v>0</v>
      </c>
      <c r="I16" s="796">
        <f t="shared" si="6"/>
        <v>0</v>
      </c>
      <c r="J16" s="797">
        <f t="shared" si="7"/>
        <v>0</v>
      </c>
      <c r="K16" s="451">
        <f t="shared" si="11"/>
        <v>0</v>
      </c>
      <c r="L16" s="460" t="s">
        <v>374</v>
      </c>
      <c r="M16" s="239" t="s">
        <v>245</v>
      </c>
      <c r="N16" s="473"/>
      <c r="O16" s="235"/>
      <c r="P16" s="234"/>
      <c r="Q16" s="473"/>
      <c r="R16" s="235"/>
      <c r="S16" s="234"/>
      <c r="T16" s="473"/>
      <c r="U16" s="235"/>
      <c r="V16" s="234"/>
      <c r="W16" s="473"/>
      <c r="X16" s="235"/>
      <c r="Y16" s="234"/>
      <c r="Z16" s="473"/>
      <c r="AA16" s="235"/>
      <c r="AB16" s="234"/>
      <c r="AC16" s="473"/>
      <c r="AD16" s="235"/>
      <c r="AE16" s="234"/>
      <c r="AF16" s="473"/>
      <c r="AG16" s="235"/>
      <c r="AH16" s="234"/>
      <c r="AI16" s="429"/>
      <c r="AJ16" s="235"/>
      <c r="AK16" s="241" t="str">
        <f t="shared" si="8"/>
        <v/>
      </c>
      <c r="AL16" s="477" t="str">
        <f t="shared" si="9"/>
        <v/>
      </c>
      <c r="AM16" s="279" t="str">
        <f t="shared" si="10"/>
        <v/>
      </c>
      <c r="AN16" s="305"/>
      <c r="AO16" s="439"/>
      <c r="AP16" s="431"/>
      <c r="AQ16" s="322"/>
      <c r="AR16" s="323"/>
      <c r="AS16" s="322"/>
      <c r="AT16" s="323"/>
      <c r="AU16" s="397"/>
      <c r="AV16" s="396"/>
      <c r="AW16" s="327" t="s">
        <v>377</v>
      </c>
      <c r="AX16" s="453" t="s">
        <v>376</v>
      </c>
      <c r="BA16" s="440"/>
      <c r="BC16" s="442"/>
      <c r="BD16" s="442"/>
      <c r="BE16" s="442"/>
      <c r="BF16" s="442"/>
    </row>
    <row r="17" spans="1:58" x14ac:dyDescent="0.3">
      <c r="A17" s="425" t="s">
        <v>373</v>
      </c>
      <c r="B17" s="427">
        <v>1993</v>
      </c>
      <c r="C17" s="795">
        <f t="shared" si="0"/>
        <v>0</v>
      </c>
      <c r="D17" s="796">
        <f t="shared" si="1"/>
        <v>0</v>
      </c>
      <c r="E17" s="796">
        <f t="shared" si="2"/>
        <v>0</v>
      </c>
      <c r="F17" s="796">
        <f t="shared" si="3"/>
        <v>0</v>
      </c>
      <c r="G17" s="796">
        <f t="shared" si="4"/>
        <v>0</v>
      </c>
      <c r="H17" s="796">
        <f t="shared" si="5"/>
        <v>0</v>
      </c>
      <c r="I17" s="796">
        <f t="shared" si="6"/>
        <v>0</v>
      </c>
      <c r="J17" s="797">
        <f t="shared" si="7"/>
        <v>0</v>
      </c>
      <c r="K17" s="451">
        <f t="shared" si="11"/>
        <v>0</v>
      </c>
      <c r="L17" s="460" t="s">
        <v>374</v>
      </c>
      <c r="M17" s="239" t="s">
        <v>245</v>
      </c>
      <c r="N17" s="475"/>
      <c r="O17" s="236"/>
      <c r="P17" s="234"/>
      <c r="Q17" s="473"/>
      <c r="R17" s="236"/>
      <c r="S17" s="234"/>
      <c r="T17" s="473"/>
      <c r="U17" s="236"/>
      <c r="V17" s="234"/>
      <c r="W17" s="473"/>
      <c r="X17" s="236"/>
      <c r="Y17" s="234"/>
      <c r="Z17" s="473"/>
      <c r="AA17" s="236"/>
      <c r="AB17" s="234"/>
      <c r="AC17" s="473"/>
      <c r="AD17" s="236"/>
      <c r="AE17" s="234"/>
      <c r="AF17" s="473"/>
      <c r="AG17" s="236"/>
      <c r="AH17" s="234"/>
      <c r="AI17" s="429"/>
      <c r="AJ17" s="235"/>
      <c r="AK17" s="241" t="str">
        <f t="shared" si="8"/>
        <v/>
      </c>
      <c r="AL17" s="477" t="str">
        <f t="shared" si="9"/>
        <v/>
      </c>
      <c r="AM17" s="279" t="str">
        <f t="shared" si="10"/>
        <v/>
      </c>
      <c r="AN17" s="305"/>
      <c r="AO17" s="439"/>
      <c r="AP17" s="431"/>
      <c r="AQ17" s="322"/>
      <c r="AR17" s="323"/>
      <c r="AS17" s="322"/>
      <c r="AT17" s="323"/>
      <c r="AU17" s="397"/>
      <c r="AV17" s="396"/>
      <c r="AW17" s="327" t="s">
        <v>377</v>
      </c>
      <c r="AX17" s="453" t="s">
        <v>376</v>
      </c>
      <c r="BA17" s="440"/>
      <c r="BC17" s="442"/>
      <c r="BD17" s="442"/>
      <c r="BE17" s="442"/>
      <c r="BF17" s="442"/>
    </row>
    <row r="18" spans="1:58" x14ac:dyDescent="0.3">
      <c r="A18" s="425" t="s">
        <v>373</v>
      </c>
      <c r="B18" s="427">
        <v>1994</v>
      </c>
      <c r="C18" s="795">
        <f t="shared" si="0"/>
        <v>314.88599999999997</v>
      </c>
      <c r="D18" s="796">
        <f t="shared" si="1"/>
        <v>277.452</v>
      </c>
      <c r="E18" s="796">
        <f t="shared" si="2"/>
        <v>35.231999999999999</v>
      </c>
      <c r="F18" s="796">
        <f t="shared" si="3"/>
        <v>1536.9959999999999</v>
      </c>
      <c r="G18" s="796">
        <f t="shared" si="4"/>
        <v>37.434000000000005</v>
      </c>
      <c r="H18" s="796">
        <f t="shared" si="5"/>
        <v>0</v>
      </c>
      <c r="I18" s="796">
        <f t="shared" si="6"/>
        <v>0</v>
      </c>
      <c r="J18" s="797">
        <f t="shared" si="7"/>
        <v>0</v>
      </c>
      <c r="K18" s="451">
        <f t="shared" si="11"/>
        <v>2202</v>
      </c>
      <c r="L18" s="460" t="s">
        <v>374</v>
      </c>
      <c r="M18" s="239" t="s">
        <v>245</v>
      </c>
      <c r="N18" s="473"/>
      <c r="O18" s="235"/>
      <c r="P18" s="234"/>
      <c r="Q18" s="473"/>
      <c r="R18" s="235"/>
      <c r="S18" s="234"/>
      <c r="T18" s="473"/>
      <c r="U18" s="235"/>
      <c r="V18" s="234"/>
      <c r="W18" s="473"/>
      <c r="X18" s="235"/>
      <c r="Y18" s="234"/>
      <c r="Z18" s="473"/>
      <c r="AA18" s="235"/>
      <c r="AB18" s="234"/>
      <c r="AC18" s="473"/>
      <c r="AD18" s="235"/>
      <c r="AE18" s="234"/>
      <c r="AF18" s="473"/>
      <c r="AG18" s="235"/>
      <c r="AH18" s="234"/>
      <c r="AI18" s="429"/>
      <c r="AJ18" s="235"/>
      <c r="AK18" s="241" t="str">
        <f t="shared" si="8"/>
        <v/>
      </c>
      <c r="AL18" s="477" t="str">
        <f t="shared" si="9"/>
        <v/>
      </c>
      <c r="AM18" s="279" t="str">
        <f t="shared" si="10"/>
        <v/>
      </c>
      <c r="AN18" s="305"/>
      <c r="AO18" s="439"/>
      <c r="AP18" s="431"/>
      <c r="AQ18" s="322"/>
      <c r="AR18" s="323"/>
      <c r="AS18" s="322"/>
      <c r="AT18" s="323"/>
      <c r="AU18" s="397"/>
      <c r="AV18" s="396"/>
      <c r="AW18" s="327" t="s">
        <v>377</v>
      </c>
      <c r="AX18" s="453" t="s">
        <v>376</v>
      </c>
      <c r="BA18" s="440"/>
      <c r="BC18" s="442"/>
      <c r="BD18" s="442"/>
      <c r="BE18" s="442"/>
      <c r="BF18" s="442"/>
    </row>
    <row r="19" spans="1:58" x14ac:dyDescent="0.3">
      <c r="A19" s="425" t="s">
        <v>373</v>
      </c>
      <c r="B19" s="427">
        <v>1995</v>
      </c>
      <c r="C19" s="795">
        <f t="shared" si="0"/>
        <v>2167.629258517034</v>
      </c>
      <c r="D19" s="796">
        <f t="shared" si="1"/>
        <v>2697.7274549098202</v>
      </c>
      <c r="E19" s="796">
        <f t="shared" si="2"/>
        <v>304.41282565130263</v>
      </c>
      <c r="F19" s="796">
        <f t="shared" si="3"/>
        <v>68.230460921843687</v>
      </c>
      <c r="G19" s="796">
        <f t="shared" si="4"/>
        <v>0</v>
      </c>
      <c r="H19" s="796">
        <f t="shared" si="5"/>
        <v>0</v>
      </c>
      <c r="I19" s="796">
        <f t="shared" si="6"/>
        <v>0</v>
      </c>
      <c r="J19" s="797">
        <f t="shared" si="7"/>
        <v>0</v>
      </c>
      <c r="K19" s="1656">
        <f t="shared" si="11"/>
        <v>5238</v>
      </c>
      <c r="L19" s="460" t="s">
        <v>374</v>
      </c>
      <c r="M19" s="239" t="s">
        <v>245</v>
      </c>
      <c r="N19" s="473"/>
      <c r="O19" s="235"/>
      <c r="P19" s="234"/>
      <c r="Q19" s="473"/>
      <c r="R19" s="235"/>
      <c r="S19" s="234"/>
      <c r="T19" s="473"/>
      <c r="U19" s="235"/>
      <c r="V19" s="234"/>
      <c r="W19" s="473"/>
      <c r="X19" s="235"/>
      <c r="Y19" s="234"/>
      <c r="Z19" s="473"/>
      <c r="AA19" s="235"/>
      <c r="AB19" s="234"/>
      <c r="AC19" s="473"/>
      <c r="AD19" s="235"/>
      <c r="AE19" s="234"/>
      <c r="AF19" s="473"/>
      <c r="AG19" s="235"/>
      <c r="AH19" s="234"/>
      <c r="AI19" s="429"/>
      <c r="AJ19" s="235"/>
      <c r="AK19" s="241" t="str">
        <f t="shared" si="8"/>
        <v/>
      </c>
      <c r="AL19" s="477" t="str">
        <f t="shared" si="9"/>
        <v/>
      </c>
      <c r="AM19" s="279" t="str">
        <f t="shared" si="10"/>
        <v/>
      </c>
      <c r="AN19" s="305"/>
      <c r="AO19" s="439"/>
      <c r="AP19" s="431"/>
      <c r="AQ19" s="322"/>
      <c r="AR19" s="323"/>
      <c r="AS19" s="322"/>
      <c r="AT19" s="323"/>
      <c r="AU19" s="397"/>
      <c r="AV19" s="396"/>
      <c r="AW19" s="327" t="s">
        <v>377</v>
      </c>
      <c r="AX19" s="453" t="s">
        <v>376</v>
      </c>
      <c r="BA19" s="440"/>
      <c r="BC19" s="442"/>
      <c r="BD19" s="442"/>
      <c r="BE19" s="442"/>
      <c r="BF19" s="442"/>
    </row>
    <row r="20" spans="1:58" x14ac:dyDescent="0.3">
      <c r="A20" s="425" t="s">
        <v>373</v>
      </c>
      <c r="B20" s="427">
        <v>1996</v>
      </c>
      <c r="C20" s="795">
        <f t="shared" si="0"/>
        <v>1760.1599999999996</v>
      </c>
      <c r="D20" s="796">
        <f t="shared" si="1"/>
        <v>19894.439999999999</v>
      </c>
      <c r="E20" s="796">
        <f t="shared" si="2"/>
        <v>0</v>
      </c>
      <c r="F20" s="796">
        <f t="shared" si="3"/>
        <v>880.07999999999981</v>
      </c>
      <c r="G20" s="796">
        <f t="shared" si="4"/>
        <v>625.31999999999994</v>
      </c>
      <c r="H20" s="796">
        <f t="shared" si="5"/>
        <v>0</v>
      </c>
      <c r="I20" s="796">
        <f t="shared" si="6"/>
        <v>0</v>
      </c>
      <c r="J20" s="797">
        <f t="shared" si="7"/>
        <v>0</v>
      </c>
      <c r="K20" s="451">
        <f t="shared" si="11"/>
        <v>23159.999999999996</v>
      </c>
      <c r="L20" s="460" t="s">
        <v>374</v>
      </c>
      <c r="M20" s="239" t="s">
        <v>245</v>
      </c>
      <c r="N20" s="473"/>
      <c r="O20" s="235"/>
      <c r="P20" s="234"/>
      <c r="Q20" s="473"/>
      <c r="R20" s="235"/>
      <c r="S20" s="234"/>
      <c r="T20" s="473"/>
      <c r="U20" s="235"/>
      <c r="V20" s="234"/>
      <c r="W20" s="473"/>
      <c r="X20" s="235"/>
      <c r="Y20" s="234"/>
      <c r="Z20" s="473"/>
      <c r="AA20" s="235"/>
      <c r="AB20" s="234"/>
      <c r="AC20" s="473"/>
      <c r="AD20" s="235"/>
      <c r="AE20" s="234"/>
      <c r="AF20" s="473"/>
      <c r="AG20" s="235"/>
      <c r="AH20" s="234"/>
      <c r="AI20" s="429"/>
      <c r="AJ20" s="235"/>
      <c r="AK20" s="241" t="str">
        <f t="shared" si="8"/>
        <v/>
      </c>
      <c r="AL20" s="477" t="str">
        <f t="shared" si="9"/>
        <v/>
      </c>
      <c r="AM20" s="279" t="str">
        <f t="shared" si="10"/>
        <v/>
      </c>
      <c r="AN20" s="305"/>
      <c r="AO20" s="439"/>
      <c r="AP20" s="431"/>
      <c r="AQ20" s="322"/>
      <c r="AR20" s="323"/>
      <c r="AS20" s="322"/>
      <c r="AT20" s="323"/>
      <c r="AU20" s="397"/>
      <c r="AV20" s="396"/>
      <c r="AW20" s="327" t="s">
        <v>377</v>
      </c>
      <c r="AX20" s="453" t="s">
        <v>376</v>
      </c>
      <c r="BA20" s="440"/>
      <c r="BC20" s="442"/>
      <c r="BD20" s="442"/>
      <c r="BE20" s="442"/>
      <c r="BF20" s="442"/>
    </row>
    <row r="21" spans="1:58" x14ac:dyDescent="0.3">
      <c r="A21" s="425" t="s">
        <v>373</v>
      </c>
      <c r="B21" s="427">
        <v>1997</v>
      </c>
      <c r="C21" s="795">
        <f t="shared" si="0"/>
        <v>0</v>
      </c>
      <c r="D21" s="796">
        <f t="shared" si="1"/>
        <v>34542.915000000001</v>
      </c>
      <c r="E21" s="796">
        <f t="shared" si="2"/>
        <v>324.85499999999996</v>
      </c>
      <c r="F21" s="796">
        <f t="shared" si="3"/>
        <v>1227.23</v>
      </c>
      <c r="G21" s="796">
        <f t="shared" si="4"/>
        <v>0</v>
      </c>
      <c r="H21" s="796">
        <f t="shared" si="5"/>
        <v>0</v>
      </c>
      <c r="I21" s="796">
        <f t="shared" si="6"/>
        <v>0</v>
      </c>
      <c r="J21" s="797">
        <f t="shared" si="7"/>
        <v>0</v>
      </c>
      <c r="K21" s="451">
        <f t="shared" si="11"/>
        <v>36095.000000000007</v>
      </c>
      <c r="L21" s="460" t="s">
        <v>374</v>
      </c>
      <c r="M21" s="239" t="s">
        <v>245</v>
      </c>
      <c r="N21" s="473"/>
      <c r="O21" s="235"/>
      <c r="P21" s="234"/>
      <c r="Q21" s="473"/>
      <c r="R21" s="235"/>
      <c r="S21" s="234"/>
      <c r="T21" s="473"/>
      <c r="U21" s="235"/>
      <c r="V21" s="234"/>
      <c r="W21" s="473"/>
      <c r="X21" s="235"/>
      <c r="Y21" s="234"/>
      <c r="Z21" s="473"/>
      <c r="AA21" s="235"/>
      <c r="AB21" s="234"/>
      <c r="AC21" s="473"/>
      <c r="AD21" s="235"/>
      <c r="AE21" s="234"/>
      <c r="AF21" s="473"/>
      <c r="AG21" s="235"/>
      <c r="AH21" s="234"/>
      <c r="AI21" s="429"/>
      <c r="AJ21" s="235"/>
      <c r="AK21" s="241" t="str">
        <f t="shared" si="8"/>
        <v/>
      </c>
      <c r="AL21" s="477" t="str">
        <f t="shared" si="9"/>
        <v/>
      </c>
      <c r="AM21" s="279" t="str">
        <f t="shared" si="10"/>
        <v/>
      </c>
      <c r="AN21" s="305"/>
      <c r="AO21" s="439"/>
      <c r="AP21" s="431"/>
      <c r="AQ21" s="322"/>
      <c r="AR21" s="323"/>
      <c r="AS21" s="322"/>
      <c r="AT21" s="323"/>
      <c r="AU21" s="397"/>
      <c r="AV21" s="396"/>
      <c r="AW21" s="327" t="s">
        <v>377</v>
      </c>
      <c r="AX21" s="453" t="s">
        <v>376</v>
      </c>
      <c r="BA21" s="440"/>
      <c r="BC21" s="442"/>
      <c r="BD21" s="442"/>
      <c r="BE21" s="442"/>
      <c r="BF21" s="442"/>
    </row>
    <row r="22" spans="1:58" x14ac:dyDescent="0.3">
      <c r="A22" s="425" t="s">
        <v>373</v>
      </c>
      <c r="B22" s="427">
        <v>1998</v>
      </c>
      <c r="C22" s="798">
        <f t="shared" si="0"/>
        <v>408.36500000000001</v>
      </c>
      <c r="D22" s="799">
        <f t="shared" si="1"/>
        <v>6079.2449999999999</v>
      </c>
      <c r="E22" s="800">
        <f t="shared" si="2"/>
        <v>0</v>
      </c>
      <c r="F22" s="799">
        <f t="shared" si="3"/>
        <v>1217.3900000000001</v>
      </c>
      <c r="G22" s="799">
        <f t="shared" si="4"/>
        <v>0</v>
      </c>
      <c r="H22" s="796">
        <f t="shared" si="5"/>
        <v>0</v>
      </c>
      <c r="I22" s="796">
        <f t="shared" si="6"/>
        <v>0</v>
      </c>
      <c r="J22" s="797">
        <f t="shared" si="7"/>
        <v>0</v>
      </c>
      <c r="K22" s="451">
        <f t="shared" si="11"/>
        <v>7705</v>
      </c>
      <c r="L22" s="460" t="s">
        <v>374</v>
      </c>
      <c r="M22" s="239" t="s">
        <v>245</v>
      </c>
      <c r="N22" s="473"/>
      <c r="O22" s="235"/>
      <c r="P22" s="234"/>
      <c r="Q22" s="473"/>
      <c r="R22" s="235"/>
      <c r="S22" s="234"/>
      <c r="T22" s="473"/>
      <c r="U22" s="235"/>
      <c r="V22" s="234"/>
      <c r="W22" s="473"/>
      <c r="X22" s="235"/>
      <c r="Y22" s="234"/>
      <c r="Z22" s="473"/>
      <c r="AA22" s="235"/>
      <c r="AB22" s="234"/>
      <c r="AC22" s="473"/>
      <c r="AD22" s="235"/>
      <c r="AE22" s="234"/>
      <c r="AF22" s="473"/>
      <c r="AG22" s="235"/>
      <c r="AH22" s="234"/>
      <c r="AI22" s="429"/>
      <c r="AJ22" s="235"/>
      <c r="AK22" s="241" t="str">
        <f t="shared" si="8"/>
        <v/>
      </c>
      <c r="AL22" s="477" t="str">
        <f t="shared" si="9"/>
        <v/>
      </c>
      <c r="AM22" s="279" t="str">
        <f t="shared" si="10"/>
        <v/>
      </c>
      <c r="AN22" s="305"/>
      <c r="AO22" s="439"/>
      <c r="AP22" s="431"/>
      <c r="AQ22" s="322"/>
      <c r="AR22" s="323"/>
      <c r="AS22" s="322"/>
      <c r="AT22" s="323"/>
      <c r="AU22" s="397"/>
      <c r="AV22" s="699" t="s">
        <v>254</v>
      </c>
      <c r="AW22" s="327" t="s">
        <v>377</v>
      </c>
      <c r="AX22" s="453" t="s">
        <v>376</v>
      </c>
      <c r="BA22" s="440"/>
      <c r="BC22" s="442"/>
      <c r="BD22" s="442"/>
      <c r="BE22" s="442"/>
      <c r="BF22" s="442"/>
    </row>
    <row r="23" spans="1:58" x14ac:dyDescent="0.3">
      <c r="A23" s="425" t="s">
        <v>373</v>
      </c>
      <c r="B23" s="427">
        <v>1999</v>
      </c>
      <c r="C23" s="798">
        <f t="shared" si="0"/>
        <v>1903.6063936063938</v>
      </c>
      <c r="D23" s="799">
        <f t="shared" si="1"/>
        <v>14176.858141858142</v>
      </c>
      <c r="E23" s="799">
        <f t="shared" si="2"/>
        <v>634.5354645354646</v>
      </c>
      <c r="F23" s="800">
        <f t="shared" si="3"/>
        <v>0</v>
      </c>
      <c r="G23" s="800">
        <f t="shared" si="4"/>
        <v>0</v>
      </c>
      <c r="H23" s="796">
        <f t="shared" si="5"/>
        <v>0</v>
      </c>
      <c r="I23" s="796">
        <f t="shared" si="6"/>
        <v>0</v>
      </c>
      <c r="J23" s="797">
        <f t="shared" si="7"/>
        <v>0</v>
      </c>
      <c r="K23" s="1646">
        <f t="shared" si="11"/>
        <v>16715</v>
      </c>
      <c r="L23" s="460" t="s">
        <v>374</v>
      </c>
      <c r="M23" s="239" t="s">
        <v>245</v>
      </c>
      <c r="N23" s="473"/>
      <c r="O23" s="235"/>
      <c r="P23" s="234"/>
      <c r="Q23" s="473"/>
      <c r="R23" s="235"/>
      <c r="S23" s="234"/>
      <c r="T23" s="473"/>
      <c r="U23" s="235"/>
      <c r="V23" s="234"/>
      <c r="W23" s="473"/>
      <c r="X23" s="235"/>
      <c r="Y23" s="234"/>
      <c r="Z23" s="473"/>
      <c r="AA23" s="235"/>
      <c r="AB23" s="234"/>
      <c r="AC23" s="473"/>
      <c r="AD23" s="235"/>
      <c r="AE23" s="234"/>
      <c r="AF23" s="473"/>
      <c r="AG23" s="235"/>
      <c r="AH23" s="234"/>
      <c r="AI23" s="429"/>
      <c r="AJ23" s="235"/>
      <c r="AK23" s="241" t="str">
        <f t="shared" si="8"/>
        <v/>
      </c>
      <c r="AL23" s="477" t="str">
        <f t="shared" si="9"/>
        <v/>
      </c>
      <c r="AM23" s="279" t="str">
        <f t="shared" si="10"/>
        <v/>
      </c>
      <c r="AN23" s="305"/>
      <c r="AO23" s="439"/>
      <c r="AP23" s="431"/>
      <c r="AQ23" s="322"/>
      <c r="AR23" s="323"/>
      <c r="AS23" s="322"/>
      <c r="AT23" s="323"/>
      <c r="AU23" s="397"/>
      <c r="AV23" s="396" t="s">
        <v>245</v>
      </c>
      <c r="AW23" s="327" t="s">
        <v>377</v>
      </c>
      <c r="AX23" s="453" t="s">
        <v>376</v>
      </c>
      <c r="BA23" s="440"/>
      <c r="BC23" s="442"/>
      <c r="BD23" s="442"/>
      <c r="BE23" s="442"/>
      <c r="BF23" s="442"/>
    </row>
    <row r="24" spans="1:58" x14ac:dyDescent="0.3">
      <c r="A24" s="425" t="s">
        <v>373</v>
      </c>
      <c r="B24" s="427">
        <v>2000</v>
      </c>
      <c r="C24" s="798">
        <f t="shared" si="0"/>
        <v>9602.5799999999981</v>
      </c>
      <c r="D24" s="799">
        <f t="shared" si="1"/>
        <v>62047.439999999981</v>
      </c>
      <c r="E24" s="799">
        <f t="shared" si="2"/>
        <v>738.65999999999985</v>
      </c>
      <c r="F24" s="799">
        <f t="shared" si="3"/>
        <v>738.65999999999985</v>
      </c>
      <c r="G24" s="799">
        <f t="shared" si="4"/>
        <v>738.65999999999985</v>
      </c>
      <c r="H24" s="796">
        <f t="shared" si="5"/>
        <v>0</v>
      </c>
      <c r="I24" s="796">
        <f t="shared" si="6"/>
        <v>0</v>
      </c>
      <c r="J24" s="797">
        <f t="shared" si="7"/>
        <v>0</v>
      </c>
      <c r="K24" s="1646">
        <f t="shared" si="11"/>
        <v>73865.999999999985</v>
      </c>
      <c r="L24" s="460" t="s">
        <v>374</v>
      </c>
      <c r="M24" s="239" t="s">
        <v>245</v>
      </c>
      <c r="N24" s="473"/>
      <c r="O24" s="235"/>
      <c r="P24" s="234"/>
      <c r="Q24" s="473"/>
      <c r="R24" s="235"/>
      <c r="S24" s="234"/>
      <c r="T24" s="473"/>
      <c r="U24" s="235"/>
      <c r="V24" s="234"/>
      <c r="W24" s="473"/>
      <c r="X24" s="235"/>
      <c r="Y24" s="234"/>
      <c r="Z24" s="473"/>
      <c r="AA24" s="235"/>
      <c r="AB24" s="234"/>
      <c r="AC24" s="473"/>
      <c r="AD24" s="235"/>
      <c r="AE24" s="234"/>
      <c r="AF24" s="473"/>
      <c r="AG24" s="235"/>
      <c r="AH24" s="234"/>
      <c r="AI24" s="429"/>
      <c r="AJ24" s="235"/>
      <c r="AK24" s="241" t="str">
        <f t="shared" si="8"/>
        <v/>
      </c>
      <c r="AL24" s="477" t="str">
        <f t="shared" si="9"/>
        <v/>
      </c>
      <c r="AM24" s="279" t="str">
        <f t="shared" si="10"/>
        <v/>
      </c>
      <c r="AN24" s="305"/>
      <c r="AO24" s="439"/>
      <c r="AP24" s="431"/>
      <c r="AQ24" s="322"/>
      <c r="AR24" s="323"/>
      <c r="AS24" s="322"/>
      <c r="AT24" s="323"/>
      <c r="AU24" s="397"/>
      <c r="AV24" s="396" t="s">
        <v>245</v>
      </c>
      <c r="AW24" s="327" t="s">
        <v>377</v>
      </c>
      <c r="AX24" s="453" t="s">
        <v>376</v>
      </c>
      <c r="BA24" s="440"/>
      <c r="BC24" s="442"/>
      <c r="BD24" s="442"/>
      <c r="BE24" s="442"/>
      <c r="BF24" s="442"/>
    </row>
    <row r="25" spans="1:58" x14ac:dyDescent="0.3">
      <c r="A25" s="425" t="s">
        <v>373</v>
      </c>
      <c r="B25" s="427">
        <v>2001</v>
      </c>
      <c r="C25" s="798">
        <f t="shared" si="0"/>
        <v>2762.3862477249545</v>
      </c>
      <c r="D25" s="799">
        <f t="shared" si="1"/>
        <v>79020.988419768371</v>
      </c>
      <c r="E25" s="799">
        <f t="shared" si="2"/>
        <v>41.017250345006893</v>
      </c>
      <c r="F25" s="799">
        <f t="shared" si="3"/>
        <v>1841.590831816636</v>
      </c>
      <c r="G25" s="799">
        <f t="shared" si="4"/>
        <v>41.017250345006893</v>
      </c>
      <c r="H25" s="796">
        <f t="shared" si="5"/>
        <v>0</v>
      </c>
      <c r="I25" s="796">
        <f t="shared" si="6"/>
        <v>0</v>
      </c>
      <c r="J25" s="797">
        <f t="shared" si="7"/>
        <v>0</v>
      </c>
      <c r="K25" s="1646">
        <f t="shared" si="11"/>
        <v>83706.999999999956</v>
      </c>
      <c r="L25" s="460" t="s">
        <v>374</v>
      </c>
      <c r="M25" s="239" t="s">
        <v>245</v>
      </c>
      <c r="N25" s="473"/>
      <c r="O25" s="235"/>
      <c r="P25" s="234"/>
      <c r="Q25" s="473"/>
      <c r="R25" s="235"/>
      <c r="S25" s="234"/>
      <c r="T25" s="473"/>
      <c r="U25" s="235"/>
      <c r="V25" s="234"/>
      <c r="W25" s="473"/>
      <c r="X25" s="235"/>
      <c r="Y25" s="234"/>
      <c r="Z25" s="473"/>
      <c r="AA25" s="235"/>
      <c r="AB25" s="234"/>
      <c r="AC25" s="473"/>
      <c r="AD25" s="235"/>
      <c r="AE25" s="234"/>
      <c r="AF25" s="473"/>
      <c r="AG25" s="235"/>
      <c r="AH25" s="234"/>
      <c r="AI25" s="429"/>
      <c r="AJ25" s="235"/>
      <c r="AK25" s="241" t="str">
        <f t="shared" si="8"/>
        <v/>
      </c>
      <c r="AL25" s="477" t="str">
        <f t="shared" si="9"/>
        <v/>
      </c>
      <c r="AM25" s="279" t="str">
        <f t="shared" si="10"/>
        <v/>
      </c>
      <c r="AN25" s="305"/>
      <c r="AO25" s="439"/>
      <c r="AP25" s="431"/>
      <c r="AQ25" s="322"/>
      <c r="AR25" s="323"/>
      <c r="AS25" s="322"/>
      <c r="AT25" s="323"/>
      <c r="AU25" s="397"/>
      <c r="AV25" s="396" t="s">
        <v>245</v>
      </c>
      <c r="AW25" s="327" t="s">
        <v>377</v>
      </c>
      <c r="AX25" s="453" t="s">
        <v>376</v>
      </c>
      <c r="BA25" s="440"/>
      <c r="BC25" s="442"/>
      <c r="BD25" s="442"/>
      <c r="BE25" s="442"/>
      <c r="BF25" s="442"/>
    </row>
    <row r="26" spans="1:58" x14ac:dyDescent="0.3">
      <c r="A26" s="425" t="s">
        <v>373</v>
      </c>
      <c r="B26" s="427">
        <v>2002</v>
      </c>
      <c r="C26" s="1308">
        <f t="shared" si="0"/>
        <v>288.12</v>
      </c>
      <c r="D26" s="1309">
        <f t="shared" si="1"/>
        <v>7159.7820000000002</v>
      </c>
      <c r="E26" s="1309">
        <f t="shared" si="2"/>
        <v>187.27799999999999</v>
      </c>
      <c r="F26" s="1309">
        <f t="shared" si="3"/>
        <v>2132.0879999999997</v>
      </c>
      <c r="G26" s="1309">
        <f t="shared" si="4"/>
        <v>3183.7260000000001</v>
      </c>
      <c r="H26" s="803">
        <f t="shared" si="5"/>
        <v>0</v>
      </c>
      <c r="I26" s="796">
        <f t="shared" si="6"/>
        <v>1455.0060000000001</v>
      </c>
      <c r="J26" s="797">
        <f t="shared" si="7"/>
        <v>0</v>
      </c>
      <c r="K26" s="1646">
        <f t="shared" si="11"/>
        <v>14406</v>
      </c>
      <c r="L26" s="460" t="s">
        <v>374</v>
      </c>
      <c r="M26" s="239" t="s">
        <v>245</v>
      </c>
      <c r="N26" s="473"/>
      <c r="O26" s="235"/>
      <c r="P26" s="234"/>
      <c r="Q26" s="473"/>
      <c r="R26" s="235"/>
      <c r="S26" s="234"/>
      <c r="T26" s="473"/>
      <c r="U26" s="235"/>
      <c r="V26" s="234"/>
      <c r="W26" s="473"/>
      <c r="X26" s="235"/>
      <c r="Y26" s="234"/>
      <c r="Z26" s="473"/>
      <c r="AA26" s="235"/>
      <c r="AB26" s="234"/>
      <c r="AC26" s="473"/>
      <c r="AD26" s="235"/>
      <c r="AE26" s="234"/>
      <c r="AF26" s="473"/>
      <c r="AG26" s="235"/>
      <c r="AH26" s="234"/>
      <c r="AI26" s="429"/>
      <c r="AJ26" s="235"/>
      <c r="AK26" s="241" t="str">
        <f t="shared" si="8"/>
        <v/>
      </c>
      <c r="AL26" s="477" t="str">
        <f t="shared" si="9"/>
        <v/>
      </c>
      <c r="AM26" s="279" t="str">
        <f t="shared" si="10"/>
        <v/>
      </c>
      <c r="AN26" s="305"/>
      <c r="AO26" s="439"/>
      <c r="AP26" s="431"/>
      <c r="AQ26" s="322"/>
      <c r="AR26" s="323"/>
      <c r="AS26" s="322"/>
      <c r="AT26" s="323"/>
      <c r="AU26" s="397"/>
      <c r="AV26" s="396" t="s">
        <v>245</v>
      </c>
      <c r="AW26" s="327" t="s">
        <v>377</v>
      </c>
      <c r="AX26" s="453" t="s">
        <v>376</v>
      </c>
      <c r="BA26" s="440"/>
      <c r="BC26" s="442"/>
      <c r="BD26" s="442"/>
      <c r="BE26" s="442"/>
      <c r="BF26" s="442"/>
    </row>
    <row r="27" spans="1:58" x14ac:dyDescent="0.3">
      <c r="A27" s="425" t="s">
        <v>373</v>
      </c>
      <c r="B27" s="427">
        <v>2003</v>
      </c>
      <c r="C27" s="798">
        <f t="shared" si="0"/>
        <v>1935.7276595744679</v>
      </c>
      <c r="D27" s="799">
        <f t="shared" si="1"/>
        <v>29035.91489361702</v>
      </c>
      <c r="E27" s="799">
        <f t="shared" si="2"/>
        <v>0</v>
      </c>
      <c r="F27" s="799">
        <f t="shared" si="3"/>
        <v>4020.3574468085108</v>
      </c>
      <c r="G27" s="799">
        <f t="shared" si="4"/>
        <v>0</v>
      </c>
      <c r="H27" s="796">
        <f t="shared" si="5"/>
        <v>0</v>
      </c>
      <c r="I27" s="796">
        <f t="shared" si="6"/>
        <v>0</v>
      </c>
      <c r="J27" s="804">
        <f t="shared" si="7"/>
        <v>0</v>
      </c>
      <c r="K27" s="1646">
        <f t="shared" si="11"/>
        <v>34992</v>
      </c>
      <c r="L27" s="460" t="s">
        <v>374</v>
      </c>
      <c r="M27" s="239" t="s">
        <v>245</v>
      </c>
      <c r="N27" s="473"/>
      <c r="O27" s="235"/>
      <c r="P27" s="234"/>
      <c r="Q27" s="473"/>
      <c r="R27" s="235"/>
      <c r="S27" s="234"/>
      <c r="T27" s="473"/>
      <c r="U27" s="235"/>
      <c r="V27" s="234"/>
      <c r="W27" s="473"/>
      <c r="X27" s="235"/>
      <c r="Y27" s="234"/>
      <c r="Z27" s="473"/>
      <c r="AA27" s="235"/>
      <c r="AB27" s="234"/>
      <c r="AC27" s="473"/>
      <c r="AD27" s="235"/>
      <c r="AE27" s="234"/>
      <c r="AF27" s="473"/>
      <c r="AG27" s="235"/>
      <c r="AH27" s="234"/>
      <c r="AI27" s="473"/>
      <c r="AJ27" s="235"/>
      <c r="AK27" s="241" t="str">
        <f t="shared" si="8"/>
        <v/>
      </c>
      <c r="AL27" s="477" t="str">
        <f t="shared" si="9"/>
        <v/>
      </c>
      <c r="AM27" s="279" t="str">
        <f t="shared" si="10"/>
        <v/>
      </c>
      <c r="AN27" s="305"/>
      <c r="AO27" s="439"/>
      <c r="AP27" s="431"/>
      <c r="AQ27" s="322"/>
      <c r="AR27" s="323"/>
      <c r="AS27" s="322"/>
      <c r="AT27" s="323"/>
      <c r="AU27" s="397"/>
      <c r="AV27" s="699" t="s">
        <v>263</v>
      </c>
      <c r="AW27" s="327" t="s">
        <v>377</v>
      </c>
      <c r="AX27" s="453" t="s">
        <v>376</v>
      </c>
      <c r="BA27" s="440"/>
      <c r="BC27" s="442"/>
      <c r="BD27" s="442"/>
      <c r="BE27" s="442"/>
      <c r="BF27" s="442"/>
    </row>
    <row r="28" spans="1:58" x14ac:dyDescent="0.3">
      <c r="A28" s="425" t="s">
        <v>373</v>
      </c>
      <c r="B28" s="427">
        <v>2004</v>
      </c>
      <c r="C28" s="798">
        <f t="shared" si="0"/>
        <v>2423.8513238289206</v>
      </c>
      <c r="D28" s="799">
        <f t="shared" si="1"/>
        <v>87258.647657841138</v>
      </c>
      <c r="E28" s="799">
        <f t="shared" si="2"/>
        <v>0</v>
      </c>
      <c r="F28" s="800">
        <f t="shared" si="3"/>
        <v>1678.0509164969449</v>
      </c>
      <c r="G28" s="799">
        <f t="shared" si="4"/>
        <v>186.45010183299388</v>
      </c>
      <c r="H28" s="796">
        <f t="shared" si="5"/>
        <v>0</v>
      </c>
      <c r="I28" s="796">
        <f t="shared" si="6"/>
        <v>0</v>
      </c>
      <c r="J28" s="797">
        <f t="shared" si="7"/>
        <v>0</v>
      </c>
      <c r="K28" s="1646">
        <f t="shared" si="11"/>
        <v>91546.999999999985</v>
      </c>
      <c r="L28" s="460" t="s">
        <v>374</v>
      </c>
      <c r="M28" s="239" t="s">
        <v>245</v>
      </c>
      <c r="N28" s="473"/>
      <c r="O28" s="235"/>
      <c r="P28" s="234"/>
      <c r="Q28" s="473"/>
      <c r="R28" s="235"/>
      <c r="S28" s="234"/>
      <c r="T28" s="473"/>
      <c r="U28" s="235"/>
      <c r="V28" s="234"/>
      <c r="W28" s="473"/>
      <c r="X28" s="235"/>
      <c r="Y28" s="234"/>
      <c r="Z28" s="473"/>
      <c r="AA28" s="235"/>
      <c r="AB28" s="234"/>
      <c r="AC28" s="473"/>
      <c r="AD28" s="235"/>
      <c r="AE28" s="234"/>
      <c r="AF28" s="473"/>
      <c r="AG28" s="235"/>
      <c r="AH28" s="234"/>
      <c r="AI28" s="473"/>
      <c r="AJ28" s="235"/>
      <c r="AK28" s="241" t="str">
        <f t="shared" si="8"/>
        <v/>
      </c>
      <c r="AL28" s="477" t="str">
        <f t="shared" si="9"/>
        <v/>
      </c>
      <c r="AM28" s="279" t="str">
        <f t="shared" si="10"/>
        <v/>
      </c>
      <c r="AN28" s="305"/>
      <c r="AO28" s="439"/>
      <c r="AP28" s="431"/>
      <c r="AQ28" s="322"/>
      <c r="AR28" s="323"/>
      <c r="AS28" s="322"/>
      <c r="AT28" s="323"/>
      <c r="AU28" s="397"/>
      <c r="AV28" s="396"/>
      <c r="AW28" s="327" t="s">
        <v>377</v>
      </c>
      <c r="AX28" s="453" t="s">
        <v>376</v>
      </c>
      <c r="BA28" s="440"/>
      <c r="BC28" s="442"/>
      <c r="BD28" s="442"/>
      <c r="BE28" s="442"/>
      <c r="BF28" s="442"/>
    </row>
    <row r="29" spans="1:58" x14ac:dyDescent="0.3">
      <c r="A29" s="425" t="s">
        <v>373</v>
      </c>
      <c r="B29" s="427">
        <v>2005</v>
      </c>
      <c r="C29" s="798">
        <f t="shared" si="0"/>
        <v>215.94890510948903</v>
      </c>
      <c r="D29" s="799">
        <f t="shared" si="1"/>
        <v>57010.51094890511</v>
      </c>
      <c r="E29" s="799">
        <f t="shared" si="2"/>
        <v>0</v>
      </c>
      <c r="F29" s="799">
        <f t="shared" si="3"/>
        <v>1727.5912408759123</v>
      </c>
      <c r="G29" s="799">
        <f t="shared" si="4"/>
        <v>215.94890510948903</v>
      </c>
      <c r="H29" s="796">
        <f t="shared" si="5"/>
        <v>0</v>
      </c>
      <c r="I29" s="796">
        <f t="shared" si="6"/>
        <v>0</v>
      </c>
      <c r="J29" s="797">
        <f t="shared" si="7"/>
        <v>0</v>
      </c>
      <c r="K29" s="1646">
        <f t="shared" si="11"/>
        <v>59169.999999999993</v>
      </c>
      <c r="L29" s="460" t="s">
        <v>374</v>
      </c>
      <c r="M29" s="239" t="s">
        <v>245</v>
      </c>
      <c r="N29" s="473"/>
      <c r="O29" s="235"/>
      <c r="P29" s="234"/>
      <c r="Q29" s="473"/>
      <c r="R29" s="235"/>
      <c r="S29" s="234"/>
      <c r="T29" s="473"/>
      <c r="U29" s="235"/>
      <c r="V29" s="234"/>
      <c r="W29" s="473"/>
      <c r="X29" s="235"/>
      <c r="Y29" s="234"/>
      <c r="Z29" s="473"/>
      <c r="AA29" s="235"/>
      <c r="AB29" s="234"/>
      <c r="AC29" s="473"/>
      <c r="AD29" s="235"/>
      <c r="AE29" s="234"/>
      <c r="AF29" s="473"/>
      <c r="AG29" s="235"/>
      <c r="AH29" s="234"/>
      <c r="AI29" s="429"/>
      <c r="AJ29" s="235"/>
      <c r="AK29" s="241" t="str">
        <f t="shared" si="8"/>
        <v/>
      </c>
      <c r="AL29" s="477" t="str">
        <f t="shared" si="9"/>
        <v/>
      </c>
      <c r="AM29" s="279" t="str">
        <f t="shared" si="10"/>
        <v/>
      </c>
      <c r="AN29" s="305"/>
      <c r="AO29" s="439"/>
      <c r="AP29" s="431"/>
      <c r="AQ29" s="322"/>
      <c r="AR29" s="323"/>
      <c r="AS29" s="322"/>
      <c r="AT29" s="323"/>
      <c r="AU29" s="397"/>
      <c r="AV29" s="396" t="s">
        <v>245</v>
      </c>
      <c r="AW29" s="327" t="s">
        <v>377</v>
      </c>
      <c r="AX29" s="453" t="s">
        <v>376</v>
      </c>
      <c r="BA29" s="440"/>
      <c r="BC29" s="442"/>
      <c r="BD29" s="442"/>
      <c r="BE29" s="442"/>
      <c r="BF29" s="442"/>
    </row>
    <row r="30" spans="1:58" x14ac:dyDescent="0.3">
      <c r="A30" s="425" t="s">
        <v>373</v>
      </c>
      <c r="B30" s="427">
        <v>2006</v>
      </c>
      <c r="C30" s="798">
        <f t="shared" si="0"/>
        <v>65.75238095238096</v>
      </c>
      <c r="D30" s="799">
        <f t="shared" si="1"/>
        <v>24394.133333333331</v>
      </c>
      <c r="E30" s="799">
        <f t="shared" si="2"/>
        <v>0</v>
      </c>
      <c r="F30" s="799">
        <f t="shared" si="3"/>
        <v>3024.6095238095236</v>
      </c>
      <c r="G30" s="799">
        <f t="shared" si="4"/>
        <v>131.50476190476192</v>
      </c>
      <c r="H30" s="799">
        <f t="shared" si="5"/>
        <v>0</v>
      </c>
      <c r="I30" s="796">
        <f t="shared" si="6"/>
        <v>0</v>
      </c>
      <c r="J30" s="797">
        <f t="shared" si="7"/>
        <v>0</v>
      </c>
      <c r="K30" s="1646">
        <f t="shared" si="11"/>
        <v>27615.999999999996</v>
      </c>
      <c r="L30" s="460" t="s">
        <v>374</v>
      </c>
      <c r="M30" s="239" t="s">
        <v>245</v>
      </c>
      <c r="N30" s="473"/>
      <c r="O30" s="235"/>
      <c r="P30" s="234"/>
      <c r="Q30" s="473"/>
      <c r="R30" s="235"/>
      <c r="S30" s="234"/>
      <c r="T30" s="473"/>
      <c r="U30" s="235"/>
      <c r="V30" s="234"/>
      <c r="W30" s="473"/>
      <c r="X30" s="235"/>
      <c r="Y30" s="234"/>
      <c r="Z30" s="473"/>
      <c r="AA30" s="235"/>
      <c r="AB30" s="234"/>
      <c r="AC30" s="473"/>
      <c r="AD30" s="235"/>
      <c r="AE30" s="234"/>
      <c r="AF30" s="473"/>
      <c r="AG30" s="235"/>
      <c r="AH30" s="234"/>
      <c r="AI30" s="429"/>
      <c r="AJ30" s="235"/>
      <c r="AK30" s="241" t="str">
        <f t="shared" si="8"/>
        <v/>
      </c>
      <c r="AL30" s="477" t="str">
        <f t="shared" si="9"/>
        <v/>
      </c>
      <c r="AM30" s="279" t="str">
        <f t="shared" si="10"/>
        <v/>
      </c>
      <c r="AN30" s="305"/>
      <c r="AO30" s="439"/>
      <c r="AP30" s="431"/>
      <c r="AQ30" s="322"/>
      <c r="AR30" s="323"/>
      <c r="AS30" s="322"/>
      <c r="AT30" s="323"/>
      <c r="AU30" s="397"/>
      <c r="AV30" s="396" t="s">
        <v>245</v>
      </c>
      <c r="AW30" s="327" t="s">
        <v>377</v>
      </c>
      <c r="AX30" s="453" t="s">
        <v>376</v>
      </c>
      <c r="BA30" s="440"/>
      <c r="BC30" s="442"/>
      <c r="BD30" s="442"/>
      <c r="BE30" s="442"/>
      <c r="BF30" s="442"/>
    </row>
    <row r="31" spans="1:58" x14ac:dyDescent="0.3">
      <c r="A31" s="425" t="s">
        <v>373</v>
      </c>
      <c r="B31" s="427">
        <v>2007</v>
      </c>
      <c r="C31" s="798">
        <f t="shared" si="0"/>
        <v>4842.6654741505417</v>
      </c>
      <c r="D31" s="799">
        <f t="shared" si="1"/>
        <v>10268.784619885486</v>
      </c>
      <c r="E31" s="799">
        <f t="shared" si="2"/>
        <v>1458.6341789610065</v>
      </c>
      <c r="F31" s="799">
        <f t="shared" si="3"/>
        <v>2858.9229907635727</v>
      </c>
      <c r="G31" s="799">
        <f t="shared" si="4"/>
        <v>175.03610147532078</v>
      </c>
      <c r="H31" s="799">
        <f t="shared" si="5"/>
        <v>58.345367158440261</v>
      </c>
      <c r="I31" s="796">
        <f t="shared" si="6"/>
        <v>0</v>
      </c>
      <c r="J31" s="797">
        <f t="shared" si="7"/>
        <v>0</v>
      </c>
      <c r="K31" s="1646">
        <f t="shared" si="11"/>
        <v>19662.388732394367</v>
      </c>
      <c r="L31" s="460" t="s">
        <v>374</v>
      </c>
      <c r="M31" s="239" t="s">
        <v>245</v>
      </c>
      <c r="N31" s="473"/>
      <c r="O31" s="235"/>
      <c r="P31" s="234"/>
      <c r="Q31" s="473"/>
      <c r="R31" s="235"/>
      <c r="S31" s="234"/>
      <c r="T31" s="473"/>
      <c r="U31" s="235"/>
      <c r="V31" s="234"/>
      <c r="W31" s="473"/>
      <c r="X31" s="235"/>
      <c r="Y31" s="234"/>
      <c r="Z31" s="473"/>
      <c r="AA31" s="235"/>
      <c r="AB31" s="234"/>
      <c r="AC31" s="473"/>
      <c r="AD31" s="235"/>
      <c r="AE31" s="234"/>
      <c r="AF31" s="473"/>
      <c r="AG31" s="235"/>
      <c r="AH31" s="234"/>
      <c r="AI31" s="429"/>
      <c r="AJ31" s="235"/>
      <c r="AK31" s="241" t="str">
        <f t="shared" si="8"/>
        <v/>
      </c>
      <c r="AL31" s="477" t="str">
        <f t="shared" si="9"/>
        <v/>
      </c>
      <c r="AM31" s="279" t="str">
        <f t="shared" si="10"/>
        <v/>
      </c>
      <c r="AN31" s="305"/>
      <c r="AO31" s="439"/>
      <c r="AP31" s="431"/>
      <c r="AQ31" s="322"/>
      <c r="AR31" s="323"/>
      <c r="AS31" s="322"/>
      <c r="AT31" s="323"/>
      <c r="AU31" s="397"/>
      <c r="AV31" s="396" t="s">
        <v>245</v>
      </c>
      <c r="AW31" s="327" t="s">
        <v>377</v>
      </c>
      <c r="AX31" s="453" t="s">
        <v>376</v>
      </c>
      <c r="BA31" s="440"/>
      <c r="BC31" s="442"/>
      <c r="BD31" s="442"/>
      <c r="BE31" s="442"/>
      <c r="BF31" s="442"/>
    </row>
    <row r="32" spans="1:58" x14ac:dyDescent="0.3">
      <c r="A32" s="425" t="s">
        <v>373</v>
      </c>
      <c r="B32" s="427">
        <v>2008</v>
      </c>
      <c r="C32" s="798">
        <f t="shared" si="0"/>
        <v>7110.8493723849369</v>
      </c>
      <c r="D32" s="799">
        <f t="shared" si="1"/>
        <v>169163.36401673639</v>
      </c>
      <c r="E32" s="799">
        <f t="shared" si="2"/>
        <v>0</v>
      </c>
      <c r="F32" s="799">
        <f t="shared" si="3"/>
        <v>1871.2761506276149</v>
      </c>
      <c r="G32" s="799">
        <f t="shared" si="4"/>
        <v>748.51046025104597</v>
      </c>
      <c r="H32" s="799">
        <f t="shared" si="5"/>
        <v>0</v>
      </c>
      <c r="I32" s="796">
        <f t="shared" si="6"/>
        <v>0</v>
      </c>
      <c r="J32" s="797">
        <f t="shared" si="7"/>
        <v>0</v>
      </c>
      <c r="K32" s="1646">
        <f t="shared" si="11"/>
        <v>178893.99999999997</v>
      </c>
      <c r="L32" s="460" t="s">
        <v>374</v>
      </c>
      <c r="M32" s="239" t="s">
        <v>245</v>
      </c>
      <c r="N32" s="473"/>
      <c r="O32" s="235"/>
      <c r="P32" s="234"/>
      <c r="Q32" s="473"/>
      <c r="R32" s="235"/>
      <c r="S32" s="234"/>
      <c r="T32" s="473"/>
      <c r="U32" s="235"/>
      <c r="V32" s="234"/>
      <c r="W32" s="473"/>
      <c r="X32" s="235"/>
      <c r="Y32" s="234"/>
      <c r="Z32" s="473"/>
      <c r="AA32" s="235"/>
      <c r="AB32" s="234"/>
      <c r="AC32" s="473"/>
      <c r="AD32" s="235"/>
      <c r="AE32" s="234"/>
      <c r="AF32" s="473"/>
      <c r="AG32" s="235"/>
      <c r="AH32" s="234"/>
      <c r="AI32" s="429"/>
      <c r="AJ32" s="235"/>
      <c r="AK32" s="241" t="str">
        <f t="shared" si="8"/>
        <v/>
      </c>
      <c r="AL32" s="477" t="str">
        <f t="shared" si="9"/>
        <v/>
      </c>
      <c r="AM32" s="279" t="str">
        <f t="shared" si="10"/>
        <v/>
      </c>
      <c r="AN32" s="305"/>
      <c r="AO32" s="439"/>
      <c r="AP32" s="431"/>
      <c r="AQ32" s="322"/>
      <c r="AR32" s="323"/>
      <c r="AS32" s="322"/>
      <c r="AT32" s="323"/>
      <c r="AU32" s="397"/>
      <c r="AV32" s="396" t="s">
        <v>245</v>
      </c>
      <c r="AW32" s="327" t="s">
        <v>377</v>
      </c>
      <c r="AX32" s="453" t="s">
        <v>376</v>
      </c>
      <c r="BA32" s="440"/>
      <c r="BC32" s="442"/>
      <c r="BD32" s="442"/>
      <c r="BE32" s="442"/>
      <c r="BF32" s="442"/>
    </row>
    <row r="33" spans="1:58" x14ac:dyDescent="0.3">
      <c r="A33" s="425" t="s">
        <v>373</v>
      </c>
      <c r="B33" s="427">
        <v>2009</v>
      </c>
      <c r="C33" s="798">
        <f t="shared" si="0"/>
        <v>3184.2117647058822</v>
      </c>
      <c r="D33" s="799">
        <f t="shared" si="1"/>
        <v>119009.91470588234</v>
      </c>
      <c r="E33" s="799">
        <f t="shared" si="2"/>
        <v>0</v>
      </c>
      <c r="F33" s="799">
        <f t="shared" si="3"/>
        <v>7960.5294117647054</v>
      </c>
      <c r="G33" s="799">
        <f t="shared" si="4"/>
        <v>5174.3441176470596</v>
      </c>
      <c r="H33" s="799">
        <f t="shared" si="5"/>
        <v>0</v>
      </c>
      <c r="I33" s="796">
        <f t="shared" si="6"/>
        <v>0</v>
      </c>
      <c r="J33" s="797">
        <f t="shared" si="7"/>
        <v>0</v>
      </c>
      <c r="K33" s="1646">
        <f t="shared" si="11"/>
        <v>135328.99999999997</v>
      </c>
      <c r="L33" s="460" t="s">
        <v>374</v>
      </c>
      <c r="M33" s="239" t="s">
        <v>245</v>
      </c>
      <c r="N33" s="473"/>
      <c r="O33" s="235"/>
      <c r="P33" s="234"/>
      <c r="Q33" s="473"/>
      <c r="R33" s="235"/>
      <c r="S33" s="234"/>
      <c r="T33" s="473"/>
      <c r="U33" s="235"/>
      <c r="V33" s="234"/>
      <c r="W33" s="473"/>
      <c r="X33" s="235"/>
      <c r="Y33" s="234"/>
      <c r="Z33" s="473"/>
      <c r="AA33" s="235"/>
      <c r="AB33" s="234"/>
      <c r="AC33" s="473"/>
      <c r="AD33" s="235"/>
      <c r="AE33" s="234"/>
      <c r="AF33" s="473"/>
      <c r="AG33" s="235"/>
      <c r="AH33" s="234"/>
      <c r="AI33" s="429"/>
      <c r="AJ33" s="235"/>
      <c r="AK33" s="241" t="str">
        <f t="shared" si="8"/>
        <v/>
      </c>
      <c r="AL33" s="477" t="str">
        <f t="shared" si="9"/>
        <v/>
      </c>
      <c r="AM33" s="279" t="str">
        <f t="shared" si="10"/>
        <v/>
      </c>
      <c r="AN33" s="305"/>
      <c r="AO33" s="439"/>
      <c r="AP33" s="431"/>
      <c r="AQ33" s="322"/>
      <c r="AR33" s="323"/>
      <c r="AS33" s="322"/>
      <c r="AT33" s="323"/>
      <c r="AU33" s="397"/>
      <c r="AV33" s="396" t="s">
        <v>245</v>
      </c>
      <c r="AW33" s="327" t="s">
        <v>377</v>
      </c>
      <c r="AX33" s="453" t="s">
        <v>376</v>
      </c>
      <c r="BA33" s="440"/>
      <c r="BC33" s="442"/>
      <c r="BD33" s="442"/>
      <c r="BE33" s="442"/>
      <c r="BF33" s="442"/>
    </row>
    <row r="34" spans="1:58" x14ac:dyDescent="0.3">
      <c r="A34" s="425" t="s">
        <v>373</v>
      </c>
      <c r="B34" s="427">
        <v>2010</v>
      </c>
      <c r="C34" s="798">
        <f t="shared" si="0"/>
        <v>2251.4144736842104</v>
      </c>
      <c r="D34" s="799">
        <f t="shared" si="1"/>
        <v>305066.66118421056</v>
      </c>
      <c r="E34" s="799">
        <f t="shared" si="2"/>
        <v>9005.6578947368416</v>
      </c>
      <c r="F34" s="799">
        <f t="shared" si="3"/>
        <v>23639.851973684214</v>
      </c>
      <c r="G34" s="799">
        <f t="shared" si="4"/>
        <v>2251.4144736842104</v>
      </c>
      <c r="H34" s="799">
        <f t="shared" si="5"/>
        <v>0</v>
      </c>
      <c r="I34" s="796">
        <f t="shared" si="6"/>
        <v>0</v>
      </c>
      <c r="J34" s="797">
        <f t="shared" si="7"/>
        <v>0</v>
      </c>
      <c r="K34" s="1646">
        <f t="shared" si="11"/>
        <v>342215.00000000006</v>
      </c>
      <c r="L34" s="460" t="s">
        <v>374</v>
      </c>
      <c r="M34" s="239" t="s">
        <v>245</v>
      </c>
      <c r="N34" s="473"/>
      <c r="O34" s="235"/>
      <c r="P34" s="234"/>
      <c r="Q34" s="473"/>
      <c r="R34" s="235"/>
      <c r="S34" s="234"/>
      <c r="T34" s="473"/>
      <c r="U34" s="235"/>
      <c r="V34" s="234"/>
      <c r="W34" s="473"/>
      <c r="X34" s="235"/>
      <c r="Y34" s="234"/>
      <c r="Z34" s="473"/>
      <c r="AA34" s="235"/>
      <c r="AB34" s="234"/>
      <c r="AC34" s="473"/>
      <c r="AD34" s="235"/>
      <c r="AE34" s="234"/>
      <c r="AF34" s="473"/>
      <c r="AG34" s="235"/>
      <c r="AH34" s="234"/>
      <c r="AI34" s="429"/>
      <c r="AJ34" s="235"/>
      <c r="AK34" s="241" t="str">
        <f t="shared" si="8"/>
        <v/>
      </c>
      <c r="AL34" s="477" t="str">
        <f t="shared" si="9"/>
        <v/>
      </c>
      <c r="AM34" s="279" t="str">
        <f t="shared" si="10"/>
        <v/>
      </c>
      <c r="AN34" s="305"/>
      <c r="AO34" s="439"/>
      <c r="AP34" s="431"/>
      <c r="AQ34" s="322"/>
      <c r="AR34" s="323"/>
      <c r="AS34" s="322"/>
      <c r="AT34" s="323"/>
      <c r="AU34" s="397"/>
      <c r="AV34" s="699" t="s">
        <v>272</v>
      </c>
      <c r="AW34" s="327" t="s">
        <v>377</v>
      </c>
      <c r="AX34" s="453" t="s">
        <v>376</v>
      </c>
      <c r="BA34" s="440"/>
      <c r="BC34" s="442"/>
      <c r="BD34" s="442"/>
      <c r="BE34" s="442"/>
      <c r="BF34" s="442"/>
    </row>
    <row r="35" spans="1:58" x14ac:dyDescent="0.3">
      <c r="A35" s="425" t="s">
        <v>373</v>
      </c>
      <c r="B35" s="427">
        <v>2011</v>
      </c>
      <c r="C35" s="798">
        <f t="shared" si="0"/>
        <v>9116.2185792349737</v>
      </c>
      <c r="D35" s="799">
        <f t="shared" si="1"/>
        <v>47860.147540983606</v>
      </c>
      <c r="E35" s="799">
        <f t="shared" si="2"/>
        <v>162.78961748633878</v>
      </c>
      <c r="F35" s="799">
        <f t="shared" si="3"/>
        <v>2441.844262295082</v>
      </c>
      <c r="G35" s="799">
        <f t="shared" si="4"/>
        <v>0</v>
      </c>
      <c r="H35" s="799">
        <f t="shared" si="5"/>
        <v>0</v>
      </c>
      <c r="I35" s="796">
        <f t="shared" si="6"/>
        <v>0</v>
      </c>
      <c r="J35" s="797">
        <f t="shared" si="7"/>
        <v>0</v>
      </c>
      <c r="K35" s="1780">
        <f t="shared" si="11"/>
        <v>59581</v>
      </c>
      <c r="L35" s="460" t="s">
        <v>374</v>
      </c>
      <c r="M35" s="239" t="s">
        <v>245</v>
      </c>
      <c r="N35" s="473"/>
      <c r="O35" s="235"/>
      <c r="P35" s="234"/>
      <c r="Q35" s="473"/>
      <c r="R35" s="235"/>
      <c r="S35" s="234"/>
      <c r="T35" s="473"/>
      <c r="U35" s="235"/>
      <c r="V35" s="234"/>
      <c r="W35" s="473"/>
      <c r="X35" s="235"/>
      <c r="Y35" s="234"/>
      <c r="Z35" s="473"/>
      <c r="AA35" s="235"/>
      <c r="AB35" s="234"/>
      <c r="AC35" s="473"/>
      <c r="AD35" s="235"/>
      <c r="AE35" s="234"/>
      <c r="AF35" s="473"/>
      <c r="AG35" s="235"/>
      <c r="AH35" s="234"/>
      <c r="AI35" s="429"/>
      <c r="AJ35" s="235"/>
      <c r="AK35" s="241" t="str">
        <f t="shared" si="8"/>
        <v/>
      </c>
      <c r="AL35" s="477" t="str">
        <f t="shared" si="9"/>
        <v/>
      </c>
      <c r="AM35" s="279" t="str">
        <f t="shared" si="10"/>
        <v/>
      </c>
      <c r="AN35" s="305"/>
      <c r="AO35" s="439"/>
      <c r="AP35" s="431"/>
      <c r="AQ35" s="322"/>
      <c r="AR35" s="323"/>
      <c r="AS35" s="322"/>
      <c r="AT35" s="323"/>
      <c r="AU35" s="397"/>
      <c r="AV35" s="396"/>
      <c r="AW35" s="327" t="s">
        <v>377</v>
      </c>
      <c r="AX35" s="453" t="s">
        <v>376</v>
      </c>
      <c r="BA35" s="440"/>
      <c r="BC35" s="442"/>
      <c r="BD35" s="442"/>
      <c r="BE35" s="442"/>
      <c r="BF35" s="442"/>
    </row>
    <row r="36" spans="1:58" x14ac:dyDescent="0.3">
      <c r="A36" s="425" t="s">
        <v>373</v>
      </c>
      <c r="B36" s="427">
        <v>2012</v>
      </c>
      <c r="C36" s="798">
        <f t="shared" si="0"/>
        <v>1032.7698209718671</v>
      </c>
      <c r="D36" s="799">
        <f t="shared" si="1"/>
        <v>394518.0716112532</v>
      </c>
      <c r="E36" s="799">
        <f t="shared" si="2"/>
        <v>3098.3094629156012</v>
      </c>
      <c r="F36" s="799">
        <f t="shared" si="3"/>
        <v>4131.0792838874686</v>
      </c>
      <c r="G36" s="799">
        <f t="shared" si="4"/>
        <v>1032.7698209718671</v>
      </c>
      <c r="H36" s="799">
        <f t="shared" si="5"/>
        <v>0</v>
      </c>
      <c r="I36" s="796">
        <f t="shared" si="6"/>
        <v>0</v>
      </c>
      <c r="J36" s="797">
        <f t="shared" si="7"/>
        <v>0</v>
      </c>
      <c r="K36" s="451">
        <f t="shared" si="11"/>
        <v>403813</v>
      </c>
      <c r="L36" s="460" t="s">
        <v>374</v>
      </c>
      <c r="M36" s="239" t="s">
        <v>245</v>
      </c>
      <c r="N36" s="473"/>
      <c r="O36" s="235"/>
      <c r="P36" s="234"/>
      <c r="Q36" s="473"/>
      <c r="R36" s="235"/>
      <c r="S36" s="234"/>
      <c r="T36" s="473"/>
      <c r="U36" s="235"/>
      <c r="V36" s="234"/>
      <c r="W36" s="473"/>
      <c r="X36" s="235"/>
      <c r="Y36" s="234"/>
      <c r="Z36" s="473"/>
      <c r="AA36" s="235"/>
      <c r="AB36" s="234"/>
      <c r="AC36" s="473"/>
      <c r="AD36" s="235"/>
      <c r="AE36" s="234"/>
      <c r="AF36" s="473"/>
      <c r="AG36" s="235"/>
      <c r="AH36" s="234"/>
      <c r="AI36" s="429"/>
      <c r="AJ36" s="235"/>
      <c r="AK36" s="241" t="str">
        <f t="shared" si="8"/>
        <v/>
      </c>
      <c r="AL36" s="477" t="str">
        <f t="shared" si="9"/>
        <v/>
      </c>
      <c r="AM36" s="279" t="str">
        <f t="shared" si="10"/>
        <v/>
      </c>
      <c r="AN36" s="305"/>
      <c r="AO36" s="439"/>
      <c r="AP36" s="431"/>
      <c r="AQ36" s="322"/>
      <c r="AR36" s="323"/>
      <c r="AS36" s="322"/>
      <c r="AT36" s="323"/>
      <c r="AU36" s="397"/>
      <c r="AV36" s="396" t="s">
        <v>245</v>
      </c>
      <c r="AW36" s="327" t="s">
        <v>377</v>
      </c>
      <c r="AX36" s="453" t="s">
        <v>376</v>
      </c>
      <c r="BA36" s="440"/>
      <c r="BC36" s="442"/>
      <c r="BD36" s="442"/>
      <c r="BE36" s="442"/>
      <c r="BF36" s="442"/>
    </row>
    <row r="37" spans="1:58" x14ac:dyDescent="0.3">
      <c r="A37" s="425" t="s">
        <v>373</v>
      </c>
      <c r="B37" s="427">
        <v>2013</v>
      </c>
      <c r="C37" s="798">
        <f t="shared" si="0"/>
        <v>17742.386266094421</v>
      </c>
      <c r="D37" s="799">
        <f t="shared" si="1"/>
        <v>65055.416309012879</v>
      </c>
      <c r="E37" s="799">
        <f t="shared" si="2"/>
        <v>2957.0643776824036</v>
      </c>
      <c r="F37" s="799">
        <f t="shared" si="3"/>
        <v>2957.0643776824036</v>
      </c>
      <c r="G37" s="799">
        <f t="shared" si="4"/>
        <v>9716.0686695278964</v>
      </c>
      <c r="H37" s="799">
        <f t="shared" si="5"/>
        <v>0</v>
      </c>
      <c r="I37" s="796">
        <f t="shared" si="6"/>
        <v>0</v>
      </c>
      <c r="J37" s="797">
        <f t="shared" si="7"/>
        <v>0</v>
      </c>
      <c r="K37" s="451">
        <f t="shared" si="11"/>
        <v>98428</v>
      </c>
      <c r="L37" s="460" t="s">
        <v>374</v>
      </c>
      <c r="M37" s="239" t="s">
        <v>245</v>
      </c>
      <c r="N37" s="473"/>
      <c r="O37" s="235"/>
      <c r="P37" s="234"/>
      <c r="Q37" s="473"/>
      <c r="R37" s="235"/>
      <c r="S37" s="234"/>
      <c r="T37" s="473"/>
      <c r="U37" s="235"/>
      <c r="V37" s="234"/>
      <c r="W37" s="473"/>
      <c r="X37" s="235"/>
      <c r="Y37" s="234"/>
      <c r="Z37" s="473"/>
      <c r="AA37" s="235"/>
      <c r="AB37" s="234"/>
      <c r="AC37" s="473"/>
      <c r="AD37" s="235"/>
      <c r="AE37" s="234"/>
      <c r="AF37" s="473"/>
      <c r="AG37" s="235"/>
      <c r="AH37" s="234"/>
      <c r="AI37" s="429"/>
      <c r="AJ37" s="235"/>
      <c r="AK37" s="241" t="str">
        <f t="shared" si="8"/>
        <v/>
      </c>
      <c r="AL37" s="477" t="str">
        <f t="shared" si="9"/>
        <v/>
      </c>
      <c r="AM37" s="279" t="str">
        <f t="shared" si="10"/>
        <v/>
      </c>
      <c r="AN37" s="305"/>
      <c r="AO37" s="439"/>
      <c r="AP37" s="431"/>
      <c r="AQ37" s="322"/>
      <c r="AR37" s="323"/>
      <c r="AS37" s="322"/>
      <c r="AT37" s="323"/>
      <c r="AU37" s="397"/>
      <c r="AV37" s="396" t="s">
        <v>245</v>
      </c>
      <c r="AW37" s="327" t="s">
        <v>377</v>
      </c>
      <c r="AX37" s="453" t="s">
        <v>376</v>
      </c>
      <c r="BA37" s="440"/>
      <c r="BC37" s="442"/>
      <c r="BD37" s="442"/>
      <c r="BE37" s="442"/>
      <c r="BF37" s="442"/>
    </row>
    <row r="38" spans="1:58" x14ac:dyDescent="0.3">
      <c r="A38" s="425" t="s">
        <v>373</v>
      </c>
      <c r="B38" s="427">
        <v>2014</v>
      </c>
      <c r="C38" s="798">
        <f t="shared" si="0"/>
        <v>27422.587412587414</v>
      </c>
      <c r="D38" s="799">
        <f t="shared" si="1"/>
        <v>351009.11888111889</v>
      </c>
      <c r="E38" s="799">
        <f t="shared" si="2"/>
        <v>0</v>
      </c>
      <c r="F38" s="799">
        <f t="shared" si="3"/>
        <v>12797.207459207459</v>
      </c>
      <c r="G38" s="799">
        <f t="shared" si="4"/>
        <v>914.08624708624711</v>
      </c>
      <c r="H38" s="799">
        <f t="shared" si="5"/>
        <v>0</v>
      </c>
      <c r="I38" s="796">
        <f t="shared" si="6"/>
        <v>0</v>
      </c>
      <c r="J38" s="797">
        <f t="shared" si="7"/>
        <v>0</v>
      </c>
      <c r="K38" s="451">
        <f t="shared" si="11"/>
        <v>392143</v>
      </c>
      <c r="L38" s="460" t="s">
        <v>374</v>
      </c>
      <c r="M38" s="239" t="s">
        <v>245</v>
      </c>
      <c r="N38" s="473"/>
      <c r="O38" s="235"/>
      <c r="P38" s="234"/>
      <c r="Q38" s="473"/>
      <c r="R38" s="235"/>
      <c r="S38" s="234"/>
      <c r="T38" s="473"/>
      <c r="U38" s="235"/>
      <c r="V38" s="234"/>
      <c r="W38" s="473"/>
      <c r="X38" s="235"/>
      <c r="Y38" s="234"/>
      <c r="Z38" s="473"/>
      <c r="AA38" s="235"/>
      <c r="AB38" s="234"/>
      <c r="AC38" s="473"/>
      <c r="AD38" s="235"/>
      <c r="AE38" s="234"/>
      <c r="AF38" s="473"/>
      <c r="AG38" s="235"/>
      <c r="AH38" s="234"/>
      <c r="AI38" s="429"/>
      <c r="AJ38" s="235"/>
      <c r="AK38" s="241" t="str">
        <f t="shared" si="8"/>
        <v/>
      </c>
      <c r="AL38" s="477" t="str">
        <f t="shared" si="9"/>
        <v/>
      </c>
      <c r="AM38" s="279" t="str">
        <f t="shared" si="10"/>
        <v/>
      </c>
      <c r="AN38" s="305"/>
      <c r="AO38" s="439"/>
      <c r="AP38" s="431"/>
      <c r="AQ38" s="322"/>
      <c r="AR38" s="323"/>
      <c r="AS38" s="322"/>
      <c r="AT38" s="323"/>
      <c r="AU38" s="397"/>
      <c r="AV38" s="396" t="s">
        <v>245</v>
      </c>
      <c r="AW38" s="327" t="s">
        <v>377</v>
      </c>
      <c r="AX38" s="453" t="s">
        <v>376</v>
      </c>
      <c r="BA38" s="440"/>
      <c r="BC38" s="442"/>
      <c r="BD38" s="442"/>
      <c r="BE38" s="442"/>
      <c r="BF38" s="442"/>
    </row>
    <row r="39" spans="1:58" x14ac:dyDescent="0.3">
      <c r="A39" s="425" t="s">
        <v>373</v>
      </c>
      <c r="B39" s="427">
        <v>2015</v>
      </c>
      <c r="C39" s="798">
        <f t="shared" si="0"/>
        <v>0</v>
      </c>
      <c r="D39" s="799">
        <f t="shared" si="1"/>
        <v>169154.29565217393</v>
      </c>
      <c r="E39" s="799">
        <f t="shared" si="2"/>
        <v>1566.2434782608696</v>
      </c>
      <c r="F39" s="799">
        <f t="shared" si="3"/>
        <v>7831.217391304348</v>
      </c>
      <c r="G39" s="799">
        <f t="shared" si="4"/>
        <v>1566.2434782608696</v>
      </c>
      <c r="H39" s="799">
        <f t="shared" si="5"/>
        <v>0</v>
      </c>
      <c r="I39" s="796">
        <f t="shared" si="6"/>
        <v>0</v>
      </c>
      <c r="J39" s="797">
        <f t="shared" si="7"/>
        <v>0</v>
      </c>
      <c r="K39" s="451">
        <f t="shared" si="11"/>
        <v>180118.00000000003</v>
      </c>
      <c r="L39" s="460" t="s">
        <v>374</v>
      </c>
      <c r="M39" s="239" t="s">
        <v>245</v>
      </c>
      <c r="N39" s="473"/>
      <c r="O39" s="235"/>
      <c r="P39" s="234"/>
      <c r="Q39" s="473"/>
      <c r="R39" s="235"/>
      <c r="S39" s="234"/>
      <c r="T39" s="473"/>
      <c r="U39" s="235"/>
      <c r="V39" s="234"/>
      <c r="W39" s="473"/>
      <c r="X39" s="235"/>
      <c r="Y39" s="234"/>
      <c r="Z39" s="473"/>
      <c r="AA39" s="235"/>
      <c r="AB39" s="234"/>
      <c r="AC39" s="473"/>
      <c r="AD39" s="235"/>
      <c r="AE39" s="234"/>
      <c r="AF39" s="473"/>
      <c r="AG39" s="235"/>
      <c r="AH39" s="234"/>
      <c r="AI39" s="429"/>
      <c r="AJ39" s="235"/>
      <c r="AK39" s="241" t="str">
        <f t="shared" si="8"/>
        <v/>
      </c>
      <c r="AL39" s="477" t="str">
        <f t="shared" si="9"/>
        <v/>
      </c>
      <c r="AM39" s="279" t="str">
        <f t="shared" si="10"/>
        <v/>
      </c>
      <c r="AN39" s="305"/>
      <c r="AO39" s="439"/>
      <c r="AP39" s="431"/>
      <c r="AQ39" s="322"/>
      <c r="AR39" s="323"/>
      <c r="AS39" s="322"/>
      <c r="AT39" s="323"/>
      <c r="AU39" s="397"/>
      <c r="AV39" s="699" t="s">
        <v>378</v>
      </c>
      <c r="AW39" s="327" t="s">
        <v>377</v>
      </c>
      <c r="AX39" s="453" t="s">
        <v>376</v>
      </c>
      <c r="BA39" s="440"/>
      <c r="BC39" s="442"/>
      <c r="BD39" s="442"/>
      <c r="BE39" s="442"/>
      <c r="BF39" s="442"/>
    </row>
    <row r="40" spans="1:58" x14ac:dyDescent="0.3">
      <c r="A40" s="425" t="s">
        <v>373</v>
      </c>
      <c r="B40" s="427">
        <v>2016</v>
      </c>
      <c r="C40" s="798">
        <f t="shared" si="0"/>
        <v>1658.0913705583755</v>
      </c>
      <c r="D40" s="799">
        <f t="shared" si="1"/>
        <v>156275.11167512691</v>
      </c>
      <c r="E40" s="799">
        <f t="shared" si="2"/>
        <v>414.52284263959388</v>
      </c>
      <c r="F40" s="799">
        <f t="shared" si="3"/>
        <v>4145.2284263959391</v>
      </c>
      <c r="G40" s="799">
        <f t="shared" si="4"/>
        <v>829.04568527918775</v>
      </c>
      <c r="H40" s="799">
        <f t="shared" si="5"/>
        <v>0</v>
      </c>
      <c r="I40" s="796">
        <f t="shared" si="6"/>
        <v>0</v>
      </c>
      <c r="J40" s="797">
        <f t="shared" si="7"/>
        <v>0</v>
      </c>
      <c r="K40" s="451">
        <f t="shared" si="11"/>
        <v>163322</v>
      </c>
      <c r="L40" s="460" t="s">
        <v>374</v>
      </c>
      <c r="M40" s="239" t="s">
        <v>245</v>
      </c>
      <c r="N40" s="473"/>
      <c r="O40" s="235"/>
      <c r="P40" s="234"/>
      <c r="Q40" s="473"/>
      <c r="R40" s="235"/>
      <c r="S40" s="234"/>
      <c r="T40" s="473"/>
      <c r="U40" s="235"/>
      <c r="V40" s="234"/>
      <c r="W40" s="473"/>
      <c r="X40" s="235"/>
      <c r="Y40" s="234"/>
      <c r="Z40" s="473"/>
      <c r="AA40" s="235"/>
      <c r="AB40" s="234"/>
      <c r="AC40" s="473"/>
      <c r="AD40" s="235"/>
      <c r="AE40" s="234"/>
      <c r="AF40" s="473"/>
      <c r="AG40" s="235"/>
      <c r="AH40" s="234"/>
      <c r="AI40" s="429"/>
      <c r="AJ40" s="235"/>
      <c r="AK40" s="241" t="str">
        <f t="shared" si="8"/>
        <v/>
      </c>
      <c r="AL40" s="477" t="str">
        <f t="shared" si="9"/>
        <v/>
      </c>
      <c r="AM40" s="279" t="str">
        <f t="shared" si="10"/>
        <v/>
      </c>
      <c r="AN40" s="305"/>
      <c r="AO40" s="439"/>
      <c r="AP40" s="431"/>
      <c r="AQ40" s="322"/>
      <c r="AR40" s="323"/>
      <c r="AS40" s="322"/>
      <c r="AT40" s="323"/>
      <c r="AU40" s="397"/>
      <c r="AV40" s="396"/>
      <c r="AW40" s="327" t="s">
        <v>377</v>
      </c>
      <c r="AX40" s="453" t="s">
        <v>376</v>
      </c>
      <c r="BA40" s="440"/>
      <c r="BC40" s="442"/>
      <c r="BD40" s="442"/>
      <c r="BE40" s="442"/>
      <c r="BF40" s="442"/>
    </row>
    <row r="41" spans="1:58" x14ac:dyDescent="0.3">
      <c r="A41" s="425" t="s">
        <v>373</v>
      </c>
      <c r="B41" s="427">
        <v>2017</v>
      </c>
      <c r="C41" s="798">
        <f t="shared" si="0"/>
        <v>1317.0206022187006</v>
      </c>
      <c r="D41" s="799">
        <f t="shared" si="1"/>
        <v>11753.78763866878</v>
      </c>
      <c r="E41" s="799">
        <f t="shared" si="2"/>
        <v>248.49445324881142</v>
      </c>
      <c r="F41" s="799">
        <f t="shared" si="3"/>
        <v>2310.9984152139464</v>
      </c>
      <c r="G41" s="799">
        <f t="shared" si="4"/>
        <v>49.698890649762284</v>
      </c>
      <c r="H41" s="799">
        <f t="shared" si="5"/>
        <v>0</v>
      </c>
      <c r="I41" s="796">
        <f t="shared" si="6"/>
        <v>0</v>
      </c>
      <c r="J41" s="797">
        <f t="shared" si="7"/>
        <v>0</v>
      </c>
      <c r="K41" s="451">
        <f t="shared" si="11"/>
        <v>15680.000000000002</v>
      </c>
      <c r="L41" s="460" t="s">
        <v>374</v>
      </c>
      <c r="M41" s="239" t="s">
        <v>245</v>
      </c>
      <c r="N41" s="473"/>
      <c r="O41" s="235"/>
      <c r="P41" s="234"/>
      <c r="Q41" s="473"/>
      <c r="R41" s="235"/>
      <c r="S41" s="234"/>
      <c r="T41" s="473"/>
      <c r="U41" s="235"/>
      <c r="V41" s="234"/>
      <c r="W41" s="473"/>
      <c r="X41" s="235"/>
      <c r="Y41" s="234"/>
      <c r="Z41" s="473"/>
      <c r="AA41" s="235"/>
      <c r="AB41" s="234"/>
      <c r="AC41" s="473"/>
      <c r="AD41" s="235"/>
      <c r="AE41" s="234"/>
      <c r="AF41" s="473"/>
      <c r="AG41" s="235"/>
      <c r="AH41" s="234"/>
      <c r="AI41" s="429"/>
      <c r="AJ41" s="235"/>
      <c r="AK41" s="241" t="str">
        <f t="shared" si="8"/>
        <v/>
      </c>
      <c r="AL41" s="477" t="str">
        <f t="shared" si="9"/>
        <v/>
      </c>
      <c r="AM41" s="279" t="str">
        <f t="shared" si="10"/>
        <v/>
      </c>
      <c r="AN41" s="305"/>
      <c r="AO41" s="439"/>
      <c r="AP41" s="431"/>
      <c r="AQ41" s="322"/>
      <c r="AR41" s="323"/>
      <c r="AS41" s="322"/>
      <c r="AT41" s="323"/>
      <c r="AU41" s="397"/>
      <c r="AV41" s="396"/>
      <c r="AW41" s="327" t="s">
        <v>377</v>
      </c>
      <c r="AX41" s="453" t="s">
        <v>376</v>
      </c>
      <c r="BA41" s="440"/>
      <c r="BC41" s="442"/>
      <c r="BD41" s="442"/>
      <c r="BE41" s="442"/>
      <c r="BF41" s="442"/>
    </row>
    <row r="42" spans="1:58" x14ac:dyDescent="0.3">
      <c r="A42" s="425" t="s">
        <v>373</v>
      </c>
      <c r="B42" s="427">
        <v>2018</v>
      </c>
      <c r="C42" s="798">
        <f t="shared" si="0"/>
        <v>156.83629191321501</v>
      </c>
      <c r="D42" s="799">
        <f t="shared" si="1"/>
        <v>77633.964497041423</v>
      </c>
      <c r="E42" s="799">
        <f t="shared" si="2"/>
        <v>470.50887573964496</v>
      </c>
      <c r="F42" s="799">
        <f t="shared" si="3"/>
        <v>1097.854043392505</v>
      </c>
      <c r="G42" s="799">
        <f t="shared" si="4"/>
        <v>156.83629191321501</v>
      </c>
      <c r="H42" s="799">
        <f t="shared" si="5"/>
        <v>0</v>
      </c>
      <c r="I42" s="796">
        <f t="shared" si="6"/>
        <v>0</v>
      </c>
      <c r="J42" s="797">
        <f t="shared" si="7"/>
        <v>0</v>
      </c>
      <c r="K42" s="1656">
        <f t="shared" si="11"/>
        <v>79516.000000000015</v>
      </c>
      <c r="L42" s="460" t="s">
        <v>374</v>
      </c>
      <c r="M42" s="239" t="s">
        <v>245</v>
      </c>
      <c r="N42" s="473"/>
      <c r="O42" s="235"/>
      <c r="P42" s="234"/>
      <c r="Q42" s="473"/>
      <c r="R42" s="235"/>
      <c r="S42" s="234"/>
      <c r="T42" s="473"/>
      <c r="U42" s="235"/>
      <c r="V42" s="234"/>
      <c r="W42" s="473"/>
      <c r="X42" s="235"/>
      <c r="Y42" s="234"/>
      <c r="Z42" s="473"/>
      <c r="AA42" s="235"/>
      <c r="AB42" s="234"/>
      <c r="AC42" s="473"/>
      <c r="AD42" s="235"/>
      <c r="AE42" s="234"/>
      <c r="AF42" s="473"/>
      <c r="AG42" s="235"/>
      <c r="AH42" s="234"/>
      <c r="AI42" s="429"/>
      <c r="AJ42" s="235"/>
      <c r="AK42" s="241" t="str">
        <f t="shared" si="8"/>
        <v/>
      </c>
      <c r="AL42" s="477" t="str">
        <f t="shared" si="9"/>
        <v/>
      </c>
      <c r="AM42" s="279" t="str">
        <f t="shared" si="10"/>
        <v/>
      </c>
      <c r="AN42" s="305"/>
      <c r="AO42" s="439"/>
      <c r="AP42" s="431"/>
      <c r="AQ42" s="322"/>
      <c r="AR42" s="323"/>
      <c r="AS42" s="322"/>
      <c r="AT42" s="323"/>
      <c r="AU42" s="397"/>
      <c r="AV42" s="365"/>
      <c r="AW42" s="327" t="s">
        <v>377</v>
      </c>
      <c r="AX42" s="453" t="s">
        <v>376</v>
      </c>
      <c r="BA42" s="440"/>
      <c r="BC42" s="442"/>
      <c r="BD42" s="442"/>
      <c r="BE42" s="442"/>
      <c r="BF42" s="442"/>
    </row>
    <row r="43" spans="1:58" x14ac:dyDescent="0.3">
      <c r="A43" s="425" t="s">
        <v>373</v>
      </c>
      <c r="B43" s="427">
        <v>2019</v>
      </c>
      <c r="C43" s="798">
        <f t="shared" si="0"/>
        <v>4647.5894428152487</v>
      </c>
      <c r="D43" s="799">
        <f t="shared" si="1"/>
        <v>14595.061583577712</v>
      </c>
      <c r="E43" s="799">
        <f t="shared" si="2"/>
        <v>163.07331378299119</v>
      </c>
      <c r="F43" s="799">
        <f t="shared" si="3"/>
        <v>8316.7390029325525</v>
      </c>
      <c r="G43" s="799">
        <f t="shared" si="4"/>
        <v>81.536656891495596</v>
      </c>
      <c r="H43" s="799">
        <f t="shared" si="5"/>
        <v>0</v>
      </c>
      <c r="I43" s="796">
        <f t="shared" si="6"/>
        <v>0</v>
      </c>
      <c r="J43" s="797">
        <f t="shared" si="7"/>
        <v>0</v>
      </c>
      <c r="K43" s="451">
        <f t="shared" si="11"/>
        <v>27803.999999999996</v>
      </c>
      <c r="L43" s="460" t="s">
        <v>374</v>
      </c>
      <c r="M43" s="239" t="s">
        <v>245</v>
      </c>
      <c r="N43" s="473"/>
      <c r="O43" s="235"/>
      <c r="P43" s="234"/>
      <c r="Q43" s="473"/>
      <c r="R43" s="235"/>
      <c r="S43" s="234"/>
      <c r="T43" s="473"/>
      <c r="U43" s="235"/>
      <c r="V43" s="234"/>
      <c r="W43" s="473"/>
      <c r="X43" s="235"/>
      <c r="Y43" s="234"/>
      <c r="Z43" s="473"/>
      <c r="AA43" s="235"/>
      <c r="AB43" s="234"/>
      <c r="AC43" s="473"/>
      <c r="AD43" s="235"/>
      <c r="AE43" s="234"/>
      <c r="AF43" s="473"/>
      <c r="AG43" s="235"/>
      <c r="AH43" s="234"/>
      <c r="AI43" s="429"/>
      <c r="AJ43" s="235"/>
      <c r="AK43" s="241" t="str">
        <f t="shared" si="8"/>
        <v/>
      </c>
      <c r="AL43" s="477" t="str">
        <f t="shared" si="9"/>
        <v/>
      </c>
      <c r="AM43" s="279" t="str">
        <f t="shared" si="10"/>
        <v/>
      </c>
      <c r="AN43" s="305"/>
      <c r="AO43" s="439"/>
      <c r="AP43" s="431"/>
      <c r="AQ43" s="322"/>
      <c r="AR43" s="323"/>
      <c r="AS43" s="322"/>
      <c r="AT43" s="323"/>
      <c r="AU43" s="397"/>
      <c r="AV43" s="365"/>
      <c r="AW43" s="327" t="s">
        <v>377</v>
      </c>
      <c r="AX43" s="453" t="s">
        <v>376</v>
      </c>
      <c r="BA43" s="440"/>
      <c r="BC43" s="442"/>
      <c r="BD43" s="442"/>
      <c r="BE43" s="442"/>
      <c r="BF43" s="442"/>
    </row>
    <row r="44" spans="1:58" x14ac:dyDescent="0.3">
      <c r="A44" s="425" t="s">
        <v>373</v>
      </c>
      <c r="B44" s="427">
        <v>2020</v>
      </c>
      <c r="C44" s="798">
        <f t="shared" si="0"/>
        <v>1816.452</v>
      </c>
      <c r="D44" s="799">
        <f t="shared" si="1"/>
        <v>160343.17199999999</v>
      </c>
      <c r="E44" s="799">
        <f t="shared" si="2"/>
        <v>0</v>
      </c>
      <c r="F44" s="799">
        <f t="shared" si="3"/>
        <v>2972.3759999999997</v>
      </c>
      <c r="G44" s="799">
        <f t="shared" si="4"/>
        <v>0</v>
      </c>
      <c r="H44" s="799">
        <f t="shared" si="5"/>
        <v>0</v>
      </c>
      <c r="I44" s="796">
        <f t="shared" si="6"/>
        <v>0</v>
      </c>
      <c r="J44" s="797">
        <f t="shared" si="7"/>
        <v>0</v>
      </c>
      <c r="K44" s="451">
        <f t="shared" si="11"/>
        <v>165131.99999999997</v>
      </c>
      <c r="L44" s="460" t="s">
        <v>374</v>
      </c>
      <c r="M44" s="239" t="s">
        <v>245</v>
      </c>
      <c r="N44" s="473"/>
      <c r="O44" s="235"/>
      <c r="P44" s="234"/>
      <c r="Q44" s="473"/>
      <c r="R44" s="235"/>
      <c r="S44" s="234"/>
      <c r="T44" s="473"/>
      <c r="U44" s="235"/>
      <c r="V44" s="234"/>
      <c r="W44" s="473"/>
      <c r="X44" s="235"/>
      <c r="Y44" s="234"/>
      <c r="Z44" s="473"/>
      <c r="AA44" s="235"/>
      <c r="AB44" s="234"/>
      <c r="AC44" s="473"/>
      <c r="AD44" s="235"/>
      <c r="AE44" s="234"/>
      <c r="AF44" s="473"/>
      <c r="AG44" s="235"/>
      <c r="AH44" s="234"/>
      <c r="AI44" s="429"/>
      <c r="AJ44" s="235"/>
      <c r="AK44" s="241" t="str">
        <f t="shared" si="8"/>
        <v/>
      </c>
      <c r="AL44" s="477" t="str">
        <f t="shared" si="9"/>
        <v/>
      </c>
      <c r="AM44" s="279" t="str">
        <f t="shared" si="10"/>
        <v/>
      </c>
      <c r="AN44" s="305"/>
      <c r="AO44" s="439"/>
      <c r="AP44" s="431"/>
      <c r="AQ44" s="322"/>
      <c r="AR44" s="323"/>
      <c r="AS44" s="322"/>
      <c r="AT44" s="323"/>
      <c r="AU44" s="397"/>
      <c r="AV44" s="365"/>
      <c r="AW44" s="327" t="s">
        <v>377</v>
      </c>
      <c r="AX44" s="453" t="s">
        <v>376</v>
      </c>
      <c r="BA44" s="440"/>
      <c r="BC44" s="442"/>
      <c r="BD44" s="442"/>
      <c r="BE44" s="442"/>
      <c r="BF44" s="442"/>
    </row>
    <row r="45" spans="1:58" x14ac:dyDescent="0.3">
      <c r="A45" s="425" t="s">
        <v>373</v>
      </c>
      <c r="B45" s="427">
        <v>2021</v>
      </c>
      <c r="C45" s="798">
        <f t="shared" si="0"/>
        <v>10044.717999999999</v>
      </c>
      <c r="D45" s="799">
        <f t="shared" si="1"/>
        <v>43169.715000000004</v>
      </c>
      <c r="E45" s="799">
        <f t="shared" si="2"/>
        <v>0</v>
      </c>
      <c r="F45" s="799">
        <f t="shared" si="3"/>
        <v>3216.567</v>
      </c>
      <c r="G45" s="799">
        <f t="shared" si="4"/>
        <v>0</v>
      </c>
      <c r="H45" s="799">
        <f t="shared" si="5"/>
        <v>0</v>
      </c>
      <c r="I45" s="796">
        <f t="shared" si="6"/>
        <v>0</v>
      </c>
      <c r="J45" s="797">
        <f t="shared" si="7"/>
        <v>0</v>
      </c>
      <c r="K45" s="451">
        <f t="shared" si="11"/>
        <v>56431.000000000007</v>
      </c>
      <c r="L45" s="455" t="s">
        <v>379</v>
      </c>
      <c r="M45" s="239" t="s">
        <v>245</v>
      </c>
      <c r="N45" s="473"/>
      <c r="O45" s="235"/>
      <c r="P45" s="234"/>
      <c r="Q45" s="473"/>
      <c r="R45" s="235"/>
      <c r="S45" s="234"/>
      <c r="T45" s="473"/>
      <c r="U45" s="235"/>
      <c r="V45" s="234"/>
      <c r="W45" s="473"/>
      <c r="X45" s="235"/>
      <c r="Y45" s="234"/>
      <c r="Z45" s="473"/>
      <c r="AA45" s="235"/>
      <c r="AB45" s="234"/>
      <c r="AC45" s="473"/>
      <c r="AD45" s="235"/>
      <c r="AE45" s="234"/>
      <c r="AF45" s="473"/>
      <c r="AG45" s="235"/>
      <c r="AH45" s="234"/>
      <c r="AI45" s="429"/>
      <c r="AJ45" s="235"/>
      <c r="AK45" s="241" t="str">
        <f t="shared" si="8"/>
        <v/>
      </c>
      <c r="AL45" s="477" t="str">
        <f t="shared" si="9"/>
        <v/>
      </c>
      <c r="AM45" s="279" t="str">
        <f t="shared" si="10"/>
        <v/>
      </c>
      <c r="AN45" s="305"/>
      <c r="AO45" s="439"/>
      <c r="AP45" s="431"/>
      <c r="AQ45" s="322"/>
      <c r="AR45" s="323"/>
      <c r="AS45" s="322"/>
      <c r="AT45" s="323"/>
      <c r="AU45" s="397"/>
      <c r="AV45" s="699" t="s">
        <v>380</v>
      </c>
      <c r="AW45" s="327" t="s">
        <v>377</v>
      </c>
      <c r="AX45" s="453" t="s">
        <v>376</v>
      </c>
      <c r="BA45" s="440"/>
      <c r="BC45" s="442"/>
      <c r="BD45" s="442"/>
      <c r="BE45" s="442"/>
      <c r="BF45" s="442"/>
    </row>
    <row r="46" spans="1:58" x14ac:dyDescent="0.3">
      <c r="A46" s="425" t="s">
        <v>373</v>
      </c>
      <c r="B46" s="427">
        <v>2022</v>
      </c>
      <c r="C46" s="798">
        <f t="shared" si="0"/>
        <v>7497.4647378763329</v>
      </c>
      <c r="D46" s="799">
        <f t="shared" si="1"/>
        <v>339753.53364797489</v>
      </c>
      <c r="E46" s="799">
        <f t="shared" si="2"/>
        <v>3156.827258053193</v>
      </c>
      <c r="F46" s="799">
        <f t="shared" si="3"/>
        <v>47352.408870797888</v>
      </c>
      <c r="G46" s="799">
        <f t="shared" si="4"/>
        <v>0</v>
      </c>
      <c r="H46" s="799">
        <f t="shared" si="5"/>
        <v>0</v>
      </c>
      <c r="I46" s="796">
        <f t="shared" si="6"/>
        <v>0</v>
      </c>
      <c r="J46" s="797">
        <f t="shared" si="7"/>
        <v>0</v>
      </c>
      <c r="K46" s="451">
        <f t="shared" si="11"/>
        <v>397760.23451470229</v>
      </c>
      <c r="L46" s="455" t="s">
        <v>381</v>
      </c>
      <c r="M46" s="239" t="s">
        <v>245</v>
      </c>
      <c r="N46" s="473"/>
      <c r="O46" s="235"/>
      <c r="P46" s="234"/>
      <c r="Q46" s="473"/>
      <c r="R46" s="235"/>
      <c r="S46" s="234"/>
      <c r="T46" s="473"/>
      <c r="U46" s="235"/>
      <c r="V46" s="234"/>
      <c r="W46" s="473"/>
      <c r="X46" s="235"/>
      <c r="Y46" s="234"/>
      <c r="Z46" s="473"/>
      <c r="AA46" s="235"/>
      <c r="AB46" s="234"/>
      <c r="AC46" s="473"/>
      <c r="AD46" s="235"/>
      <c r="AE46" s="234"/>
      <c r="AF46" s="473"/>
      <c r="AG46" s="235"/>
      <c r="AH46" s="234"/>
      <c r="AI46" s="429"/>
      <c r="AJ46" s="235"/>
      <c r="AK46" s="241" t="str">
        <f t="shared" si="8"/>
        <v/>
      </c>
      <c r="AL46" s="477" t="str">
        <f t="shared" si="9"/>
        <v/>
      </c>
      <c r="AM46" s="279" t="str">
        <f t="shared" si="10"/>
        <v/>
      </c>
      <c r="AN46" s="305"/>
      <c r="AO46" s="439"/>
      <c r="AP46" s="431"/>
      <c r="AQ46" s="322"/>
      <c r="AR46" s="323"/>
      <c r="AS46" s="322"/>
      <c r="AT46" s="323"/>
      <c r="AU46" s="397"/>
      <c r="AV46" s="396"/>
      <c r="AW46" s="327"/>
      <c r="AX46" s="324"/>
      <c r="BA46" s="440"/>
      <c r="BC46" s="442"/>
      <c r="BD46" s="442"/>
      <c r="BE46" s="442"/>
      <c r="BF46" s="442"/>
    </row>
    <row r="47" spans="1:58" x14ac:dyDescent="0.3">
      <c r="A47" s="425" t="s">
        <v>373</v>
      </c>
      <c r="B47" s="427">
        <v>2023</v>
      </c>
      <c r="C47" s="798">
        <f t="shared" si="0"/>
        <v>9756.8597796388658</v>
      </c>
      <c r="D47" s="799">
        <f t="shared" si="1"/>
        <v>89017.642034457982</v>
      </c>
      <c r="E47" s="799">
        <f t="shared" si="2"/>
        <v>328.88291392041123</v>
      </c>
      <c r="F47" s="799">
        <f t="shared" si="3"/>
        <v>10524.253245453159</v>
      </c>
      <c r="G47" s="799">
        <f t="shared" si="4"/>
        <v>0</v>
      </c>
      <c r="H47" s="799">
        <f t="shared" si="5"/>
        <v>0</v>
      </c>
      <c r="I47" s="796">
        <f t="shared" si="6"/>
        <v>0</v>
      </c>
      <c r="J47" s="797">
        <f t="shared" si="7"/>
        <v>0</v>
      </c>
      <c r="K47" s="451">
        <f t="shared" si="11"/>
        <v>109627.63797347042</v>
      </c>
      <c r="L47" s="29"/>
      <c r="M47" s="239" t="s">
        <v>245</v>
      </c>
      <c r="N47" s="429"/>
      <c r="O47" s="235"/>
      <c r="P47" s="234"/>
      <c r="Q47" s="429"/>
      <c r="R47" s="235"/>
      <c r="S47" s="234"/>
      <c r="T47" s="429"/>
      <c r="U47" s="235"/>
      <c r="V47" s="234"/>
      <c r="W47" s="429"/>
      <c r="X47" s="235"/>
      <c r="Y47" s="234"/>
      <c r="Z47" s="429"/>
      <c r="AA47" s="235"/>
      <c r="AB47" s="234"/>
      <c r="AC47" s="429"/>
      <c r="AD47" s="235"/>
      <c r="AE47" s="234"/>
      <c r="AF47" s="429"/>
      <c r="AG47" s="235"/>
      <c r="AH47" s="234"/>
      <c r="AI47" s="429"/>
      <c r="AJ47" s="235"/>
      <c r="AK47" s="241" t="str">
        <f t="shared" ref="AK47:AK52" si="12">IF(0&lt;(SUM(M47,P47,S47,V47,Y47,AB47,AE47,AH47)),SUM(M47,P47,S47,V47,Y47,AB47,AE47,AH47),"")</f>
        <v/>
      </c>
      <c r="AL47" s="242" t="str">
        <f t="shared" ref="AL47:AL52" si="13">IF(ISNUMBER($AK47),(IF(ISNUMBER($M47),$M47*N47)+IF(ISNUMBER($P47),$P47*Q47)+IF(ISNUMBER($S47),$S47*T47)+IF(ISNUMBER($V47),$V47*W47)+IF(ISNUMBER($Y47),$Y47*Z47)+IF(ISNUMBER($AE47),$AE47*AF47)+IF(ISNUMBER($AB47),$AB47*AC47)+IF(ISNUMBER($AH47),$AH47*AI47))/$AK47,"")</f>
        <v/>
      </c>
      <c r="AM47" s="279" t="str">
        <f t="shared" ref="AM47:AM52" si="14">IF(ISNUMBER($AK47),(IF(ISNUMBER($M47),$M47*O47)+IF(ISNUMBER($P47),$P47*R47)+IF(ISNUMBER($S47),$S47*U47)+IF(ISNUMBER($V47),$V47*X47)+IF(ISNUMBER($Y47),$Y47*AA47)+IF(ISNUMBER($AE47),$AE47*AG47)+IF(ISNUMBER($AB47),$AB47*AD47)+IF(ISNUMBER($AH47),$AH47*AJ47))/$AK47,"")</f>
        <v/>
      </c>
      <c r="AN47" s="305"/>
      <c r="AO47" s="439"/>
      <c r="AP47" s="431"/>
      <c r="AQ47" s="322"/>
      <c r="AR47" s="323"/>
      <c r="AS47" s="322"/>
      <c r="AT47" s="323"/>
      <c r="AU47" s="397"/>
      <c r="AV47" s="396"/>
      <c r="AW47" s="327"/>
      <c r="AX47" s="324"/>
      <c r="BA47" s="440"/>
      <c r="BC47" s="442"/>
      <c r="BD47" s="442"/>
      <c r="BE47" s="442"/>
      <c r="BF47" s="442"/>
    </row>
    <row r="48" spans="1:58" x14ac:dyDescent="0.3">
      <c r="A48" s="425"/>
      <c r="B48" s="427"/>
      <c r="C48" s="798" t="str">
        <f>IF(ISNUMBER(VLOOKUP($B48,AdultAgeComp,6)),VLOOKUP($B48,AdultAgeComp,2)*VLOOKUP($B48,AdultAgeComp,6),"")</f>
        <v/>
      </c>
      <c r="D48" s="799" t="str">
        <f>IF(ISNUMBER(VLOOKUP($B48,AdultAgeComp,7)),VLOOKUP($B48,AdultAgeComp,2)*VLOOKUP($B48,AdultAgeComp,7),"")</f>
        <v/>
      </c>
      <c r="E48" s="799" t="str">
        <f>IF(ISNUMBER(VLOOKUP($B48,AdultAgeComp,8)),VLOOKUP($B48,AdultAgeComp,2)*VLOOKUP($B48,AdultAgeComp,8),"")</f>
        <v/>
      </c>
      <c r="F48" s="799" t="str">
        <f>IF(ISNUMBER(VLOOKUP($B48,AdultAgeComp,9)),VLOOKUP($B48,AdultAgeComp,2)*VLOOKUP($B48,AdultAgeComp,9),"")</f>
        <v/>
      </c>
      <c r="G48" s="799" t="str">
        <f>IF(ISNUMBER(VLOOKUP($B48,AdultAgeComp,10)),VLOOKUP($B48,AdultAgeComp,2)*VLOOKUP($B48,AdultAgeComp,10),"")</f>
        <v/>
      </c>
      <c r="H48" s="796"/>
      <c r="I48" s="796" t="str">
        <f>IF(ISNUMBER(VLOOKUP($B48,AdultAgeComp,12)),VLOOKUP($B48,AdultAgeComp,2)*VLOOKUP($B48,AdultAgeComp,12),"")</f>
        <v/>
      </c>
      <c r="J48" s="797" t="str">
        <f>IF(ISNUMBER(VLOOKUP($B48,AdultAgeComp,13)),VLOOKUP($B48,AdultAgeComp,2)*VLOOKUP($B48,AdultAgeComp,13),"")</f>
        <v/>
      </c>
      <c r="K48" s="451" t="str">
        <f>IF((SUM(C48:J48)&gt;0),SUM(C48:J48),"")</f>
        <v/>
      </c>
      <c r="L48" s="27"/>
      <c r="M48" s="239" t="s">
        <v>245</v>
      </c>
      <c r="N48" s="429"/>
      <c r="O48" s="235"/>
      <c r="P48" s="234"/>
      <c r="Q48" s="429"/>
      <c r="R48" s="235"/>
      <c r="S48" s="234"/>
      <c r="T48" s="429"/>
      <c r="U48" s="235"/>
      <c r="V48" s="234"/>
      <c r="W48" s="429"/>
      <c r="X48" s="235"/>
      <c r="Y48" s="234"/>
      <c r="Z48" s="429"/>
      <c r="AA48" s="235"/>
      <c r="AB48" s="234"/>
      <c r="AC48" s="429"/>
      <c r="AD48" s="235"/>
      <c r="AE48" s="234"/>
      <c r="AF48" s="429"/>
      <c r="AG48" s="235"/>
      <c r="AH48" s="234"/>
      <c r="AI48" s="429"/>
      <c r="AJ48" s="235"/>
      <c r="AK48" s="241" t="str">
        <f t="shared" si="12"/>
        <v/>
      </c>
      <c r="AL48" s="242" t="str">
        <f t="shared" si="13"/>
        <v/>
      </c>
      <c r="AM48" s="279" t="str">
        <f t="shared" si="14"/>
        <v/>
      </c>
      <c r="AN48" s="305"/>
      <c r="AO48" s="439"/>
      <c r="AP48" s="431"/>
      <c r="AQ48" s="322"/>
      <c r="AR48" s="323"/>
      <c r="AS48" s="322"/>
      <c r="AT48" s="323"/>
      <c r="AU48" s="397"/>
      <c r="AV48" s="396"/>
      <c r="AW48" s="327"/>
      <c r="AX48" s="324"/>
      <c r="BA48" s="441"/>
      <c r="BC48" s="442"/>
      <c r="BD48" s="442"/>
      <c r="BE48" s="442"/>
      <c r="BF48" s="442"/>
    </row>
    <row r="49" spans="1:50" x14ac:dyDescent="0.3">
      <c r="A49" s="425"/>
      <c r="B49" s="427"/>
      <c r="C49" s="798"/>
      <c r="D49" s="799"/>
      <c r="E49" s="799"/>
      <c r="F49" s="799"/>
      <c r="G49" s="799"/>
      <c r="H49" s="796"/>
      <c r="I49" s="796"/>
      <c r="J49" s="797"/>
      <c r="K49" s="451" t="str">
        <f>IF((SUM(C49:J49)&gt;0),SUM(C49:J49),"")</f>
        <v/>
      </c>
      <c r="L49" s="27"/>
      <c r="M49" s="239" t="s">
        <v>245</v>
      </c>
      <c r="N49" s="429"/>
      <c r="O49" s="235"/>
      <c r="P49" s="234"/>
      <c r="Q49" s="429"/>
      <c r="R49" s="235"/>
      <c r="S49" s="234"/>
      <c r="T49" s="429"/>
      <c r="U49" s="235"/>
      <c r="V49" s="234"/>
      <c r="W49" s="429"/>
      <c r="X49" s="235"/>
      <c r="Y49" s="234"/>
      <c r="Z49" s="429"/>
      <c r="AA49" s="235"/>
      <c r="AB49" s="234"/>
      <c r="AC49" s="429"/>
      <c r="AD49" s="235"/>
      <c r="AE49" s="234"/>
      <c r="AF49" s="429"/>
      <c r="AG49" s="235"/>
      <c r="AH49" s="234"/>
      <c r="AI49" s="429"/>
      <c r="AJ49" s="235"/>
      <c r="AK49" s="241" t="str">
        <f t="shared" si="12"/>
        <v/>
      </c>
      <c r="AL49" s="242" t="str">
        <f t="shared" si="13"/>
        <v/>
      </c>
      <c r="AM49" s="279" t="str">
        <f t="shared" si="14"/>
        <v/>
      </c>
      <c r="AN49" s="304"/>
      <c r="AO49" s="280"/>
      <c r="AP49" s="431"/>
      <c r="AQ49" s="322"/>
      <c r="AR49" s="323"/>
      <c r="AS49" s="322"/>
      <c r="AT49" s="323"/>
      <c r="AU49" s="225"/>
      <c r="AV49" s="396"/>
      <c r="AW49" s="327"/>
      <c r="AX49" s="324"/>
    </row>
    <row r="50" spans="1:50" x14ac:dyDescent="0.3">
      <c r="A50" s="425"/>
      <c r="B50" s="427"/>
      <c r="C50" s="798"/>
      <c r="D50" s="799"/>
      <c r="E50" s="799"/>
      <c r="F50" s="799"/>
      <c r="G50" s="799"/>
      <c r="H50" s="796"/>
      <c r="I50" s="796"/>
      <c r="J50" s="797"/>
      <c r="K50" s="451" t="str">
        <f>IF((SUM(C50:J50)&gt;0),SUM(C50:J50),"")</f>
        <v/>
      </c>
      <c r="L50" s="27"/>
      <c r="M50" s="239" t="s">
        <v>245</v>
      </c>
      <c r="N50" s="429"/>
      <c r="O50" s="235"/>
      <c r="P50" s="234"/>
      <c r="Q50" s="429"/>
      <c r="R50" s="235"/>
      <c r="S50" s="234"/>
      <c r="T50" s="429"/>
      <c r="U50" s="235"/>
      <c r="V50" s="234"/>
      <c r="W50" s="429"/>
      <c r="X50" s="235"/>
      <c r="Y50" s="234"/>
      <c r="Z50" s="429"/>
      <c r="AA50" s="235"/>
      <c r="AB50" s="234"/>
      <c r="AC50" s="429"/>
      <c r="AD50" s="235"/>
      <c r="AE50" s="234"/>
      <c r="AF50" s="429"/>
      <c r="AG50" s="235"/>
      <c r="AH50" s="234"/>
      <c r="AI50" s="429"/>
      <c r="AJ50" s="235"/>
      <c r="AK50" s="241" t="str">
        <f t="shared" si="12"/>
        <v/>
      </c>
      <c r="AL50" s="242" t="str">
        <f t="shared" si="13"/>
        <v/>
      </c>
      <c r="AM50" s="279" t="str">
        <f t="shared" si="14"/>
        <v/>
      </c>
      <c r="AN50" s="304"/>
      <c r="AO50" s="280"/>
      <c r="AP50" s="431"/>
      <c r="AQ50" s="322"/>
      <c r="AR50" s="323"/>
      <c r="AS50" s="322"/>
      <c r="AT50" s="323"/>
      <c r="AU50" s="225"/>
      <c r="AV50" s="396"/>
      <c r="AW50" s="327"/>
      <c r="AX50" s="324"/>
    </row>
    <row r="51" spans="1:50" x14ac:dyDescent="0.3">
      <c r="A51" s="425"/>
      <c r="B51" s="427"/>
      <c r="C51" s="798"/>
      <c r="D51" s="799"/>
      <c r="E51" s="799"/>
      <c r="F51" s="799"/>
      <c r="G51" s="799"/>
      <c r="H51" s="796"/>
      <c r="I51" s="796"/>
      <c r="J51" s="797"/>
      <c r="K51" s="451" t="str">
        <f>IF((SUM(C51:J51)&gt;0),SUM(C51:J51),"")</f>
        <v/>
      </c>
      <c r="L51" s="27"/>
      <c r="M51" s="239" t="s">
        <v>245</v>
      </c>
      <c r="N51" s="429"/>
      <c r="O51" s="235"/>
      <c r="P51" s="234"/>
      <c r="Q51" s="429"/>
      <c r="R51" s="235"/>
      <c r="S51" s="234"/>
      <c r="T51" s="429"/>
      <c r="U51" s="235"/>
      <c r="V51" s="234"/>
      <c r="W51" s="429"/>
      <c r="X51" s="235"/>
      <c r="Y51" s="234"/>
      <c r="Z51" s="429"/>
      <c r="AA51" s="235"/>
      <c r="AB51" s="234"/>
      <c r="AC51" s="429"/>
      <c r="AD51" s="235"/>
      <c r="AE51" s="234"/>
      <c r="AF51" s="429"/>
      <c r="AG51" s="235"/>
      <c r="AH51" s="234"/>
      <c r="AI51" s="429"/>
      <c r="AJ51" s="235"/>
      <c r="AK51" s="241" t="str">
        <f t="shared" si="12"/>
        <v/>
      </c>
      <c r="AL51" s="242" t="str">
        <f t="shared" si="13"/>
        <v/>
      </c>
      <c r="AM51" s="279" t="str">
        <f t="shared" si="14"/>
        <v/>
      </c>
      <c r="AN51" s="304"/>
      <c r="AO51" s="280"/>
      <c r="AP51" s="431"/>
      <c r="AQ51" s="322"/>
      <c r="AR51" s="323"/>
      <c r="AS51" s="322"/>
      <c r="AT51" s="323"/>
      <c r="AU51" s="225"/>
      <c r="AV51" s="396"/>
      <c r="AW51" s="327"/>
      <c r="AX51" s="324"/>
    </row>
    <row r="52" spans="1:50" ht="15" thickBot="1" x14ac:dyDescent="0.35">
      <c r="A52" s="399"/>
      <c r="B52" s="428"/>
      <c r="C52" s="808"/>
      <c r="D52" s="809"/>
      <c r="E52" s="809"/>
      <c r="F52" s="809"/>
      <c r="G52" s="809"/>
      <c r="H52" s="809"/>
      <c r="I52" s="809"/>
      <c r="J52" s="810"/>
      <c r="K52" s="452" t="str">
        <f>IF((SUM(C52:J52)&gt;0),SUM(C52:J52),"")</f>
        <v/>
      </c>
      <c r="L52" s="28"/>
      <c r="M52" s="282"/>
      <c r="N52" s="283"/>
      <c r="O52" s="284"/>
      <c r="P52" s="283"/>
      <c r="Q52" s="283"/>
      <c r="R52" s="284"/>
      <c r="S52" s="283"/>
      <c r="T52" s="283"/>
      <c r="U52" s="284"/>
      <c r="V52" s="283"/>
      <c r="W52" s="283"/>
      <c r="X52" s="284"/>
      <c r="Y52" s="283"/>
      <c r="Z52" s="283"/>
      <c r="AA52" s="284"/>
      <c r="AB52" s="283"/>
      <c r="AC52" s="283"/>
      <c r="AD52" s="284"/>
      <c r="AE52" s="283"/>
      <c r="AF52" s="283"/>
      <c r="AG52" s="284"/>
      <c r="AH52" s="283"/>
      <c r="AI52" s="283"/>
      <c r="AJ52" s="284"/>
      <c r="AK52" s="285" t="str">
        <f t="shared" si="12"/>
        <v/>
      </c>
      <c r="AL52" s="286" t="str">
        <f t="shared" si="13"/>
        <v/>
      </c>
      <c r="AM52" s="287" t="str">
        <f t="shared" si="14"/>
        <v/>
      </c>
      <c r="AN52" s="306"/>
      <c r="AO52" s="288"/>
      <c r="AP52" s="347"/>
      <c r="AQ52" s="347"/>
      <c r="AR52" s="348"/>
      <c r="AS52" s="347"/>
      <c r="AT52" s="348"/>
      <c r="AU52" s="230"/>
      <c r="AV52" s="398"/>
      <c r="AW52" s="349"/>
      <c r="AX52" s="350"/>
    </row>
    <row r="54" spans="1:50" ht="15" thickBot="1" x14ac:dyDescent="0.35"/>
    <row r="55" spans="1:50" x14ac:dyDescent="0.3">
      <c r="A55" s="700" t="s">
        <v>382</v>
      </c>
      <c r="B55" s="1687" t="s">
        <v>383</v>
      </c>
      <c r="C55" s="1688" t="str">
        <f>C3</f>
        <v>1.1 (32)</v>
      </c>
      <c r="D55" s="1050" t="str">
        <f>D3</f>
        <v>1.2 (42)</v>
      </c>
      <c r="E55" s="1050" t="str">
        <f>E3</f>
        <v>2.1 (43)</v>
      </c>
      <c r="F55" s="1050" t="str">
        <f>F3</f>
        <v>1.3 (52)</v>
      </c>
      <c r="G55" s="1689" t="str">
        <f>G3</f>
        <v>2.2 (53)</v>
      </c>
      <c r="H55" s="1690" t="s">
        <v>384</v>
      </c>
      <c r="I55" s="1691" t="s">
        <v>385</v>
      </c>
      <c r="J55" s="1692" t="s">
        <v>386</v>
      </c>
    </row>
    <row r="56" spans="1:50" x14ac:dyDescent="0.3">
      <c r="A56" s="700" t="s">
        <v>387</v>
      </c>
      <c r="B56" s="775">
        <f>B35</f>
        <v>2011</v>
      </c>
      <c r="C56" s="885">
        <f t="shared" ref="C56:G65" si="15">C35/$K35</f>
        <v>0.15300546448087435</v>
      </c>
      <c r="D56" s="880">
        <f t="shared" si="15"/>
        <v>0.80327868852459017</v>
      </c>
      <c r="E56" s="880">
        <f t="shared" si="15"/>
        <v>2.7322404371584695E-3</v>
      </c>
      <c r="F56" s="880">
        <f t="shared" si="15"/>
        <v>4.0983606557377046E-2</v>
      </c>
      <c r="G56" s="883">
        <f t="shared" si="15"/>
        <v>0</v>
      </c>
      <c r="H56" s="1685">
        <f>E56+C56</f>
        <v>0.15573770491803282</v>
      </c>
      <c r="I56" s="1683">
        <f t="shared" ref="I56:I66" si="16">D56+G56</f>
        <v>0.80327868852459017</v>
      </c>
      <c r="J56" s="1684">
        <f>F56</f>
        <v>4.0983606557377046E-2</v>
      </c>
    </row>
    <row r="57" spans="1:50" x14ac:dyDescent="0.3">
      <c r="A57" s="700" t="s">
        <v>388</v>
      </c>
      <c r="B57" s="775">
        <f t="shared" ref="B57:B66" si="17">B36</f>
        <v>2012</v>
      </c>
      <c r="C57" s="885">
        <f t="shared" si="15"/>
        <v>2.5575447570332483E-3</v>
      </c>
      <c r="D57" s="880">
        <f t="shared" si="15"/>
        <v>0.97698209718670082</v>
      </c>
      <c r="E57" s="880">
        <f t="shared" si="15"/>
        <v>7.6726342710997444E-3</v>
      </c>
      <c r="F57" s="880">
        <f t="shared" si="15"/>
        <v>1.0230179028132993E-2</v>
      </c>
      <c r="G57" s="883">
        <f t="shared" si="15"/>
        <v>2.5575447570332483E-3</v>
      </c>
      <c r="H57" s="1685">
        <f t="shared" ref="H57:H66" si="18">E57+C57</f>
        <v>1.0230179028132993E-2</v>
      </c>
      <c r="I57" s="1683">
        <f t="shared" si="16"/>
        <v>0.97953964194373411</v>
      </c>
      <c r="J57" s="1684">
        <f t="shared" ref="J57:J66" si="19">F57</f>
        <v>1.0230179028132993E-2</v>
      </c>
    </row>
    <row r="58" spans="1:50" x14ac:dyDescent="0.3">
      <c r="A58" s="700" t="s">
        <v>389</v>
      </c>
      <c r="B58" s="775">
        <f t="shared" si="17"/>
        <v>2013</v>
      </c>
      <c r="C58" s="885">
        <f t="shared" si="15"/>
        <v>0.18025751072961374</v>
      </c>
      <c r="D58" s="880">
        <f t="shared" si="15"/>
        <v>0.66094420600858372</v>
      </c>
      <c r="E58" s="880">
        <f t="shared" si="15"/>
        <v>3.0042918454935622E-2</v>
      </c>
      <c r="F58" s="880">
        <f t="shared" si="15"/>
        <v>3.0042918454935622E-2</v>
      </c>
      <c r="G58" s="883">
        <f t="shared" si="15"/>
        <v>9.8712446351931327E-2</v>
      </c>
      <c r="H58" s="1685">
        <f t="shared" si="18"/>
        <v>0.21030042918454936</v>
      </c>
      <c r="I58" s="1683">
        <f t="shared" si="16"/>
        <v>0.75965665236051505</v>
      </c>
      <c r="J58" s="1684">
        <f t="shared" si="19"/>
        <v>3.0042918454935622E-2</v>
      </c>
    </row>
    <row r="59" spans="1:50" x14ac:dyDescent="0.3">
      <c r="B59" s="775">
        <f t="shared" si="17"/>
        <v>2014</v>
      </c>
      <c r="C59" s="885">
        <f t="shared" si="15"/>
        <v>6.9930069930069935E-2</v>
      </c>
      <c r="D59" s="880">
        <f t="shared" si="15"/>
        <v>0.8951048951048951</v>
      </c>
      <c r="E59" s="880">
        <f t="shared" si="15"/>
        <v>0</v>
      </c>
      <c r="F59" s="880">
        <f t="shared" si="15"/>
        <v>3.2634032634032632E-2</v>
      </c>
      <c r="G59" s="883">
        <f t="shared" si="15"/>
        <v>2.331002331002331E-3</v>
      </c>
      <c r="H59" s="1685">
        <f t="shared" si="18"/>
        <v>6.9930069930069935E-2</v>
      </c>
      <c r="I59" s="1683">
        <f t="shared" si="16"/>
        <v>0.89743589743589747</v>
      </c>
      <c r="J59" s="1684">
        <f t="shared" si="19"/>
        <v>3.2634032634032632E-2</v>
      </c>
    </row>
    <row r="60" spans="1:50" x14ac:dyDescent="0.3">
      <c r="B60" s="775">
        <f t="shared" si="17"/>
        <v>2015</v>
      </c>
      <c r="C60" s="885">
        <f t="shared" si="15"/>
        <v>0</v>
      </c>
      <c r="D60" s="880">
        <f t="shared" si="15"/>
        <v>0.9391304347826086</v>
      </c>
      <c r="E60" s="880">
        <f t="shared" si="15"/>
        <v>8.6956521739130418E-3</v>
      </c>
      <c r="F60" s="880">
        <f t="shared" si="15"/>
        <v>4.3478260869565209E-2</v>
      </c>
      <c r="G60" s="883">
        <f t="shared" si="15"/>
        <v>8.6956521739130418E-3</v>
      </c>
      <c r="H60" s="1685">
        <f t="shared" si="18"/>
        <v>8.6956521739130418E-3</v>
      </c>
      <c r="I60" s="1683">
        <f t="shared" si="16"/>
        <v>0.9478260869565216</v>
      </c>
      <c r="J60" s="1684">
        <f t="shared" si="19"/>
        <v>4.3478260869565209E-2</v>
      </c>
    </row>
    <row r="61" spans="1:50" x14ac:dyDescent="0.3">
      <c r="B61" s="775">
        <f t="shared" si="17"/>
        <v>2016</v>
      </c>
      <c r="C61" s="885">
        <f t="shared" si="15"/>
        <v>1.015228426395939E-2</v>
      </c>
      <c r="D61" s="880">
        <f t="shared" si="15"/>
        <v>0.95685279187817263</v>
      </c>
      <c r="E61" s="880">
        <f t="shared" si="15"/>
        <v>2.5380710659898475E-3</v>
      </c>
      <c r="F61" s="880">
        <f t="shared" si="15"/>
        <v>2.5380710659898477E-2</v>
      </c>
      <c r="G61" s="883">
        <f t="shared" si="15"/>
        <v>5.076142131979695E-3</v>
      </c>
      <c r="H61" s="1685">
        <f t="shared" si="18"/>
        <v>1.2690355329949238E-2</v>
      </c>
      <c r="I61" s="1683">
        <f t="shared" si="16"/>
        <v>0.96192893401015234</v>
      </c>
      <c r="J61" s="1684">
        <f t="shared" si="19"/>
        <v>2.5380710659898477E-2</v>
      </c>
    </row>
    <row r="62" spans="1:50" x14ac:dyDescent="0.3">
      <c r="B62" s="775">
        <f t="shared" si="17"/>
        <v>2017</v>
      </c>
      <c r="C62" s="885">
        <f t="shared" si="15"/>
        <v>8.3993660855784469E-2</v>
      </c>
      <c r="D62" s="880">
        <f t="shared" si="15"/>
        <v>0.74960380348652922</v>
      </c>
      <c r="E62" s="880">
        <f t="shared" si="15"/>
        <v>1.5847860538827259E-2</v>
      </c>
      <c r="F62" s="880">
        <f t="shared" si="15"/>
        <v>0.1473851030110935</v>
      </c>
      <c r="G62" s="883">
        <f t="shared" si="15"/>
        <v>3.1695721077654514E-3</v>
      </c>
      <c r="H62" s="1685">
        <f t="shared" si="18"/>
        <v>9.9841521394611721E-2</v>
      </c>
      <c r="I62" s="1683">
        <f t="shared" si="16"/>
        <v>0.75277337559429469</v>
      </c>
      <c r="J62" s="1684">
        <f t="shared" si="19"/>
        <v>0.1473851030110935</v>
      </c>
    </row>
    <row r="63" spans="1:50" x14ac:dyDescent="0.3">
      <c r="B63" s="775">
        <f t="shared" si="17"/>
        <v>2018</v>
      </c>
      <c r="C63" s="885">
        <f t="shared" si="15"/>
        <v>1.9723865877712028E-3</v>
      </c>
      <c r="D63" s="880">
        <f t="shared" si="15"/>
        <v>0.97633136094674544</v>
      </c>
      <c r="E63" s="880">
        <f t="shared" si="15"/>
        <v>5.9171597633136085E-3</v>
      </c>
      <c r="F63" s="880">
        <f t="shared" si="15"/>
        <v>1.380670611439842E-2</v>
      </c>
      <c r="G63" s="883">
        <f t="shared" si="15"/>
        <v>1.9723865877712028E-3</v>
      </c>
      <c r="H63" s="1685">
        <f t="shared" si="18"/>
        <v>7.8895463510848113E-3</v>
      </c>
      <c r="I63" s="1683">
        <f t="shared" si="16"/>
        <v>0.97830374753451665</v>
      </c>
      <c r="J63" s="1684">
        <f t="shared" si="19"/>
        <v>1.380670611439842E-2</v>
      </c>
    </row>
    <row r="64" spans="1:50" x14ac:dyDescent="0.3">
      <c r="B64" s="775">
        <f t="shared" si="17"/>
        <v>2019</v>
      </c>
      <c r="C64" s="885">
        <f t="shared" si="15"/>
        <v>0.16715542521994134</v>
      </c>
      <c r="D64" s="880">
        <f t="shared" si="15"/>
        <v>0.52492668621700889</v>
      </c>
      <c r="E64" s="880">
        <f t="shared" si="15"/>
        <v>5.8651026392961877E-3</v>
      </c>
      <c r="F64" s="880">
        <f t="shared" si="15"/>
        <v>0.29912023460410564</v>
      </c>
      <c r="G64" s="883">
        <f t="shared" si="15"/>
        <v>2.9325513196480938E-3</v>
      </c>
      <c r="H64" s="1685">
        <f t="shared" si="18"/>
        <v>0.17302052785923752</v>
      </c>
      <c r="I64" s="1683">
        <f t="shared" si="16"/>
        <v>0.52785923753665698</v>
      </c>
      <c r="J64" s="1684">
        <f t="shared" si="19"/>
        <v>0.29912023460410564</v>
      </c>
    </row>
    <row r="65" spans="2:10" x14ac:dyDescent="0.3">
      <c r="B65" s="775">
        <f t="shared" si="17"/>
        <v>2020</v>
      </c>
      <c r="C65" s="885">
        <f t="shared" si="15"/>
        <v>1.1000000000000001E-2</v>
      </c>
      <c r="D65" s="880">
        <f t="shared" si="15"/>
        <v>0.97100000000000009</v>
      </c>
      <c r="E65" s="880">
        <f t="shared" si="15"/>
        <v>0</v>
      </c>
      <c r="F65" s="880">
        <f t="shared" si="15"/>
        <v>1.8000000000000002E-2</v>
      </c>
      <c r="G65" s="883">
        <f t="shared" si="15"/>
        <v>0</v>
      </c>
      <c r="H65" s="1685">
        <f t="shared" si="18"/>
        <v>1.1000000000000001E-2</v>
      </c>
      <c r="I65" s="1683">
        <f t="shared" si="16"/>
        <v>0.97100000000000009</v>
      </c>
      <c r="J65" s="1684">
        <f t="shared" si="19"/>
        <v>1.8000000000000002E-2</v>
      </c>
    </row>
    <row r="66" spans="2:10" x14ac:dyDescent="0.3">
      <c r="B66" s="775">
        <f t="shared" si="17"/>
        <v>2021</v>
      </c>
      <c r="C66" s="885">
        <f t="shared" ref="C66:G68" si="20">C45/$K45</f>
        <v>0.17799999999999996</v>
      </c>
      <c r="D66" s="880">
        <f t="shared" si="20"/>
        <v>0.76500000000000001</v>
      </c>
      <c r="E66" s="880">
        <f t="shared" si="20"/>
        <v>0</v>
      </c>
      <c r="F66" s="880">
        <f t="shared" si="20"/>
        <v>5.6999999999999995E-2</v>
      </c>
      <c r="G66" s="883">
        <f t="shared" si="20"/>
        <v>0</v>
      </c>
      <c r="H66" s="1685">
        <f t="shared" si="18"/>
        <v>0.17799999999999996</v>
      </c>
      <c r="I66" s="1683">
        <f t="shared" si="16"/>
        <v>0.76500000000000001</v>
      </c>
      <c r="J66" s="1684">
        <f t="shared" si="19"/>
        <v>5.6999999999999995E-2</v>
      </c>
    </row>
    <row r="67" spans="2:10" x14ac:dyDescent="0.3">
      <c r="B67" s="1686">
        <f>B46</f>
        <v>2022</v>
      </c>
      <c r="C67" s="885">
        <f t="shared" si="20"/>
        <v>1.8849206349206348E-2</v>
      </c>
      <c r="D67" s="880">
        <f t="shared" si="20"/>
        <v>0.85416666666666674</v>
      </c>
      <c r="E67" s="880">
        <f t="shared" si="20"/>
        <v>7.9365079365079378E-3</v>
      </c>
      <c r="F67" s="880">
        <f t="shared" si="20"/>
        <v>0.11904761904761904</v>
      </c>
      <c r="G67" s="883">
        <f t="shared" si="20"/>
        <v>0</v>
      </c>
      <c r="H67" s="1685">
        <f>E67+C67</f>
        <v>2.6785714285714288E-2</v>
      </c>
      <c r="I67" s="1683">
        <f>D67+G67</f>
        <v>0.85416666666666674</v>
      </c>
      <c r="J67" s="1684">
        <f>F67</f>
        <v>0.11904761904761904</v>
      </c>
    </row>
    <row r="68" spans="2:10" ht="15" thickBot="1" x14ac:dyDescent="0.35">
      <c r="B68" s="1686">
        <f>B47</f>
        <v>2023</v>
      </c>
      <c r="C68" s="885">
        <f t="shared" si="20"/>
        <v>8.8999999999999982E-2</v>
      </c>
      <c r="D68" s="880">
        <f t="shared" si="20"/>
        <v>0.81199999999999994</v>
      </c>
      <c r="E68" s="880">
        <f t="shared" si="20"/>
        <v>2.9999999999999996E-3</v>
      </c>
      <c r="F68" s="880">
        <f t="shared" si="20"/>
        <v>9.5999999999999988E-2</v>
      </c>
      <c r="G68" s="883">
        <f t="shared" si="20"/>
        <v>0</v>
      </c>
      <c r="H68" s="1685">
        <f>E68+C68</f>
        <v>9.1999999999999985E-2</v>
      </c>
      <c r="I68" s="1683">
        <f>D68+G68</f>
        <v>0.81199999999999994</v>
      </c>
      <c r="J68" s="1684">
        <f>F68</f>
        <v>9.5999999999999988E-2</v>
      </c>
    </row>
    <row r="69" spans="2:10" ht="15" thickBot="1" x14ac:dyDescent="0.35">
      <c r="B69" s="1176" t="s">
        <v>390</v>
      </c>
      <c r="C69" s="896">
        <f>AVERAGE(C56:C68)</f>
        <v>7.4297965628788765E-2</v>
      </c>
      <c r="D69" s="896">
        <f>AVERAGE(D56:D68)</f>
        <v>0.83733243313865391</v>
      </c>
      <c r="E69" s="896">
        <f>AVERAGE(E56:E68)</f>
        <v>6.9421651754647479E-3</v>
      </c>
      <c r="F69" s="896">
        <f>AVERAGE(F56:F68)</f>
        <v>7.1777643921627582E-2</v>
      </c>
      <c r="G69" s="896">
        <f>AVERAGE(G56:G68)</f>
        <v>9.6497921354649525E-3</v>
      </c>
      <c r="H69" s="899">
        <f>E69+C69</f>
        <v>8.1240130804253519E-2</v>
      </c>
      <c r="I69" s="900">
        <f>D69+G69</f>
        <v>0.84698222527411882</v>
      </c>
      <c r="J69" s="901">
        <f>F69</f>
        <v>7.1777643921627582E-2</v>
      </c>
    </row>
    <row r="70" spans="2:10" x14ac:dyDescent="0.3">
      <c r="B70" s="874"/>
    </row>
    <row r="71" spans="2:10" x14ac:dyDescent="0.3">
      <c r="B71" s="874"/>
    </row>
    <row r="72" spans="2:10" x14ac:dyDescent="0.3">
      <c r="B72" s="874"/>
    </row>
  </sheetData>
  <sheetProtection formatCells="0" formatColumns="0" formatRows="0" sort="0" autoFilter="0" pivotTables="0"/>
  <autoFilter ref="A1:AX52" xr:uid="{00000000-0001-0000-0400-000000000000}">
    <filterColumn colId="1">
      <filters>
        <filter val="2006"/>
        <filter val="2007"/>
        <filter val="2008"/>
        <filter val="2009"/>
        <filter val="2010"/>
      </filters>
    </filterColumn>
    <filterColumn colId="2" showButton="0"/>
    <filterColumn colId="3" showButton="0"/>
    <filterColumn colId="4" showButton="0"/>
    <filterColumn colId="5" showButton="0"/>
    <filterColumn colId="6" showButton="0"/>
    <filterColumn colId="7" showButton="0"/>
    <filterColumn colId="8" showButton="0"/>
    <filterColumn colId="9" showButton="0"/>
    <filterColumn colId="10" showButton="0"/>
    <filterColumn colId="12" showButton="0"/>
    <filterColumn colId="13" showButton="0"/>
    <filterColumn colId="14" showButton="0"/>
    <filterColumn colId="15" showButton="0"/>
    <filterColumn colId="16" showButton="0"/>
    <filterColumn colId="17" showButton="0"/>
    <filterColumn colId="18" showButton="0"/>
    <filterColumn colId="19" showButton="0"/>
    <filterColumn colId="20" showButton="0"/>
    <filterColumn colId="21" showButton="0"/>
    <filterColumn colId="22" showButton="0"/>
    <filterColumn colId="23" showButton="0"/>
    <filterColumn colId="24" showButton="0"/>
    <filterColumn colId="25" showButton="0"/>
    <filterColumn colId="26" showButton="0"/>
    <filterColumn colId="27" showButton="0"/>
    <filterColumn colId="28" showButton="0"/>
    <filterColumn colId="29" showButton="0"/>
    <filterColumn colId="30" showButton="0"/>
    <filterColumn colId="31" showButton="0"/>
    <filterColumn colId="32" showButton="0"/>
    <filterColumn colId="33" showButton="0"/>
    <filterColumn colId="34" showButton="0"/>
    <filterColumn colId="35" showButton="0"/>
    <filterColumn colId="36" showButton="0"/>
    <filterColumn colId="37" showButton="0"/>
    <filterColumn colId="38" showButton="0"/>
    <filterColumn colId="39" showButton="0"/>
    <filterColumn colId="41" showButton="0"/>
    <filterColumn colId="42" showButton="0"/>
    <filterColumn colId="43" showButton="0"/>
    <filterColumn colId="44" showButton="0"/>
    <filterColumn colId="45" showButton="0"/>
  </autoFilter>
  <mergeCells count="28">
    <mergeCell ref="AX1:AX3"/>
    <mergeCell ref="K2:K3"/>
    <mergeCell ref="L2:L3"/>
    <mergeCell ref="AV1:AV3"/>
    <mergeCell ref="AW1:AW3"/>
    <mergeCell ref="P2:R2"/>
    <mergeCell ref="M2:O2"/>
    <mergeCell ref="AP1:AU1"/>
    <mergeCell ref="AP2:AP3"/>
    <mergeCell ref="AT2:AT3"/>
    <mergeCell ref="AU2:AU3"/>
    <mergeCell ref="AQ2:AQ3"/>
    <mergeCell ref="AS2:AS3"/>
    <mergeCell ref="AR2:AR3"/>
    <mergeCell ref="A1:A3"/>
    <mergeCell ref="B1:B3"/>
    <mergeCell ref="C1:L1"/>
    <mergeCell ref="M1:AO1"/>
    <mergeCell ref="AH2:AJ2"/>
    <mergeCell ref="AK2:AM2"/>
    <mergeCell ref="S2:U2"/>
    <mergeCell ref="V2:X2"/>
    <mergeCell ref="Y2:AA2"/>
    <mergeCell ref="AE2:AG2"/>
    <mergeCell ref="AO2:AO3"/>
    <mergeCell ref="AB2:AD2"/>
    <mergeCell ref="AN2:AN3"/>
    <mergeCell ref="C2:J2"/>
  </mergeCells>
  <phoneticPr fontId="58" type="noConversion"/>
  <conditionalFormatting sqref="K4:K52">
    <cfRule type="dataBar" priority="1">
      <dataBar>
        <cfvo type="min"/>
        <cfvo type="max"/>
        <color rgb="FF008AEF"/>
      </dataBar>
      <extLst>
        <ext xmlns:x14="http://schemas.microsoft.com/office/spreadsheetml/2009/9/main" uri="{B025F937-C7B1-47D3-B67F-A62EFF666E3E}">
          <x14:id>{8F275F8D-461B-4D0C-85E4-1795E1FCE402}</x14:id>
        </ext>
      </extLst>
    </cfRule>
  </conditionalFormatting>
  <conditionalFormatting sqref="AL4:AL52">
    <cfRule type="dataBar" priority="4">
      <dataBar>
        <cfvo type="min"/>
        <cfvo type="max"/>
        <color rgb="FFFFB628"/>
      </dataBar>
      <extLst>
        <ext xmlns:x14="http://schemas.microsoft.com/office/spreadsheetml/2009/9/main" uri="{B025F937-C7B1-47D3-B67F-A62EFF666E3E}">
          <x14:id>{F5307988-EDD1-4EDA-B6B9-BC4198004C13}</x14:id>
        </ext>
      </extLst>
    </cfRule>
  </conditionalFormatting>
  <conditionalFormatting sqref="AM4:AM52">
    <cfRule type="dataBar" priority="3">
      <dataBar>
        <cfvo type="min"/>
        <cfvo type="max"/>
        <color rgb="FFFFB628"/>
      </dataBar>
      <extLst>
        <ext xmlns:x14="http://schemas.microsoft.com/office/spreadsheetml/2009/9/main" uri="{B025F937-C7B1-47D3-B67F-A62EFF666E3E}">
          <x14:id>{A9D68487-D444-41C9-B4F7-58659C26406C}</x14:id>
        </ext>
      </extLst>
    </cfRule>
  </conditionalFormatting>
  <hyperlinks>
    <hyperlink ref="AX9" r:id="rId1" xr:uid="{9685A3C3-BB2C-4695-82BC-02AFEC3A191D}"/>
    <hyperlink ref="AX10" r:id="rId2" xr:uid="{61B15C26-0C52-49BB-AA84-ED6E5664CFF1}"/>
    <hyperlink ref="AX11" r:id="rId3" xr:uid="{957AD521-33E8-491C-A243-5624347F819D}"/>
    <hyperlink ref="AX12" r:id="rId4" xr:uid="{BC3AB452-0E12-466B-9151-C28968EC1E99}"/>
    <hyperlink ref="AX13" r:id="rId5" xr:uid="{48ADBC6D-01E2-4269-9B57-853BA8A71EE5}"/>
    <hyperlink ref="AX14" r:id="rId6" xr:uid="{ED75922D-F389-4188-A30D-FB8797199906}"/>
    <hyperlink ref="AX15" r:id="rId7" xr:uid="{56ECD5C6-7406-431E-9CA0-FE1DBA779A8F}"/>
    <hyperlink ref="AX16" r:id="rId8" xr:uid="{1F483B6F-7D5B-43FD-BB08-2FBD0E0DF29C}"/>
    <hyperlink ref="AX17" r:id="rId9" xr:uid="{D656E84C-656E-4829-A702-911BB90F89BA}"/>
    <hyperlink ref="AX18" r:id="rId10" xr:uid="{691D9EF5-12D2-4506-9F60-E45D4C0D2BC6}"/>
    <hyperlink ref="AX19" r:id="rId11" xr:uid="{9861BE2C-DF97-4FBD-A098-B26642B62246}"/>
    <hyperlink ref="AX20" r:id="rId12" xr:uid="{0CF7DF7D-AB64-4F18-9124-3618C8046747}"/>
    <hyperlink ref="AX21" r:id="rId13" xr:uid="{3C986271-BCE9-432C-9DCF-EF2936E0BA0C}"/>
    <hyperlink ref="AX22" r:id="rId14" xr:uid="{E0DBDE77-04AF-43DD-9CAE-843F73C45486}"/>
    <hyperlink ref="AX23" r:id="rId15" xr:uid="{281EBACD-E3A5-4BF7-AFEE-C88416AB54ED}"/>
    <hyperlink ref="AX24" r:id="rId16" xr:uid="{938BC66D-C3C7-432F-A0FF-68663A2E6E88}"/>
    <hyperlink ref="AX25" r:id="rId17" xr:uid="{9B31A66F-AE91-4D47-A2B2-D4C9FE5F7C9D}"/>
    <hyperlink ref="AX26" r:id="rId18" xr:uid="{6EC5470F-BA14-44EB-888A-81C1838FDC63}"/>
    <hyperlink ref="AX27" r:id="rId19" xr:uid="{A8AB7AFB-8C81-4AEA-8B43-8A95034FC14B}"/>
    <hyperlink ref="AX28" r:id="rId20" xr:uid="{686F813D-B0BB-4BE8-BC47-1F3DE2B3872F}"/>
    <hyperlink ref="AX29" r:id="rId21" xr:uid="{6BDA1880-DBFD-486A-835E-47D7CCF9F7A2}"/>
    <hyperlink ref="AX30" r:id="rId22" xr:uid="{7DEDEDCA-B78B-42CF-A5B5-BAFCA0709BAD}"/>
    <hyperlink ref="AX31" r:id="rId23" xr:uid="{E1A17863-7617-4E8D-80F8-93B52BC312C9}"/>
    <hyperlink ref="AX32" r:id="rId24" xr:uid="{3B3B0FD6-4FB2-4BAA-8D17-F40778273BC0}"/>
    <hyperlink ref="AX33" r:id="rId25" xr:uid="{6F5906C6-7CB1-43C7-9798-30AC61C40422}"/>
    <hyperlink ref="AX34" r:id="rId26" xr:uid="{0BF207E2-EC98-46FC-B24C-FC8DA593B5FF}"/>
    <hyperlink ref="AX35" r:id="rId27" xr:uid="{8613967F-C314-47AE-83F1-404BD7E0B020}"/>
    <hyperlink ref="AX36" r:id="rId28" xr:uid="{BD00AF63-B9B0-4837-B39E-D5F80BF9190A}"/>
    <hyperlink ref="AX37" r:id="rId29" xr:uid="{683E51DE-D4B9-4A8E-89F5-B515DEA652CA}"/>
    <hyperlink ref="AX38" r:id="rId30" xr:uid="{9B9960E1-4675-4903-8931-9A4CF502EFFF}"/>
    <hyperlink ref="AX39" r:id="rId31" xr:uid="{8CF47315-B0B5-4EB0-A1ED-836985723478}"/>
    <hyperlink ref="AX40" r:id="rId32" xr:uid="{BFFF08B6-DC2E-4A2D-AD46-911F07BAD6DB}"/>
    <hyperlink ref="AX41" r:id="rId33" xr:uid="{A0903D69-B2C6-40A1-8DBF-3269B6C83016}"/>
    <hyperlink ref="AX42" r:id="rId34" xr:uid="{E1AC455E-0D0C-471B-895C-5990DA7CF86C}"/>
    <hyperlink ref="AX43" r:id="rId35" xr:uid="{A5AD5842-6700-4697-A30F-04F166E1D53A}"/>
    <hyperlink ref="AX44" r:id="rId36" xr:uid="{6BE2A23D-2665-43F1-A52B-77B43C4BD3D2}"/>
    <hyperlink ref="AX45" r:id="rId37" xr:uid="{2A721C67-367B-48A1-8885-9FD5ED6336E1}"/>
  </hyperlinks>
  <pageMargins left="0.7" right="0.7" top="0.75" bottom="0.75" header="0.3" footer="0.3"/>
  <pageSetup orientation="portrait" r:id="rId38"/>
  <drawing r:id="rId39"/>
  <legacyDrawing r:id="rId40"/>
  <extLst>
    <ext xmlns:x14="http://schemas.microsoft.com/office/spreadsheetml/2009/9/main" uri="{78C0D931-6437-407d-A8EE-F0AAD7539E65}">
      <x14:conditionalFormattings>
        <x14:conditionalFormatting xmlns:xm="http://schemas.microsoft.com/office/excel/2006/main">
          <x14:cfRule type="dataBar" id="{8F275F8D-461B-4D0C-85E4-1795E1FCE402}">
            <x14:dataBar minLength="0" maxLength="100" border="1" negativeBarBorderColorSameAsPositive="0">
              <x14:cfvo type="autoMin"/>
              <x14:cfvo type="autoMax"/>
              <x14:borderColor rgb="FF008AEF"/>
              <x14:negativeFillColor rgb="FFFF0000"/>
              <x14:negativeBorderColor rgb="FFFF0000"/>
              <x14:axisColor rgb="FF000000"/>
            </x14:dataBar>
          </x14:cfRule>
          <xm:sqref>K4:K52</xm:sqref>
        </x14:conditionalFormatting>
        <x14:conditionalFormatting xmlns:xm="http://schemas.microsoft.com/office/excel/2006/main">
          <x14:cfRule type="dataBar" id="{F5307988-EDD1-4EDA-B6B9-BC4198004C13}">
            <x14:dataBar minLength="0" maxLength="100" border="1" negativeBarBorderColorSameAsPositive="0">
              <x14:cfvo type="autoMin"/>
              <x14:cfvo type="autoMax"/>
              <x14:borderColor rgb="FFFFB628"/>
              <x14:negativeFillColor rgb="FFFF0000"/>
              <x14:negativeBorderColor rgb="FFFF0000"/>
              <x14:axisColor rgb="FF000000"/>
            </x14:dataBar>
          </x14:cfRule>
          <xm:sqref>AL4:AL52</xm:sqref>
        </x14:conditionalFormatting>
        <x14:conditionalFormatting xmlns:xm="http://schemas.microsoft.com/office/excel/2006/main">
          <x14:cfRule type="dataBar" id="{A9D68487-D444-41C9-B4F7-58659C26406C}">
            <x14:dataBar minLength="0" maxLength="100" border="1" negativeBarBorderColorSameAsPositive="0">
              <x14:cfvo type="autoMin"/>
              <x14:cfvo type="autoMax"/>
              <x14:borderColor rgb="FFFFB628"/>
              <x14:negativeFillColor rgb="FFFF0000"/>
              <x14:negativeBorderColor rgb="FFFF0000"/>
              <x14:axisColor rgb="FF000000"/>
            </x14:dataBar>
          </x14:cfRule>
          <xm:sqref>AM4:AM52</xm:sqref>
        </x14:conditionalFormatting>
      </x14:conditionalFormattings>
    </ext>
    <ext xmlns:x14="http://schemas.microsoft.com/office/spreadsheetml/2009/9/main" uri="{CCE6A557-97BC-4b89-ADB6-D9C93CAAB3DF}">
      <x14:dataValidations xmlns:xm="http://schemas.microsoft.com/office/excel/2006/main" disablePrompts="1" count="1">
        <x14:dataValidation type="list" allowBlank="1" showInputMessage="1" showErrorMessage="1" xr:uid="{00000000-0002-0000-0400-000000000000}">
          <x14:formula1>
            <xm:f>Lookup!$A$2:$A$5</xm:f>
          </x14:formula1>
          <xm:sqref>AN4:AN52</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tabColor theme="7" tint="0.59999389629810485"/>
  </sheetPr>
  <dimension ref="A1:AR57"/>
  <sheetViews>
    <sheetView zoomScale="75" zoomScaleNormal="75" workbookViewId="0">
      <pane xSplit="2" ySplit="3" topLeftCell="C31" activePane="bottomRight" state="frozen"/>
      <selection pane="topRight" activeCell="C15" sqref="C15"/>
      <selection pane="bottomLeft" activeCell="C15" sqref="C15"/>
      <selection pane="bottomRight" activeCell="E45" sqref="E45"/>
    </sheetView>
  </sheetViews>
  <sheetFormatPr defaultRowHeight="14.4" x14ac:dyDescent="0.3"/>
  <cols>
    <col min="1" max="1" width="14.5546875" customWidth="1"/>
    <col min="2" max="2" width="9.6640625" customWidth="1"/>
    <col min="3" max="3" width="12.5546875" bestFit="1" customWidth="1"/>
    <col min="4" max="4" width="10.5546875" bestFit="1" customWidth="1"/>
    <col min="5" max="5" width="10.33203125" bestFit="1" customWidth="1"/>
    <col min="6" max="8" width="20.33203125" customWidth="1"/>
    <col min="9" max="9" width="16.6640625" hidden="1" customWidth="1"/>
    <col min="10" max="10" width="18.6640625" hidden="1" customWidth="1"/>
    <col min="11" max="11" width="140.5546875" bestFit="1" customWidth="1"/>
    <col min="12" max="12" width="4.5546875" hidden="1" customWidth="1"/>
    <col min="13" max="13" width="13.6640625" hidden="1" customWidth="1"/>
    <col min="14" max="14" width="7.6640625" hidden="1" customWidth="1"/>
    <col min="15" max="15" width="5.6640625" bestFit="1" customWidth="1"/>
    <col min="16" max="16" width="8.33203125" customWidth="1"/>
    <col min="17" max="17" width="7.33203125" bestFit="1" customWidth="1"/>
    <col min="18" max="18" width="5.6640625" bestFit="1" customWidth="1"/>
    <col min="19" max="19" width="9.109375" customWidth="1"/>
    <col min="20" max="20" width="5.6640625" bestFit="1" customWidth="1"/>
    <col min="21" max="21" width="5.88671875" customWidth="1"/>
    <col min="22" max="22" width="5.6640625" bestFit="1" customWidth="1"/>
    <col min="23" max="23" width="7.33203125" customWidth="1"/>
    <col min="24" max="24" width="5.6640625" bestFit="1" customWidth="1"/>
    <col min="25" max="25" width="7.6640625" customWidth="1"/>
    <col min="26" max="26" width="5.6640625" bestFit="1" customWidth="1"/>
    <col min="27" max="27" width="2.33203125" bestFit="1" customWidth="1"/>
    <col min="28" max="28" width="5.6640625" bestFit="1" customWidth="1"/>
    <col min="29" max="29" width="2.33203125" bestFit="1" customWidth="1"/>
    <col min="30" max="30" width="5.6640625" bestFit="1" customWidth="1"/>
    <col min="31" max="31" width="2.33203125" bestFit="1" customWidth="1"/>
    <col min="32" max="32" width="8.88671875" customWidth="1"/>
    <col min="33" max="34" width="0" hidden="1" customWidth="1"/>
    <col min="35" max="35" width="20.6640625" bestFit="1" customWidth="1"/>
    <col min="36" max="43" width="0" hidden="1" customWidth="1"/>
    <col min="44" max="44" width="31.6640625" style="664" bestFit="1" customWidth="1"/>
    <col min="45" max="47" width="11.6640625" bestFit="1" customWidth="1"/>
    <col min="48" max="48" width="13.33203125" bestFit="1" customWidth="1"/>
    <col min="49" max="49" width="9.5546875" bestFit="1" customWidth="1"/>
    <col min="51" max="51" width="9" bestFit="1" customWidth="1"/>
  </cols>
  <sheetData>
    <row r="1" spans="1:44" ht="27" customHeight="1" thickBot="1" x14ac:dyDescent="0.35">
      <c r="A1" s="2552" t="s">
        <v>391</v>
      </c>
      <c r="B1" s="2553"/>
      <c r="C1" s="2553"/>
      <c r="D1" s="2553"/>
      <c r="E1" s="2553"/>
      <c r="F1" s="2553"/>
      <c r="G1" s="2553"/>
      <c r="H1" s="2553"/>
      <c r="I1" s="2553"/>
      <c r="J1" s="2553"/>
      <c r="K1" s="2554"/>
      <c r="L1" s="866"/>
      <c r="M1" s="866"/>
    </row>
    <row r="2" spans="1:44" ht="58.95" customHeight="1" thickBot="1" x14ac:dyDescent="0.35">
      <c r="A2" s="2557" t="s">
        <v>209</v>
      </c>
      <c r="B2" s="2559" t="s">
        <v>210</v>
      </c>
      <c r="C2" s="2561" t="s">
        <v>392</v>
      </c>
      <c r="D2" s="2563" t="s">
        <v>393</v>
      </c>
      <c r="E2" s="2555" t="s">
        <v>394</v>
      </c>
      <c r="F2" s="2565" t="s">
        <v>395</v>
      </c>
      <c r="G2" s="2566"/>
      <c r="H2" s="2566"/>
      <c r="I2" s="2566"/>
      <c r="J2" s="2566"/>
      <c r="K2" s="2567"/>
      <c r="L2" s="867"/>
      <c r="M2" s="867"/>
      <c r="AR2"/>
    </row>
    <row r="3" spans="1:44" ht="29.4" thickBot="1" x14ac:dyDescent="0.35">
      <c r="A3" s="2558"/>
      <c r="B3" s="2560"/>
      <c r="C3" s="2562"/>
      <c r="D3" s="2564"/>
      <c r="E3" s="2556"/>
      <c r="F3" s="381" t="s">
        <v>396</v>
      </c>
      <c r="G3" s="393" t="s">
        <v>397</v>
      </c>
      <c r="H3" s="387" t="s">
        <v>298</v>
      </c>
      <c r="I3" s="338" t="s">
        <v>216</v>
      </c>
      <c r="J3" s="339" t="s">
        <v>217</v>
      </c>
      <c r="K3" s="1310" t="s">
        <v>398</v>
      </c>
      <c r="L3" s="872"/>
      <c r="M3" s="393" t="s">
        <v>399</v>
      </c>
      <c r="N3" s="1005" t="s">
        <v>400</v>
      </c>
      <c r="AR3"/>
    </row>
    <row r="4" spans="1:44" ht="55.2" customHeight="1" x14ac:dyDescent="0.3">
      <c r="A4" s="450" t="str">
        <f>IF(ISBLANK('Juvenile Data'!A4),"",'Juvenile Data'!A4)</f>
        <v>Okanagan - Osoyoos</v>
      </c>
      <c r="B4" s="375">
        <f>IF('Juvenile Data'!B4&gt;0,'Juvenile Data'!B4,"")</f>
        <v>1980</v>
      </c>
      <c r="C4" s="371" t="str">
        <f t="shared" ref="C4:C9" si="0">IF(ISNUMBER(VLOOKUP(B4,JuvAbund,5)),VLOOKUP(B4,JuvAbund,5),"")</f>
        <v/>
      </c>
      <c r="D4" s="361"/>
      <c r="E4" s="369"/>
      <c r="F4" s="382"/>
      <c r="G4" s="394"/>
      <c r="H4" s="388" t="str">
        <f t="shared" ref="H4:H9" si="1">IF(1&lt;LEN(VLOOKUP($B4,JuvAbund,34)),"JUV: "&amp;VLOOKUP($B4,JuvAbund,34)&amp;"; ","")&amp;IF(ISTEXT(VLOOKUP($B4+2,AdultReturns,47)),"ADULT: "&amp;$B4+2&amp;" "&amp;VLOOKUP($B4+2,AdultReturns,47),"")</f>
        <v/>
      </c>
      <c r="I4" s="363" t="str">
        <f t="shared" ref="I4:I9" si="2">IF(1&lt;LEN(VLOOKUP($B4,JuvAbund,35)),"JUV: "&amp;VLOOKUP($B4,JuvAbund,35)&amp;"; ","")&amp;IF(ISTEXT(VLOOKUP($B4+2,AdultReturns,48)),"ADULT: "&amp;$B4+2&amp;" "&amp;VLOOKUP($B4+2,AdultReturns,48),"")</f>
        <v>ADULT: 1982 Adult abundance, stock comp, and age comp: Total OK Sox abundance based on BON SK dam count + Zone1-6 harvest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4" s="363" t="str">
        <f t="shared" ref="J4:J9" si="3">IF(1&lt;LEN(VLOOKUP($B4,JuvAbund,36)),"JUV: "&amp;VLOOKUP($B4,JuvAbund,36)&amp;"; ","")&amp;IF(ISTEXT(VLOOKUP($B4+2,AdultReturns,49)),"ADULT: "&amp;$B4+2&amp;" "&amp;VLOOKUP($B4+2,AdultReturns,49),"")</f>
        <v>ADULT: 1982 howard.stiff@shaw.ca</v>
      </c>
      <c r="K4" s="367"/>
      <c r="L4" s="862"/>
      <c r="M4" s="905"/>
    </row>
    <row r="5" spans="1:44" ht="55.2" customHeight="1" x14ac:dyDescent="0.3">
      <c r="A5" s="450" t="str">
        <f>IF(ISBLANK('Juvenile Data'!A5),"",'Juvenile Data'!A5)</f>
        <v>Okanagan - Osoyoos</v>
      </c>
      <c r="B5" s="375">
        <f>IF('Juvenile Data'!B5&gt;0,'Juvenile Data'!B5,"")</f>
        <v>1981</v>
      </c>
      <c r="C5" s="372" t="str">
        <f t="shared" si="0"/>
        <v/>
      </c>
      <c r="D5" s="361"/>
      <c r="E5" s="370"/>
      <c r="F5" s="383"/>
      <c r="G5" s="394"/>
      <c r="H5" s="389" t="str">
        <f t="shared" si="1"/>
        <v/>
      </c>
      <c r="I5" s="364" t="str">
        <f t="shared" si="2"/>
        <v>ADULT: 1983 Adult abundance, stock comp, and age comp: Total OK Sox abundance based on BON SK dam count + Zone1-6 harvest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5" s="364" t="str">
        <f t="shared" si="3"/>
        <v>ADULT: 1983 howard.stiff@shaw.ca</v>
      </c>
      <c r="K5" s="367"/>
      <c r="L5" s="862"/>
      <c r="M5" s="367"/>
    </row>
    <row r="6" spans="1:44" ht="55.2" customHeight="1" x14ac:dyDescent="0.3">
      <c r="A6" s="450" t="str">
        <f>IF(ISBLANK('Juvenile Data'!A6),"",'Juvenile Data'!A6)</f>
        <v>Okanagan - Osoyoos</v>
      </c>
      <c r="B6" s="376">
        <f>IF('Juvenile Data'!B6&gt;0,'Juvenile Data'!B6,"")</f>
        <v>1982</v>
      </c>
      <c r="C6" s="372" t="str">
        <f t="shared" si="0"/>
        <v/>
      </c>
      <c r="D6" s="361"/>
      <c r="E6" s="370"/>
      <c r="F6" s="383"/>
      <c r="G6" s="394"/>
      <c r="H6" s="389" t="str">
        <f t="shared" si="1"/>
        <v/>
      </c>
      <c r="I6" s="364" t="str">
        <f t="shared" si="2"/>
        <v>ADULT: 1984 Adult abundance, stock comp, and age comp: Total OK Sox abundance based on BON SK dam count + Zone1-6 harvest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6" s="364" t="str">
        <f t="shared" si="3"/>
        <v>ADULT: 1984 howard.stiff@shaw.ca</v>
      </c>
      <c r="K6" s="367"/>
      <c r="L6" s="862"/>
      <c r="M6" s="367"/>
    </row>
    <row r="7" spans="1:44" ht="55.2" customHeight="1" x14ac:dyDescent="0.3">
      <c r="A7" s="450" t="str">
        <f>IF(ISBLANK('Juvenile Data'!A7),"",'Juvenile Data'!A7)</f>
        <v>Okanagan - Osoyoos</v>
      </c>
      <c r="B7" s="376">
        <f>IF('Juvenile Data'!B7&gt;0,'Juvenile Data'!B7,"")</f>
        <v>1983</v>
      </c>
      <c r="C7" s="372" t="str">
        <f t="shared" si="0"/>
        <v/>
      </c>
      <c r="D7" s="360"/>
      <c r="E7" s="370"/>
      <c r="F7" s="383"/>
      <c r="G7" s="394"/>
      <c r="H7" s="389" t="str">
        <f t="shared" si="1"/>
        <v/>
      </c>
      <c r="I7" s="364" t="str">
        <f t="shared" si="2"/>
        <v>ADULT: 1985 Adult abundance, stock comp, and age comp: Total OK Sox abundance based on BON SK dam count + Zone1-6 harvest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7" s="364" t="str">
        <f t="shared" si="3"/>
        <v>ADULT: 1985 howard.stiff@shaw.ca</v>
      </c>
      <c r="K7" s="367"/>
      <c r="L7" s="862"/>
      <c r="M7" s="367"/>
    </row>
    <row r="8" spans="1:44" ht="55.2" customHeight="1" x14ac:dyDescent="0.3">
      <c r="A8" s="450" t="str">
        <f>IF(ISBLANK('Juvenile Data'!A8),"",'Juvenile Data'!A8)</f>
        <v>Okanagan - Osoyoos</v>
      </c>
      <c r="B8" s="376">
        <f>IF('Juvenile Data'!B8&gt;0,'Juvenile Data'!B8,"")</f>
        <v>1984</v>
      </c>
      <c r="C8" s="372" t="str">
        <f t="shared" si="0"/>
        <v/>
      </c>
      <c r="D8" s="448">
        <f t="shared" ref="D8:D39" ca="1" si="4">IF(B8="","",IF(AND(MAX(Years)-1&gt;B8,OR(VLOOKUP(B8+1,AdultReturns,2)&gt;0,VLOOKUP(B8+2,AdultReturns,3)&gt;0)),SUM(VLOOKUP(B8+1,AdultReturns,2),VLOOKUP(B8+2,AdultReturns,3),VLOOKUP(B8+1,AdultReturns,4),VLOOKUP(B8+3,AdultReturns,5),VLOOKUP(B8+2,AdultReturns,6),VLOOKUP(B8+4,AdultReturns,7),VLOOKUP(B8+3,AdultReturns,8),VLOOKUP(B8+((OtherAge-INT(OtherAge))*10),AdultReturns,9)),""))</f>
        <v>53839.478898898902</v>
      </c>
      <c r="E8" s="449" t="str">
        <f t="shared" ref="E8:E39" ca="1" si="5">IF(AND(ISNUMBER(C8),ISNUMBER(D8)),D8/C8,"")</f>
        <v/>
      </c>
      <c r="F8" s="383"/>
      <c r="G8" s="394" t="str">
        <f ca="1">IF(B8="","",IF(D8="","Returns At Age Incomplete? ",IF(AND(MAX(Years)-2&gt;B8,VLOOKUP(B8+2,AdultReturns,3)&gt;0,VLOOKUP(B8+3,AdultReturns,5)&gt;0),"Returns Complete! ","Returns At Age Incomplete? ")&amp;IF(ISTEXT(VLOOKUP(B8+2,AdultReturns,11)),"ABUND: "&amp;VLOOKUP(B8+2,AdultReturns,11)&amp;"; ","")&amp;IF(ISTEXT(VLOOKUP(B8+2,AdultReturns,40)),"BIO: "&amp;VLOOKUP(B8+2,AdultReturns,40)&amp;"; ","")&amp;IF(ISTEXT(VLOOKUP(B8+2,AdultReturns,44)),"MIG: "&amp;VLOOKUP(B8+2,AdultReturns,44)&amp;"; ","")))</f>
        <v xml:space="preserve">Returns Complete! ABUND: Ok adults at mouth of Columbia (based on BONN counts (adj. 24-hr counts) + [[downstream harvest (Zones 1-5) apportioned to stock (based on annual RRH:Rock dam ratios)]]. [hs 2023-02-03]; </v>
      </c>
      <c r="H8" s="389" t="str">
        <f t="shared" si="1"/>
        <v/>
      </c>
      <c r="I8" s="364" t="str">
        <f t="shared" si="2"/>
        <v>ADULT: 1986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8" s="364" t="str">
        <f t="shared" si="3"/>
        <v>ADULT: 1986 howard.stiff@shaw.ca</v>
      </c>
      <c r="K8" s="367"/>
      <c r="L8" s="862"/>
      <c r="M8" s="367"/>
    </row>
    <row r="9" spans="1:44" ht="55.2" customHeight="1" x14ac:dyDescent="0.3">
      <c r="A9" s="450" t="str">
        <f>IF(ISBLANK('Juvenile Data'!A9),"",'Juvenile Data'!A9)</f>
        <v>Okanagan - Osoyoos</v>
      </c>
      <c r="B9" s="376">
        <f>IF('Juvenile Data'!B9&gt;0,'Juvenile Data'!B9,"")</f>
        <v>1985</v>
      </c>
      <c r="C9" s="447" t="str">
        <f t="shared" si="0"/>
        <v/>
      </c>
      <c r="D9" s="448">
        <f t="shared" ca="1" si="4"/>
        <v>51334.207813813824</v>
      </c>
      <c r="E9" s="1644" t="str">
        <f t="shared" ca="1" si="5"/>
        <v/>
      </c>
      <c r="F9" s="672" t="str">
        <f>IF(ISTEXT(VLOOKUP(B9,JuvAbund,6)),"ABUND: "&amp;VLOOKUP(B9,JuvAbund,6)&amp;"; ","")&amp;IF(ISTEXT(VLOOKUP(B9,JuvAbund,20)),"BIO: "&amp;VLOOKUP(B9,JuvAbund,20)&amp;"; ","")&amp;IF(ISTEXT(VLOOKUP(B9,JuvAbund,26)),"MIG: "&amp;VLOOKUP(B9,JuvAbund,26)&amp;"; ","")&amp;IF(ISTEXT(VLOOKUP(B9,JuvAbund,33)),"FRY: "&amp;VLOOKUP(B9,JuvAbund,33)&amp;"; ","")</f>
        <v xml:space="preserve">MIG: It should be possible to use TT50% at McNary Dam from the FPC or CBR-DART website (which would include Wen &amp; Ok smolts), as long as years demonstrating a bi-modal peak were treated differently. Wenatchee tends to migrate before Ok Sockeye (Williams et al. 2014), so it would be necessary to exclude the first mode to get Ok Sox migration timing. (hs 2022-09-28); </v>
      </c>
      <c r="G9" s="673" t="str">
        <f t="shared" ref="G9:G47" ca="1" si="6">IF(B9="","",IF(D9="","Returns At Age Incomplete (Adults N/A)? ",IF(AND(MAX(Years)-2&gt;B9,VLOOKUP(B9+2,AdultReturns,3)&gt;0,VLOOKUP(B9+3,AdultReturns,5)&gt;0),"Returns Complete! ","Returns At Age Incomplete (Age 42s or Age 52s missing or zero)? ")&amp;IF(ISTEXT(VLOOKUP(B9+2,AdultReturns,11)),"ABUND: "&amp;VLOOKUP(B9+2,AdultReturns,11)&amp;"; ","")&amp;IF(ISTEXT(VLOOKUP(B9+2,AdultReturns,40)),"BIO: "&amp;VLOOKUP(B9+2,AdultReturns,40)&amp;"; ","")&amp;IF(ISTEXT(VLOOKUP(B9+2,AdultReturns,44)),"MIG: "&amp;VLOOKUP(B9+2,AdultReturns,44)&amp;"; ","")))</f>
        <v xml:space="preserve">Returns Complete! ABUND: Ok adults at mouth of Columbia (based on BONN counts (adj. 24-hr counts) + [[downstream harvest (Zones 1-5) apportioned to stock (based on annual RRH:Rock dam ratios)]]. [hs 2023-02-03]; </v>
      </c>
      <c r="H9" s="674" t="str">
        <f t="shared" si="1"/>
        <v/>
      </c>
      <c r="I9" s="675" t="str">
        <f t="shared" si="2"/>
        <v>ADULT: 1987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9" s="675" t="str">
        <f t="shared" si="3"/>
        <v>JUV: ATS Equivalents SY1985-1997 deleted [2023-09-05]; ADULT: 1987 howard.stiff@shaw.ca</v>
      </c>
      <c r="K9" s="676" t="s">
        <v>401</v>
      </c>
      <c r="L9" s="865"/>
      <c r="M9" s="676"/>
      <c r="N9" s="449">
        <v>2.9151448843342462E-2</v>
      </c>
    </row>
    <row r="10" spans="1:44" ht="55.2" customHeight="1" x14ac:dyDescent="0.3">
      <c r="A10" s="450" t="str">
        <f ca="1">IF(OR(ISBLANK('Juvenile Data'!A10),'Juvenile Data'!B10&gt;YEAR(NOW())),"",'Juvenile Data'!A10)</f>
        <v>Okanagan - Osoyoos</v>
      </c>
      <c r="B10" s="376">
        <f ca="1">IF(AND('Juvenile Data'!B10&gt;0,'Juvenile Data'!B10&lt;=YEAR(NOW())),'Juvenile Data'!B10,"")</f>
        <v>1986</v>
      </c>
      <c r="C10" s="447" t="str">
        <f t="shared" ref="C10:C57" ca="1" si="7">IF(ISNUMBER(VLOOKUP(B10,JuvAbund,5)),VLOOKUP(B10,JuvAbund,5),"")</f>
        <v/>
      </c>
      <c r="D10" s="448">
        <f t="shared" ca="1" si="4"/>
        <v>126229.20999999999</v>
      </c>
      <c r="E10" s="1644" t="str">
        <f t="shared" ca="1" si="5"/>
        <v/>
      </c>
      <c r="F10" s="383" t="str">
        <f t="shared" ref="F10:F57" ca="1" si="8">IF(ISTEXT(VLOOKUP(B10,JuvAbund,6)),"ABUND: "&amp;VLOOKUP(B10,JuvAbund,6)&amp;"; ","")&amp;IF(ISTEXT(VLOOKUP(B10,JuvAbund,20)),"BIO: "&amp;VLOOKUP(B10,JuvAbund,20)&amp;"; ","")&amp;IF(ISTEXT(VLOOKUP(B10,JuvAbund,26)),"MIG: "&amp;VLOOKUP(B10,JuvAbund,26)&amp;"; ","")&amp;IF(ISTEXT(VLOOKUP(B10,JuvAbund,33)),"FRY: "&amp;VLOOKUP(B10,JuvAbund,33)&amp;"; ","")</f>
        <v/>
      </c>
      <c r="G10" s="394" t="str">
        <f t="shared" ca="1" si="6"/>
        <v xml:space="preserve">Returns At Age Incomplete (Age 42s or Age 52s missing or zero)? ABUND: Ok adults at mouth of Columbia (based on BONN counts (adj. 24-hr counts) + [[downstream harvest (Zones 1-5) apportioned to stock (based on annual RRH:Rock dam ratios)]]. [hs 2023-02-03]; </v>
      </c>
      <c r="H10" s="389" t="str">
        <f t="shared" ref="H10:H57" ca="1" si="9">IF(1&lt;LEN(VLOOKUP($B10,JuvAbund,34)),"JUV: "&amp;VLOOKUP($B10,JuvAbund,34)&amp;"; ","")&amp;IF(ISTEXT(VLOOKUP($B10+2,AdultReturns,47)),"ADULT: "&amp;$B10+2&amp;" "&amp;VLOOKUP($B10+2,AdultReturns,47),"")</f>
        <v/>
      </c>
      <c r="I10" s="364" t="str">
        <f t="shared" ref="I10:I57" ca="1" si="10">IF(1&lt;LEN(VLOOKUP($B10,JuvAbund,35)),"JUV: "&amp;VLOOKUP($B10,JuvAbund,35)&amp;"; ","")&amp;IF(ISTEXT(VLOOKUP($B10+2,AdultReturns,48)),"ADULT: "&amp;$B10+2&amp;" "&amp;VLOOKUP($B10+2,AdultReturns,48),"")</f>
        <v>ADULT: 1988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10" s="364" t="str">
        <f t="shared" ref="J10:J57" ca="1" si="11">IF(1&lt;LEN(VLOOKUP($B10,JuvAbund,36)),"JUV: "&amp;VLOOKUP($B10,JuvAbund,36)&amp;"; ","")&amp;IF(ISTEXT(VLOOKUP($B10+2,AdultReturns,49)),"ADULT: "&amp;$B10+2&amp;" "&amp;VLOOKUP($B10+2,AdultReturns,49),"")</f>
        <v>JUV: ATS Equivalents SY1985-1997 deleted [2023-09-05]; ADULT: 1988 howard.stiff@shaw.ca</v>
      </c>
      <c r="K10" s="367"/>
      <c r="L10" s="862"/>
      <c r="M10" s="367"/>
      <c r="N10" s="449">
        <v>5.5950350055228526E-2</v>
      </c>
    </row>
    <row r="11" spans="1:44" ht="55.2" customHeight="1" x14ac:dyDescent="0.3">
      <c r="A11" s="450" t="str">
        <f ca="1">IF(OR(ISBLANK('Juvenile Data'!A11),'Juvenile Data'!B11&gt;YEAR(NOW())),"",'Juvenile Data'!A11)</f>
        <v>Okanagan - Osoyoos</v>
      </c>
      <c r="B11" s="376">
        <f ca="1">IF(AND('Juvenile Data'!B11&gt;0,'Juvenile Data'!B11&lt;=YEAR(NOW())),'Juvenile Data'!B11,"")</f>
        <v>1987</v>
      </c>
      <c r="C11" s="373" t="str">
        <f t="shared" ca="1" si="7"/>
        <v/>
      </c>
      <c r="D11" s="378">
        <f t="shared" ca="1" si="4"/>
        <v>940.65599999999995</v>
      </c>
      <c r="E11" s="1629" t="str">
        <f t="shared" ca="1" si="5"/>
        <v/>
      </c>
      <c r="F11" s="383" t="str">
        <f t="shared" ca="1" si="8"/>
        <v/>
      </c>
      <c r="G11" s="394" t="str">
        <f t="shared" ca="1" si="6"/>
        <v xml:space="preserve">Returns At Age Incomplete (Age 42s or Age 52s missing or zero)? ABUND: Ok adults at mouth of Columbia (based on BONN counts (adj. 24-hr counts) + [[downstream harvest (Zones 1-5) apportioned to stock (based on annual RRH:Rock dam ratios)]]. [hs 2023-02-03]; </v>
      </c>
      <c r="H11" s="389" t="str">
        <f t="shared" ca="1" si="9"/>
        <v/>
      </c>
      <c r="I11" s="364" t="str">
        <f t="shared" ca="1" si="10"/>
        <v>ADULT: 1989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11" s="364" t="str">
        <f t="shared" ca="1" si="11"/>
        <v>JUV: ATS Equivalents SY1985-1997 deleted [2023-09-05]; ADULT: 1989 howard.stiff@shaw.ca</v>
      </c>
      <c r="K11" s="367"/>
      <c r="L11" s="862"/>
      <c r="M11" s="367"/>
      <c r="N11" s="341">
        <v>1.9132338146689822E-2</v>
      </c>
    </row>
    <row r="12" spans="1:44" ht="55.2" customHeight="1" x14ac:dyDescent="0.3">
      <c r="A12" s="450" t="str">
        <f ca="1">IF(OR(ISBLANK('Juvenile Data'!A12),'Juvenile Data'!B12&gt;YEAR(NOW())),"",'Juvenile Data'!A12)</f>
        <v>Okanagan - Osoyoos</v>
      </c>
      <c r="B12" s="376">
        <f ca="1">IF(AND('Juvenile Data'!B12&gt;0,'Juvenile Data'!B12&lt;=YEAR(NOW())),'Juvenile Data'!B12,"")</f>
        <v>1988</v>
      </c>
      <c r="C12" s="373" t="str">
        <f t="shared" ca="1" si="7"/>
        <v/>
      </c>
      <c r="D12" s="378" t="str">
        <f t="shared" ca="1" si="4"/>
        <v/>
      </c>
      <c r="E12" s="1645" t="str">
        <f t="shared" ca="1" si="5"/>
        <v/>
      </c>
      <c r="F12" s="384" t="str">
        <f t="shared" ca="1" si="8"/>
        <v/>
      </c>
      <c r="G12" s="394" t="str">
        <f t="shared" ca="1" si="6"/>
        <v xml:space="preserve">Returns At Age Incomplete (Adults N/A)? </v>
      </c>
      <c r="H12" s="390" t="str">
        <f t="shared" ca="1" si="9"/>
        <v/>
      </c>
      <c r="I12" s="334" t="str">
        <f t="shared" ca="1" si="10"/>
        <v>ADULT: 1990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12" s="335" t="str">
        <f t="shared" ca="1" si="11"/>
        <v>JUV: ATS Equivalents SY1985-1997 deleted [2023-09-05]; ADULT: 1990 howard.stiff@shaw.ca</v>
      </c>
      <c r="K12" s="367"/>
      <c r="L12" s="862"/>
      <c r="M12" s="367"/>
      <c r="N12" s="340">
        <v>9.1831821791156353E-3</v>
      </c>
    </row>
    <row r="13" spans="1:44" ht="55.2" customHeight="1" x14ac:dyDescent="0.3">
      <c r="A13" s="450" t="str">
        <f ca="1">IF(OR(ISBLANK('Juvenile Data'!A13),'Juvenile Data'!B13&gt;YEAR(NOW())),"",'Juvenile Data'!A13)</f>
        <v>Okanagan - Osoyoos</v>
      </c>
      <c r="B13" s="376">
        <f ca="1">IF(AND('Juvenile Data'!B13&gt;0,'Juvenile Data'!B13&lt;=YEAR(NOW())),'Juvenile Data'!B13,"")</f>
        <v>1989</v>
      </c>
      <c r="C13" s="373" t="str">
        <f t="shared" ca="1" si="7"/>
        <v/>
      </c>
      <c r="D13" s="378" t="str">
        <f t="shared" ca="1" si="4"/>
        <v/>
      </c>
      <c r="E13" s="1629" t="str">
        <f t="shared" ca="1" si="5"/>
        <v/>
      </c>
      <c r="F13" s="384" t="str">
        <f t="shared" ca="1" si="8"/>
        <v/>
      </c>
      <c r="G13" s="394" t="str">
        <f t="shared" ca="1" si="6"/>
        <v xml:space="preserve">Returns At Age Incomplete (Adults N/A)? </v>
      </c>
      <c r="H13" s="391" t="str">
        <f t="shared" ca="1" si="9"/>
        <v/>
      </c>
      <c r="I13" s="336" t="str">
        <f t="shared" ca="1" si="10"/>
        <v>ADULT: 1991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13" s="337" t="str">
        <f t="shared" ca="1" si="11"/>
        <v>JUV: ATS Equivalents SY1985-1997 deleted [2023-09-05]; ADULT: 1991 howard.stiff@shaw.ca</v>
      </c>
      <c r="K13" s="367"/>
      <c r="L13" s="862"/>
      <c r="M13" s="367"/>
      <c r="N13" s="341">
        <v>5.3483597725828017E-2</v>
      </c>
    </row>
    <row r="14" spans="1:44" ht="55.2" customHeight="1" x14ac:dyDescent="0.3">
      <c r="A14" s="450" t="str">
        <f ca="1">IF(OR(ISBLANK('Juvenile Data'!A14),'Juvenile Data'!B14&gt;YEAR(NOW())),"",'Juvenile Data'!A14)</f>
        <v>Okanagan - Osoyoos</v>
      </c>
      <c r="B14" s="376">
        <f ca="1">IF(AND('Juvenile Data'!B14&gt;0,'Juvenile Data'!B14&lt;=YEAR(NOW())),'Juvenile Data'!B14,"")</f>
        <v>1990</v>
      </c>
      <c r="C14" s="373" t="str">
        <f t="shared" ca="1" si="7"/>
        <v/>
      </c>
      <c r="D14" s="378" t="str">
        <f t="shared" ca="1" si="4"/>
        <v/>
      </c>
      <c r="E14" s="1629" t="str">
        <f t="shared" ca="1" si="5"/>
        <v/>
      </c>
      <c r="F14" s="384" t="str">
        <f t="shared" ca="1" si="8"/>
        <v/>
      </c>
      <c r="G14" s="394" t="str">
        <f t="shared" ca="1" si="6"/>
        <v xml:space="preserve">Returns At Age Incomplete (Adults N/A)? </v>
      </c>
      <c r="H14" s="391" t="str">
        <f t="shared" ca="1" si="9"/>
        <v/>
      </c>
      <c r="I14" s="336" t="str">
        <f t="shared" ca="1" si="10"/>
        <v>ADULT: 1992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14" s="337" t="str">
        <f t="shared" ca="1" si="11"/>
        <v>JUV: ATS Equivalents SY1985-1997 deleted [2023-09-05]; ADULT: 1992 howard.stiff@shaw.ca</v>
      </c>
      <c r="K14" s="367"/>
      <c r="L14" s="862"/>
      <c r="M14" s="367"/>
      <c r="N14" s="341">
        <v>0.19595419827081922</v>
      </c>
    </row>
    <row r="15" spans="1:44" ht="55.2" customHeight="1" x14ac:dyDescent="0.3">
      <c r="A15" s="450" t="str">
        <f ca="1">IF(OR(ISBLANK('Juvenile Data'!A15),'Juvenile Data'!B15&gt;YEAR(NOW())),"",'Juvenile Data'!A15)</f>
        <v>Okanagan - Osoyoos</v>
      </c>
      <c r="B15" s="376">
        <f ca="1">IF(AND('Juvenile Data'!B15&gt;0,'Juvenile Data'!B15&lt;=YEAR(NOW())),'Juvenile Data'!B15,"")</f>
        <v>1991</v>
      </c>
      <c r="C15" s="373" t="str">
        <f t="shared" ca="1" si="7"/>
        <v/>
      </c>
      <c r="D15" s="333" t="str">
        <f t="shared" ca="1" si="4"/>
        <v/>
      </c>
      <c r="E15" s="1629" t="str">
        <f t="shared" ca="1" si="5"/>
        <v/>
      </c>
      <c r="F15" s="384" t="str">
        <f t="shared" ca="1" si="8"/>
        <v/>
      </c>
      <c r="G15" s="394" t="str">
        <f t="shared" ca="1" si="6"/>
        <v xml:space="preserve">Returns At Age Incomplete (Adults N/A)? </v>
      </c>
      <c r="H15" s="391" t="str">
        <f t="shared" ca="1" si="9"/>
        <v/>
      </c>
      <c r="I15" s="336" t="str">
        <f t="shared" ca="1" si="10"/>
        <v>ADULT: 1993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15" s="337" t="str">
        <f t="shared" ca="1" si="11"/>
        <v>JUV: ATS Equivalents SY1985-1997 deleted [2023-09-05]; ADULT: 1993 howard.stiff@shaw.ca</v>
      </c>
      <c r="K15" s="367"/>
      <c r="L15" s="862"/>
      <c r="M15" s="367"/>
      <c r="N15" s="341">
        <v>0.12118335881352346</v>
      </c>
    </row>
    <row r="16" spans="1:44" ht="55.2" customHeight="1" x14ac:dyDescent="0.3">
      <c r="A16" s="450" t="str">
        <f ca="1">IF(OR(ISBLANK('Juvenile Data'!A16),'Juvenile Data'!B16&gt;YEAR(NOW())),"",'Juvenile Data'!A16)</f>
        <v>Okanagan - Osoyoos</v>
      </c>
      <c r="B16" s="376">
        <f ca="1">IF(AND('Juvenile Data'!B16&gt;0,'Juvenile Data'!B16&lt;=YEAR(NOW())),'Juvenile Data'!B16,"")</f>
        <v>1992</v>
      </c>
      <c r="C16" s="373" t="str">
        <f t="shared" ca="1" si="7"/>
        <v/>
      </c>
      <c r="D16" s="333">
        <f t="shared" ca="1" si="4"/>
        <v>383.11646092184372</v>
      </c>
      <c r="E16" s="1629" t="str">
        <f t="shared" ca="1" si="5"/>
        <v/>
      </c>
      <c r="F16" s="384" t="str">
        <f t="shared" ca="1" si="8"/>
        <v/>
      </c>
      <c r="G16" s="394" t="str">
        <f t="shared" ca="1" si="6"/>
        <v xml:space="preserve">Returns Complete! ABUND: Ok adults at mouth of Columbia (based on BONN counts (adj. 24-hr counts) + [[downstream harvest (Zones 1-5) apportioned to stock (based on annual RRH:Rock dam ratios)]]. [hs 2023-02-03]; </v>
      </c>
      <c r="H16" s="391" t="str">
        <f t="shared" ca="1" si="9"/>
        <v/>
      </c>
      <c r="I16" s="336" t="str">
        <f t="shared" ca="1" si="10"/>
        <v>ADULT: 1994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16" s="337" t="str">
        <f t="shared" ca="1" si="11"/>
        <v>JUV: ATS Equivalents SY1985-1997 deleted [2023-09-05]; ADULT: 1994 howard.stiff@shaw.ca</v>
      </c>
      <c r="K16" s="367"/>
      <c r="L16" s="862"/>
      <c r="M16" s="367"/>
      <c r="N16" s="341">
        <v>2.8380361991986614E-3</v>
      </c>
    </row>
    <row r="17" spans="1:14" ht="55.2" customHeight="1" x14ac:dyDescent="0.3">
      <c r="A17" s="450" t="str">
        <f ca="1">IF(OR(ISBLANK('Juvenile Data'!A17),'Juvenile Data'!B17&gt;YEAR(NOW())),"",'Juvenile Data'!A17)</f>
        <v>Okanagan - Osoyoos</v>
      </c>
      <c r="B17" s="376">
        <f ca="1">IF(AND('Juvenile Data'!B17&gt;0,'Juvenile Data'!B17&lt;=YEAR(NOW())),'Juvenile Data'!B17,"")</f>
        <v>1993</v>
      </c>
      <c r="C17" s="373" t="str">
        <f t="shared" ca="1" si="7"/>
        <v/>
      </c>
      <c r="D17" s="333">
        <f t="shared" ca="1" si="4"/>
        <v>3927.92545490982</v>
      </c>
      <c r="E17" s="1629" t="str">
        <f t="shared" ca="1" si="5"/>
        <v/>
      </c>
      <c r="F17" s="384" t="str">
        <f t="shared" ca="1" si="8"/>
        <v/>
      </c>
      <c r="G17" s="394" t="str">
        <f t="shared" ca="1" si="6"/>
        <v xml:space="preserve">Returns Complete! ABUND: Ok adults at mouth of Columbia (based on BONN counts (adj. 24-hr counts) + [[downstream harvest (Zones 1-5) apportioned to stock (based on annual RRH:Rock dam ratios)]]. [hs 2023-02-03]; </v>
      </c>
      <c r="H17" s="391" t="str">
        <f t="shared" ca="1" si="9"/>
        <v/>
      </c>
      <c r="I17" s="336" t="str">
        <f t="shared" ca="1" si="10"/>
        <v>ADULT: 1995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17" s="337" t="str">
        <f t="shared" ca="1" si="11"/>
        <v>JUV: ATS Equivalents SY1985-1997 deleted [2023-09-05]; ADULT: 1995 howard.stiff@shaw.ca</v>
      </c>
      <c r="K17" s="367"/>
      <c r="L17" s="862"/>
      <c r="M17" s="367"/>
      <c r="N17" s="341">
        <v>2.8770623200475506E-3</v>
      </c>
    </row>
    <row r="18" spans="1:14" ht="55.2" customHeight="1" x14ac:dyDescent="0.3">
      <c r="A18" s="450" t="str">
        <f ca="1">IF(OR(ISBLANK('Juvenile Data'!A18),'Juvenile Data'!B18&gt;YEAR(NOW())),"",'Juvenile Data'!A18)</f>
        <v>Okanagan - Osoyoos</v>
      </c>
      <c r="B18" s="376">
        <f ca="1">IF(AND('Juvenile Data'!B18&gt;0,'Juvenile Data'!B18&lt;=YEAR(NOW())),'Juvenile Data'!B18,"")</f>
        <v>1994</v>
      </c>
      <c r="C18" s="373" t="str">
        <f t="shared" ca="1" si="7"/>
        <v/>
      </c>
      <c r="D18" s="333">
        <f t="shared" ca="1" si="4"/>
        <v>24219.032084168335</v>
      </c>
      <c r="E18" s="1629" t="str">
        <f t="shared" ca="1" si="5"/>
        <v/>
      </c>
      <c r="F18" s="384" t="str">
        <f t="shared" ca="1" si="8"/>
        <v/>
      </c>
      <c r="G18" s="394" t="str">
        <f t="shared" ca="1" si="6"/>
        <v xml:space="preserve">Returns Complete! ABUND: Ok adults at mouth of Columbia (based on BONN counts (adj. 24-hr counts) + [[downstream harvest (Zones 1-5) apportioned to stock (based on annual RRH:Rock dam ratios)]]. [hs 2023-02-03]; </v>
      </c>
      <c r="H18" s="391" t="str">
        <f t="shared" ca="1" si="9"/>
        <v/>
      </c>
      <c r="I18" s="336" t="str">
        <f t="shared" ca="1" si="10"/>
        <v>ADULT: 1996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18" s="337" t="str">
        <f t="shared" ca="1" si="11"/>
        <v>JUV: ATS Equivalents SY1985-1997 deleted [2023-09-05]; ADULT: 1996 howard.stiff@shaw.ca</v>
      </c>
      <c r="K18" s="367"/>
      <c r="L18" s="862"/>
      <c r="M18" s="367"/>
      <c r="N18" s="341">
        <v>3.5378276155687331E-2</v>
      </c>
    </row>
    <row r="19" spans="1:14" ht="55.2" customHeight="1" x14ac:dyDescent="0.3">
      <c r="A19" s="450" t="str">
        <f ca="1">IF(OR(ISBLANK('Juvenile Data'!A19),'Juvenile Data'!B19&gt;YEAR(NOW())),"",'Juvenile Data'!A19)</f>
        <v>Okanagan - Osoyoos</v>
      </c>
      <c r="B19" s="376">
        <f ca="1">IF(AND('Juvenile Data'!B19&gt;0,'Juvenile Data'!B19&lt;=YEAR(NOW())),'Juvenile Data'!B19,"")</f>
        <v>1995</v>
      </c>
      <c r="C19" s="373" t="str">
        <f t="shared" ca="1" si="7"/>
        <v/>
      </c>
      <c r="D19" s="333">
        <f t="shared" ca="1" si="4"/>
        <v>37520.464999999997</v>
      </c>
      <c r="E19" s="1629" t="str">
        <f t="shared" ca="1" si="5"/>
        <v/>
      </c>
      <c r="F19" s="384" t="str">
        <f t="shared" ca="1" si="8"/>
        <v/>
      </c>
      <c r="G19" s="394" t="str">
        <f t="shared" ca="1" si="6"/>
        <v xml:space="preserve">Returns Complete! ABUND: Ok adults at mouth of Columbia (based on BONN counts (adj. 24-hr counts) + [[downstream harvest (Zones 1-5) apportioned to stock (based on annual RRH:Rock dam ratios)]]. [hs 2023-02-03]; </v>
      </c>
      <c r="H19" s="391" t="str">
        <f t="shared" ca="1" si="9"/>
        <v/>
      </c>
      <c r="I19" s="336" t="str">
        <f t="shared" ca="1" si="10"/>
        <v>ADULT: 1997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19" s="337" t="str">
        <f t="shared" ca="1" si="11"/>
        <v>JUV: ATS Equivalents SY1985-1997 deleted [2023-09-05]; ADULT: 1997 howard.stiff@shaw.ca</v>
      </c>
      <c r="K19" s="367"/>
      <c r="L19" s="862"/>
      <c r="M19" s="367"/>
      <c r="N19" s="341">
        <v>3.7939904219547349E-2</v>
      </c>
    </row>
    <row r="20" spans="1:14" ht="55.2" customHeight="1" x14ac:dyDescent="0.3">
      <c r="A20" s="450" t="str">
        <f ca="1">IF(OR(ISBLANK('Juvenile Data'!A20),'Juvenile Data'!B20&gt;YEAR(NOW())),"",'Juvenile Data'!A20)</f>
        <v>Okanagan - Osoyoos</v>
      </c>
      <c r="B20" s="376">
        <f ca="1">IF(AND('Juvenile Data'!B20&gt;0,'Juvenile Data'!B20&lt;=YEAR(NOW())),'Juvenile Data'!B20,"")</f>
        <v>1996</v>
      </c>
      <c r="C20" s="373" t="str">
        <f t="shared" ca="1" si="7"/>
        <v/>
      </c>
      <c r="D20" s="333">
        <f t="shared" ca="1" si="4"/>
        <v>6404.0999999999995</v>
      </c>
      <c r="E20" s="1629" t="str">
        <f t="shared" ca="1" si="5"/>
        <v/>
      </c>
      <c r="F20" s="384" t="str">
        <f t="shared" ca="1" si="8"/>
        <v/>
      </c>
      <c r="G20" s="394" t="str">
        <f t="shared" ca="1" si="6"/>
        <v xml:space="preserve">Returns At Age Incomplete (Age 42s or Age 52s missing or zero)? ABUND: Ok adults at mouth of Columbia (based on BONN counts (adj. 24-hr counts) + [[downstream harvest (Zones 1-5) apportioned to stock (based on annual RRH:Rock dam ratios)]]. [hs 2023-02-03]; </v>
      </c>
      <c r="H20" s="391" t="str">
        <f t="shared" ca="1" si="9"/>
        <v>ADULT: 1998 Hottest summer</v>
      </c>
      <c r="I20" s="336" t="str">
        <f t="shared" ca="1" si="10"/>
        <v>ADULT: 1998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20" s="337" t="str">
        <f t="shared" ca="1" si="11"/>
        <v>JUV: ATS Equivalents SY1985-1997 deleted [2023-09-05]; ADULT: 1998 howard.stiff@shaw.ca</v>
      </c>
      <c r="K20" s="367" t="s">
        <v>402</v>
      </c>
      <c r="L20" s="862"/>
      <c r="M20" s="367"/>
      <c r="N20" s="341">
        <v>4.4263157276658464E-2</v>
      </c>
    </row>
    <row r="21" spans="1:14" ht="55.2" customHeight="1" x14ac:dyDescent="0.3">
      <c r="A21" s="450" t="str">
        <f ca="1">IF(OR(ISBLANK('Juvenile Data'!A21),'Juvenile Data'!B21&gt;YEAR(NOW())),"",'Juvenile Data'!A21)</f>
        <v>Okanagan - Osoyoos</v>
      </c>
      <c r="B21" s="376">
        <f ca="1">IF(AND('Juvenile Data'!B21&gt;0,'Juvenile Data'!B21&lt;=YEAR(NOW())),'Juvenile Data'!B21,"")</f>
        <v>1997</v>
      </c>
      <c r="C21" s="373" t="str">
        <f t="shared" ca="1" si="7"/>
        <v/>
      </c>
      <c r="D21" s="333">
        <f t="shared" ca="1" si="4"/>
        <v>15323.883141858141</v>
      </c>
      <c r="E21" s="1629" t="str">
        <f t="shared" ca="1" si="5"/>
        <v/>
      </c>
      <c r="F21" s="384" t="str">
        <f t="shared" ca="1" si="8"/>
        <v/>
      </c>
      <c r="G21" s="394" t="str">
        <f t="shared" ca="1" si="6"/>
        <v xml:space="preserve">Returns Complete! ABUND: Ok adults at mouth of Columbia (based on BONN counts (adj. 24-hr counts) + [[downstream harvest (Zones 1-5) apportioned to stock (based on annual RRH:Rock dam ratios)]]. [hs 2023-02-03]; </v>
      </c>
      <c r="H21" s="391" t="str">
        <f t="shared" ca="1" si="9"/>
        <v xml:space="preserve">JUV: SY1998-present: Presmolt estimates from fall-winter ATS survey(s) in previous year. Length &amp; Weight weighted by trawl sample sizes.; ADULT: 1999  </v>
      </c>
      <c r="I21" s="336" t="str">
        <f t="shared" ca="1" si="10"/>
        <v>ADULT: 1999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21" s="337" t="str">
        <f t="shared" ca="1" si="11"/>
        <v>ADULT: 1999 howard.stiff@shaw.ca</v>
      </c>
      <c r="K21" s="367"/>
      <c r="L21" s="862"/>
      <c r="M21" s="367"/>
      <c r="N21" s="341">
        <v>3.3486549583931755E-2</v>
      </c>
    </row>
    <row r="22" spans="1:14" ht="55.2" customHeight="1" x14ac:dyDescent="0.3">
      <c r="A22" s="450" t="str">
        <f ca="1">IF(OR(ISBLANK('Juvenile Data'!A22),'Juvenile Data'!B22&gt;YEAR(NOW())),"",'Juvenile Data'!A22)</f>
        <v>Okanagan - Osoyoos</v>
      </c>
      <c r="B22" s="376">
        <f ca="1">IF(AND('Juvenile Data'!B22&gt;0,'Juvenile Data'!B22&lt;=YEAR(NOW())),'Juvenile Data'!B22,"")</f>
        <v>1998</v>
      </c>
      <c r="C22" s="373">
        <f t="shared" ca="1" si="7"/>
        <v>1209167</v>
      </c>
      <c r="D22" s="333">
        <f t="shared" ca="1" si="4"/>
        <v>67165.832689958479</v>
      </c>
      <c r="E22" s="1629">
        <f t="shared" ca="1" si="5"/>
        <v>5.5547192976618184E-2</v>
      </c>
      <c r="F22" s="384" t="str">
        <f t="shared" ca="1" si="8"/>
        <v xml:space="preserve">ABUND: Age comp based on FW age composition of adult returns x best winter presmolt abundance copied from Pre-Smolt section. See General Comments. [hs 2022-10-31]; FRY: FL; </v>
      </c>
      <c r="G22" s="394" t="str">
        <f t="shared" ca="1" si="6"/>
        <v xml:space="preserve">Returns Complete! ABUND: Ok adults at mouth of Columbia (based on BONN counts (adj. 24-hr counts) + [[downstream harvest (Zones 1-5) apportioned to stock (based on annual RRH:Rock dam ratios)]]. [hs 2023-02-03]; </v>
      </c>
      <c r="H22" s="391" t="str">
        <f t="shared" ca="1" si="9"/>
        <v xml:space="preserve">JUV: Abund based on mean of Jul Sep Nov 97 ATS surveys (Judson et al. 2023); Len Wt estimates from weighted mean of select fall-winter ATS survey(s) in previous year (see Presmolt_Sizes_tidy_22.11.16.xlsx); Data Source:  Osoyoos_trawl_November'97.xlsx, CNAT_nuOkanagan_Juveniles 22.10.27.xlsx; ADULT: 2000  </v>
      </c>
      <c r="I22" s="336" t="str">
        <f t="shared" ca="1" si="10"/>
        <v>JUV: Hottest summer; ADULT: 2000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22" s="337" t="str">
        <f t="shared" ca="1" si="11"/>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2000 howard.stiff@shaw.ca</v>
      </c>
      <c r="K22" s="676" t="s">
        <v>401</v>
      </c>
      <c r="L22" s="862"/>
      <c r="M22" s="871">
        <v>22.1</v>
      </c>
      <c r="N22" s="341">
        <v>6.144307970529414E-2</v>
      </c>
    </row>
    <row r="23" spans="1:14" ht="42" customHeight="1" x14ac:dyDescent="0.3">
      <c r="A23" s="450" t="str">
        <f ca="1">IF(OR(ISBLANK('Juvenile Data'!A23),'Juvenile Data'!B23&gt;YEAR(NOW())),"",'Juvenile Data'!A23)</f>
        <v>Okanagan - Osoyoos</v>
      </c>
      <c r="B23" s="376">
        <f ca="1">IF(AND('Juvenile Data'!B23&gt;0,'Juvenile Data'!B23&lt;=YEAR(NOW())),'Juvenile Data'!B23,"")</f>
        <v>1999</v>
      </c>
      <c r="C23" s="373">
        <f t="shared" ca="1" si="7"/>
        <v>3099743</v>
      </c>
      <c r="D23" s="333">
        <f t="shared" ca="1" si="4"/>
        <v>92990.339670113375</v>
      </c>
      <c r="E23" s="1629">
        <f t="shared" ca="1" si="5"/>
        <v>2.9999370809164944E-2</v>
      </c>
      <c r="F23" s="384" t="str">
        <f t="shared" ca="1" si="8"/>
        <v xml:space="preserve">ABUND: Age comp based on FW age composition of adult returns x best winter presmolt abundance copied from Pre-Smolt section. See General Comments. [hs 2022-10-31]; FRY: FL; </v>
      </c>
      <c r="G23" s="394" t="str">
        <f t="shared" ca="1" si="6"/>
        <v xml:space="preserve">Returns Complete! ABUND: Ok adults at mouth of Columbia (based on BONN counts (adj. 24-hr counts) + [[downstream harvest (Zones 1-5) apportioned to stock (based on annual RRH:Rock dam ratios)]]. [hs 2023-02-03]; </v>
      </c>
      <c r="H23" s="391" t="str">
        <f t="shared" ca="1" si="9"/>
        <v xml:space="preserve">JUV: Abund based on mean of May Jul Oct 98 ATS surveys (Judson et al. 2023); Len Wt estimates from weighted mean of select fall-winter ATS survey(s) in previous year (see Presmolt_Sizes_tidy_22.11.16.xlsx); Data Source:  Osoyoos_trawl_November'97.xlsx, CNAT_nuOkanagan_Juveniles 22.10.27.xlsx; ADULT: 2001  </v>
      </c>
      <c r="I23" s="336" t="str">
        <f t="shared" ca="1" si="10"/>
        <v>ADULT: 2001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23" s="337" t="str">
        <f t="shared" ca="1" si="11"/>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2001 howard.stiff@shaw.ca</v>
      </c>
      <c r="K23" s="367"/>
      <c r="L23" s="862"/>
      <c r="M23" s="871">
        <v>7.6</v>
      </c>
      <c r="N23" s="341">
        <v>3.3723830258834298E-2</v>
      </c>
    </row>
    <row r="24" spans="1:14" ht="42" customHeight="1" x14ac:dyDescent="0.3">
      <c r="A24" s="450" t="str">
        <f ca="1">IF(OR(ISBLANK('Juvenile Data'!A24),'Juvenile Data'!B24&gt;YEAR(NOW())),"",'Juvenile Data'!A24)</f>
        <v>Okanagan - Osoyoos</v>
      </c>
      <c r="B24" s="376">
        <f ca="1">IF(AND('Juvenile Data'!B24&gt;0,'Juvenile Data'!B24&lt;=YEAR(NOW())),'Juvenile Data'!B24,"")</f>
        <v>2000</v>
      </c>
      <c r="C24" s="373">
        <f t="shared" ca="1" si="7"/>
        <v>281333</v>
      </c>
      <c r="D24" s="333">
        <f t="shared" ca="1" si="4"/>
        <v>17167.268944878469</v>
      </c>
      <c r="E24" s="1629">
        <f t="shared" ca="1" si="5"/>
        <v>6.10211704452676E-2</v>
      </c>
      <c r="F24" s="384" t="str">
        <f t="shared" ca="1" si="8"/>
        <v xml:space="preserve">ABUND: Age comp based on FW age composition of adult returns x best winter presmolt abundance copied from Pre-Smolt section. See General Comments. [hs 2022-10-31]; </v>
      </c>
      <c r="G24" s="394" t="str">
        <f t="shared" ca="1" si="6"/>
        <v xml:space="preserve">Returns Complete! ABUND: Ok adults at mouth of Columbia (based on BONN counts (adj. 24-hr counts) + [[downstream harvest (Zones 1-5) apportioned to stock (based on annual RRH:Rock dam ratios)]]. [hs 2023-02-03]; </v>
      </c>
      <c r="H24" s="391" t="str">
        <f t="shared" ca="1" si="9"/>
        <v xml:space="preserve">JUV: Abund based on mean of May Aug Sep 99 ATS surveys (Judson et al. 2023); Len Wt estimates from weighted mean of select fall-winter ATS survey(s) in previous year (see Presmolt_Sizes_tidy_22.11.16.xlsx); Data Source:  Osoyoos_trawl_November'97.xlsx, CNAT_nuOkanagan_Juveniles 22.10.27.xlsx; ADULT: 2002  </v>
      </c>
      <c r="I24" s="336" t="str">
        <f t="shared" ca="1" si="10"/>
        <v>ADULT: 2002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24" s="337" t="str">
        <f t="shared" ca="1" si="11"/>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2002 howard.stiff@shaw.ca</v>
      </c>
      <c r="K24" s="367"/>
      <c r="L24" s="862"/>
      <c r="M24" s="871">
        <v>9.4</v>
      </c>
      <c r="N24" s="341">
        <v>4.9303980018330695E-2</v>
      </c>
    </row>
    <row r="25" spans="1:14" ht="42" customHeight="1" x14ac:dyDescent="0.3">
      <c r="A25" s="450" t="str">
        <f ca="1">IF(OR(ISBLANK('Juvenile Data'!A25),'Juvenile Data'!B25&gt;YEAR(NOW())),"",'Juvenile Data'!A25)</f>
        <v>Okanagan - Osoyoos</v>
      </c>
      <c r="B25" s="376">
        <f ca="1">IF(AND('Juvenile Data'!B25&gt;0,'Juvenile Data'!B25&lt;=YEAR(NOW())),'Juvenile Data'!B25,"")</f>
        <v>2001</v>
      </c>
      <c r="C25" s="373">
        <f t="shared" ca="1" si="7"/>
        <v>1446600</v>
      </c>
      <c r="D25" s="333">
        <f t="shared" ca="1" si="4"/>
        <v>31189.363810113962</v>
      </c>
      <c r="E25" s="1629">
        <f t="shared" ca="1" si="5"/>
        <v>2.1560461641168229E-2</v>
      </c>
      <c r="F25" s="384" t="str">
        <f t="shared" ca="1" si="8"/>
        <v xml:space="preserve">ABUND: Age comp based on FW age composition of adult returns x best winter presmolt abundance copied from Pre-Smolt section. See General Comments. [hs 2022-10-31]; FRY: FL; </v>
      </c>
      <c r="G25" s="394" t="str">
        <f t="shared" ca="1" si="6"/>
        <v xml:space="preserve">Returns Complete! ABUND: Ok adults at mouth of Columbia (based on BONN counts (adj. 24-hr counts) + [[downstream harvest (Zones 1-5) apportioned to stock (based on annual RRH:Rock dam ratios)]]. [hs 2023-02-03]; </v>
      </c>
      <c r="H25" s="391" t="str">
        <f t="shared" ca="1" si="9"/>
        <v>JUV: Abund based on mean of Jul Sep 2000 ATS surveys (Judson et al. 2023); Len Wt estimates from weighted mean of select fall-winter ATS survey(s) in previous year (see Presmolt_Sizes_tidy_22.11.16.xlsx); Data Source:  Osoyoos_trawl_November'97.xlsx, CNAT_nuOkanagan_Juveniles 22.10.27.xlsx; ADULT: 2003 Hot, dry summer in 2003; no rain in Oliver Jul/Aug 2003</v>
      </c>
      <c r="I25" s="336" t="str">
        <f t="shared" ca="1" si="10"/>
        <v>ADULT: 2003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25" s="337" t="str">
        <f t="shared" ca="1" si="11"/>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2003 howard.stiff@shaw.ca</v>
      </c>
      <c r="K25" s="367" t="s">
        <v>403</v>
      </c>
      <c r="L25" s="862"/>
      <c r="M25" s="871">
        <v>9.1</v>
      </c>
      <c r="N25" s="341">
        <v>1.4560805587100595E-2</v>
      </c>
    </row>
    <row r="26" spans="1:14" ht="42" customHeight="1" x14ac:dyDescent="0.3">
      <c r="A26" s="450" t="str">
        <f ca="1">IF(OR(ISBLANK('Juvenile Data'!A26),'Juvenile Data'!B26&gt;YEAR(NOW())),"",'Juvenile Data'!A26)</f>
        <v>Okanagan - Osoyoos</v>
      </c>
      <c r="B26" s="376">
        <f ca="1">IF(AND('Juvenile Data'!B26&gt;0,'Juvenile Data'!B26&lt;=YEAR(NOW())),'Juvenile Data'!B26,"")</f>
        <v>2002</v>
      </c>
      <c r="C26" s="373">
        <f t="shared" ca="1" si="7"/>
        <v>2927009</v>
      </c>
      <c r="D26" s="333">
        <f t="shared" ca="1" si="4"/>
        <v>91108.416660124509</v>
      </c>
      <c r="E26" s="1629">
        <f t="shared" ca="1" si="5"/>
        <v>3.1126797580781101E-2</v>
      </c>
      <c r="F26" s="384" t="str">
        <f t="shared" ca="1" si="8"/>
        <v xml:space="preserve">ABUND: Age comp based on FW age composition of adult returns x best winter presmolt abundance copied from Pre-Smolt section. See General Comments. [hs 2022-10-31]; FRY: FL; </v>
      </c>
      <c r="G26" s="394" t="str">
        <f t="shared" ca="1" si="6"/>
        <v xml:space="preserve">Returns Complete! ABUND: Ok adults at mouth of Columbia (based on BONN counts (adj. 24-hr counts) + [[downstream harvest (Zones 1-5) apportioned to stock (based on annual RRH:Rock dam ratios)]]. [hs 2023-02-03]; </v>
      </c>
      <c r="H26" s="391" t="str">
        <f t="shared" ca="1" si="9"/>
        <v xml:space="preserve">JUV: Abund based on mean of Nov 2001 ATS surveys (Judson et al. 2023); Len Wt estimates from weighted mean of select fall-winter ATS survey(s) in previous year (see Presmolt_Sizes_tidy_22.11.16.xlsx); Data Source:  Osoyoos_trawl_November'97.xlsx, CNAT_nuOkanagan_Juveniles 22.10.27.xlsx; </v>
      </c>
      <c r="I26" s="336" t="str">
        <f t="shared" ca="1" si="10"/>
        <v>ADULT: 2004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26" s="337" t="str">
        <f t="shared" ca="1" si="11"/>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2004 howard.stiff@shaw.ca</v>
      </c>
      <c r="K26" s="367"/>
      <c r="L26" s="862"/>
      <c r="M26" s="871">
        <v>7.3</v>
      </c>
      <c r="N26" s="341">
        <v>4.2435232745871847E-2</v>
      </c>
    </row>
    <row r="27" spans="1:14" ht="42" customHeight="1" x14ac:dyDescent="0.3">
      <c r="A27" s="450" t="str">
        <f ca="1">IF(OR(ISBLANK('Juvenile Data'!A27),'Juvenile Data'!B27&gt;YEAR(NOW())),"",'Juvenile Data'!A27)</f>
        <v>Okanagan - Osoyoos</v>
      </c>
      <c r="B27" s="376">
        <f ca="1">IF(AND('Juvenile Data'!B27&gt;0,'Juvenile Data'!B27&lt;=YEAR(NOW())),'Juvenile Data'!B27,"")</f>
        <v>2003</v>
      </c>
      <c r="C27" s="373">
        <f t="shared" ca="1" si="7"/>
        <v>2080978</v>
      </c>
      <c r="D27" s="333">
        <f t="shared" ca="1" si="4"/>
        <v>62733.266068811485</v>
      </c>
      <c r="E27" s="1629">
        <f t="shared" ca="1" si="5"/>
        <v>3.0146049630900222E-2</v>
      </c>
      <c r="F27" s="384" t="str">
        <f t="shared" ca="1" si="8"/>
        <v xml:space="preserve">ABUND: Age comp based on FW age composition of adult returns x best winter presmolt abundance copied from Pre-Smolt section. See General Comments. [hs 2022-10-31]; FRY: FL; </v>
      </c>
      <c r="G27" s="394" t="str">
        <f t="shared" ca="1" si="6"/>
        <v xml:space="preserve">Returns Complete! ABUND: Ok adults at mouth of Columbia (based on BONN counts (adj. 24-hr counts) + [[downstream harvest (Zones 1-5) apportioned to stock (based on annual RRH:Rock dam ratios)]]. [hs 2023-02-03]; </v>
      </c>
      <c r="H27" s="391" t="str">
        <f t="shared" ca="1" si="9"/>
        <v xml:space="preserve">JUV: Abund based on mean of Oct Nov 2002 ATS surveys (Judson et al. 2023); Len Wt estimates from weighted mean of select fall-winter ATS survey(s) in previous year (see Presmolt_Sizes_tidy_22.11.16.xlsx); Data Source:  Osoyoos_trawl_November'97.xlsx, CNAT_nuOkanagan_Juveniles 22.10.27.xlsx; ADULT: 2005  </v>
      </c>
      <c r="I27" s="336" t="str">
        <f t="shared" ca="1" si="10"/>
        <v>ADULT: 2005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27" s="337" t="str">
        <f t="shared" ca="1" si="11"/>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2005 howard.stiff@shaw.ca</v>
      </c>
      <c r="K27" s="367"/>
      <c r="L27" s="862"/>
      <c r="M27" s="871">
        <v>16.600000000000001</v>
      </c>
      <c r="N27" s="341">
        <v>3.3556154036956755E-2</v>
      </c>
    </row>
    <row r="28" spans="1:14" ht="42" customHeight="1" x14ac:dyDescent="0.3">
      <c r="A28" s="450" t="str">
        <f ca="1">IF(OR(ISBLANK('Juvenile Data'!A28),'Juvenile Data'!B28&gt;YEAR(NOW())),"",'Juvenile Data'!A28)</f>
        <v>Okanagan - Osoyoos</v>
      </c>
      <c r="B28" s="376">
        <f ca="1">IF(AND('Juvenile Data'!B28&gt;0,'Juvenile Data'!B28&lt;=YEAR(NOW())),'Juvenile Data'!B28,"")</f>
        <v>2004</v>
      </c>
      <c r="C28" s="373">
        <f t="shared" ca="1" si="7"/>
        <v>627855</v>
      </c>
      <c r="D28" s="333">
        <f t="shared" ca="1" si="4"/>
        <v>27600.509991111154</v>
      </c>
      <c r="E28" s="1629">
        <f t="shared" ca="1" si="5"/>
        <v>4.3960006675285143E-2</v>
      </c>
      <c r="F28" s="384" t="str">
        <f t="shared" ca="1" si="8"/>
        <v xml:space="preserve">ABUND: Age comp based on FW age composition of adult returns x best winter presmolt abundance copied from Pre-Smolt section. See General Comments. [hs 2022-10-31]; FRY: FL; </v>
      </c>
      <c r="G28" s="394" t="str">
        <f t="shared" ca="1" si="6"/>
        <v xml:space="preserve">Returns Complete! ABUND: Ok adults at mouth of Columbia (based on BONN counts (adj. 24-hr counts) + [[downstream harvest (Zones 1-5) apportioned to stock (based on annual RRH:Rock dam ratios)]]. [hs 2023-02-03]; </v>
      </c>
      <c r="H28" s="391" t="str">
        <f t="shared" ca="1" si="9"/>
        <v xml:space="preserve">JUV: Abund based on mean of Sep 03 Mar 04 ATS surveys (Judson et al. 2023); Len Wt estimates from weighted mean of select fall-winter ATS survey(s) in previous year (see Presmolt_Sizes_tidy_22.11.16.xlsx); Data Source:  Osoyoos_trawl_November'97.xlsx, CNAT_nuOkanagan_Juveniles 22.10.27.xlsx; ADULT: 2006  </v>
      </c>
      <c r="I28" s="336" t="str">
        <f t="shared" ca="1" si="10"/>
        <v>JUV: Hot, dry summer in 2003; no rain in Oliver Jul/Aug 2003; ADULT: 2006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28" s="337" t="str">
        <f t="shared" ca="1" si="11"/>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2006 howard.stiff@shaw.ca</v>
      </c>
      <c r="K28" s="367"/>
      <c r="L28" s="862"/>
      <c r="M28" s="871">
        <v>19.899999999999999</v>
      </c>
      <c r="N28" s="341">
        <v>4.7738565716686353E-2</v>
      </c>
    </row>
    <row r="29" spans="1:14" ht="42" customHeight="1" x14ac:dyDescent="0.3">
      <c r="A29" s="450" t="str">
        <f ca="1">IF(OR(ISBLANK('Juvenile Data'!A29),'Juvenile Data'!B29&gt;YEAR(NOW())),"",'Juvenile Data'!A29)</f>
        <v>Okanagan - Osoyoos</v>
      </c>
      <c r="B29" s="376">
        <f ca="1">IF(AND('Juvenile Data'!B29&gt;0,'Juvenile Data'!B29&lt;=YEAR(NOW())),'Juvenile Data'!B29,"")</f>
        <v>2005</v>
      </c>
      <c r="C29" s="373">
        <f t="shared" ca="1" si="7"/>
        <v>735805</v>
      </c>
      <c r="D29" s="333">
        <f t="shared" ca="1" si="4"/>
        <v>12380.849252940803</v>
      </c>
      <c r="E29" s="1629">
        <f t="shared" ca="1" si="5"/>
        <v>1.6826264095705794E-2</v>
      </c>
      <c r="F29" s="384" t="str">
        <f t="shared" ca="1" si="8"/>
        <v xml:space="preserve">ABUND: Age comp based on FW age composition of adult returns x best winter presmolt abundance copied from Pre-Smolt section. See General Comments. [hs 2022-10-31]; FRY: FL; </v>
      </c>
      <c r="G29" s="394" t="str">
        <f t="shared" ca="1" si="6"/>
        <v xml:space="preserve">Returns Complete! ABUND: Ok adults at mouth of Columbia (based on BONN counts (adj. 24-hr counts) + [[downstream harvest (Zones 1-5) apportioned to stock (based on annual RRH:Rock dam ratios)]]. [hs 2023-02-03]; </v>
      </c>
      <c r="H29" s="391" t="str">
        <f t="shared" ca="1" si="9"/>
        <v xml:space="preserve">JUV: Abund based on mean of Nov 04 Feb 05 ATS surveys (Judson et al. 2023); Size data missing for Feb 05 survey. Len Wt estimates from weighted mean of select fall-winter ATS survey(s) in previous year (see Presmolt_Sizes_tidy_22.11.16.xlsx); Data Source:  Osoyoos_trawl_November'97.xlsx, CNAT_nuOkanagan_Juveniles 22.10.27.xlsx; ADULT: 2007  </v>
      </c>
      <c r="I29" s="336" t="str">
        <f t="shared" ca="1" si="10"/>
        <v>ADULT: 2007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29" s="337" t="str">
        <f t="shared" ca="1" si="11"/>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2007 howard.stiff@shaw.ca</v>
      </c>
      <c r="K29" s="367"/>
      <c r="L29" s="862"/>
      <c r="M29" s="871">
        <v>20.9</v>
      </c>
      <c r="N29" s="341">
        <v>2.0397984558742109E-2</v>
      </c>
    </row>
    <row r="30" spans="1:14" ht="42" customHeight="1" x14ac:dyDescent="0.3">
      <c r="A30" s="450" t="str">
        <f ca="1">IF(OR(ISBLANK('Juvenile Data'!A30),'Juvenile Data'!B30&gt;YEAR(NOW())),"",'Juvenile Data'!A30)</f>
        <v>Okanagan - Osoyoos</v>
      </c>
      <c r="B30" s="376">
        <f ca="1">IF(AND('Juvenile Data'!B30&gt;0,'Juvenile Data'!B30&lt;=YEAR(NOW())),'Juvenile Data'!B30,"")</f>
        <v>2006</v>
      </c>
      <c r="C30" s="373">
        <f t="shared" ca="1" si="7"/>
        <v>1783500</v>
      </c>
      <c r="D30" s="333">
        <f t="shared" ca="1" si="4"/>
        <v>184173.70354186368</v>
      </c>
      <c r="E30" s="1629">
        <f t="shared" ca="1" si="5"/>
        <v>0.10326532298394375</v>
      </c>
      <c r="F30" s="384" t="str">
        <f t="shared" ca="1" si="8"/>
        <v xml:space="preserve">ABUND: Age comp based on FW age composition of adult returns x best winter presmolt abundance copied from Pre-Smolt section. See General Comments. [hs 2022-10-31]; FRY: FL; </v>
      </c>
      <c r="G30" s="394" t="str">
        <f t="shared" ca="1" si="6"/>
        <v xml:space="preserve">Returns Complete! ABUND: Ok adults at mouth of Columbia (based on BONN counts (adj. 24-hr counts) + [[downstream harvest (Zones 1-5) apportioned to stock (based on annual RRH:Rock dam ratios)]]. [hs 2023-02-03]; </v>
      </c>
      <c r="H30" s="391" t="str">
        <f t="shared" ca="1" si="9"/>
        <v xml:space="preserve">JUV: Abund based on mean of Nov Jan ATS surveys (Judson et al. 2023); Len Wt estimates from weighted mean of select fall-winter ATS survey(s) in previous year (see Presmolt_Sizes_tidy_22.11.16.xlsx); Data Source:  Osoyoos_trawl_November'97.xlsx, CNAT_nuOkanagan_Juveniles 22.10.27.xlsx; ADULT: 2008  </v>
      </c>
      <c r="I30" s="336" t="str">
        <f t="shared" ca="1" si="10"/>
        <v>ADULT: 2008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30" s="337" t="str">
        <f t="shared" ca="1" si="11"/>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2008 howard.stiff@shaw.ca</v>
      </c>
      <c r="K30" s="367"/>
      <c r="L30" s="862"/>
      <c r="M30" s="871">
        <v>13.4</v>
      </c>
      <c r="N30" s="341">
        <v>0.11217865877846928</v>
      </c>
    </row>
    <row r="31" spans="1:14" ht="42" customHeight="1" x14ac:dyDescent="0.3">
      <c r="A31" s="450" t="str">
        <f ca="1">IF(OR(ISBLANK('Juvenile Data'!A31),'Juvenile Data'!B31&gt;YEAR(NOW())),"",'Juvenile Data'!A31)</f>
        <v>Okanagan - Osoyoos</v>
      </c>
      <c r="B31" s="376">
        <f ca="1">IF(AND('Juvenile Data'!B31&gt;0,'Juvenile Data'!B31&lt;=YEAR(NOW())),'Juvenile Data'!B31,"")</f>
        <v>2007</v>
      </c>
      <c r="C31" s="373">
        <f t="shared" ca="1" si="7"/>
        <v>2026709</v>
      </c>
      <c r="D31" s="333">
        <f t="shared" ca="1" si="4"/>
        <v>154934.96016959855</v>
      </c>
      <c r="E31" s="1629">
        <f t="shared" ca="1" si="5"/>
        <v>7.6446574308200413E-2</v>
      </c>
      <c r="F31" s="384" t="str">
        <f t="shared" ca="1" si="8"/>
        <v xml:space="preserve">ABUND: Age comp based on FW age composition of adult returns x best winter presmolt abundance copied from Pre-Smolt section. See General Comments. [hs 2022-10-31]; FRY: FL; </v>
      </c>
      <c r="G31" s="394" t="str">
        <f t="shared" ca="1" si="6"/>
        <v xml:space="preserve">Returns Complete! ABUND: Ok adults at mouth of Columbia (based on BONN counts (adj. 24-hr counts) + [[downstream harvest (Zones 1-5) apportioned to stock (based on annual RRH:Rock dam ratios)]]. [hs 2023-02-03]; </v>
      </c>
      <c r="H31" s="391" t="str">
        <f t="shared" ca="1" si="9"/>
        <v xml:space="preserve">JUV: Abund based on mean of Oct Nov Dec Mar ATS surveys (Judson et al. 2023); Len Wt estimates from weighted mean of select fall-winter ATS survey(s) in previous year (see Presmolt_Sizes_tidy_22.11.16.xlsx); Data Source:  Osoyoos_trawl_November'97.xlsx, CNAT_nuOkanagan_Juveniles 22.10.27.xlsx; ADULT: 2009  </v>
      </c>
      <c r="I31" s="336" t="str">
        <f t="shared" ca="1" si="10"/>
        <v>ADULT: 2009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31" s="337" t="str">
        <f t="shared" ca="1" si="11"/>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2009 howard.stiff@shaw.ca</v>
      </c>
      <c r="K31" s="367"/>
      <c r="L31" s="862"/>
      <c r="M31" s="871">
        <v>11.9</v>
      </c>
      <c r="N31" s="341">
        <v>7.492712185613648E-2</v>
      </c>
    </row>
    <row r="32" spans="1:14" ht="42" customHeight="1" x14ac:dyDescent="0.3">
      <c r="A32" s="450" t="str">
        <f ca="1">IF(OR(ISBLANK('Juvenile Data'!A32),'Juvenile Data'!B32&gt;YEAR(NOW())),"",'Juvenile Data'!A32)</f>
        <v>Okanagan - Osoyoos</v>
      </c>
      <c r="B32" s="376">
        <f ca="1">IF(AND('Juvenile Data'!B32&gt;0,'Juvenile Data'!B32&lt;=YEAR(NOW())),'Juvenile Data'!B32,"")</f>
        <v>2008</v>
      </c>
      <c r="C32" s="373">
        <f t="shared" ca="1" si="7"/>
        <v>2133694</v>
      </c>
      <c r="D32" s="333">
        <f t="shared" ca="1" si="4"/>
        <v>312944.13168489572</v>
      </c>
      <c r="E32" s="1629">
        <f t="shared" ca="1" si="5"/>
        <v>0.14666776570815485</v>
      </c>
      <c r="F32" s="385" t="str">
        <f t="shared" ca="1" si="8"/>
        <v xml:space="preserve">ABUND: Age comp based on FW age composition of adult returns x best winter presmolt abundance copied from Pre-Smolt section. See General Comments. [hs 2022-10-31]; FRY: FL; </v>
      </c>
      <c r="G32" s="394" t="str">
        <f t="shared" ca="1" si="6"/>
        <v xml:space="preserve">Returns Complete! ABUND: Ok adults at mouth of Columbia (based on BONN counts (adj. 24-hr counts) + [[downstream harvest (Zones 1-5) apportioned to stock (based on annual RRH:Rock dam ratios)]]. [hs 2023-02-03]; </v>
      </c>
      <c r="H32" s="391" t="str">
        <f t="shared" ca="1" si="9"/>
        <v>JUV: Abund based on mean of Oct Nov Jan ATS surveys (Judson et al. 2023); Len Wt estimates from weighted mean of select fall-winter ATS survey(s) in previous year (see Presmolt_Sizes_tidy_22.11.16.xlsx); Data Source:  Osoyoos_trawl_November'97.xlsx, CNAT_nuOkanagan_Juveniles 22.10.27.xlsx; ADULT: 2010 Testalinden Slide: 2010-06-13</v>
      </c>
      <c r="I32" s="336" t="str">
        <f t="shared" ca="1" si="10"/>
        <v>ADULT: 2010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32" s="337" t="str">
        <f t="shared" ca="1" si="11"/>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2010 howard.stiff@shaw.ca</v>
      </c>
      <c r="K32" s="367"/>
      <c r="L32" s="862"/>
      <c r="M32" s="871">
        <v>3.8</v>
      </c>
      <c r="N32" s="341">
        <v>0.15349159798354994</v>
      </c>
    </row>
    <row r="33" spans="1:35" ht="42" customHeight="1" x14ac:dyDescent="0.3">
      <c r="A33" s="450" t="str">
        <f ca="1">IF(OR(ISBLANK('Juvenile Data'!A33),'Juvenile Data'!B33&gt;YEAR(NOW())),"",'Juvenile Data'!A33)</f>
        <v>Okanagan - Osoyoos</v>
      </c>
      <c r="B33" s="376">
        <f ca="1">IF(AND('Juvenile Data'!B33&gt;0,'Juvenile Data'!B33&lt;=YEAR(NOW())),'Juvenile Data'!B33,"")</f>
        <v>2009</v>
      </c>
      <c r="C33" s="373">
        <f t="shared" ca="1" si="7"/>
        <v>875327</v>
      </c>
      <c r="D33" s="333">
        <f t="shared" ca="1" si="4"/>
        <v>63248.299193292129</v>
      </c>
      <c r="E33" s="1629">
        <f t="shared" ca="1" si="5"/>
        <v>7.2256767120507118E-2</v>
      </c>
      <c r="F33" s="385" t="str">
        <f t="shared" ca="1" si="8"/>
        <v xml:space="preserve">ABUND: Age comp based on FW age composition of adult returns x best winter presmolt abundance copied from Pre-Smolt section. See General Comments. [hs 2022-10-31]; FRY: FL; </v>
      </c>
      <c r="G33" s="394" t="str">
        <f t="shared" ca="1" si="6"/>
        <v xml:space="preserve">Returns Complete! ABUND: Ok adults at mouth of Columbia (based on BONN counts (adj. 24-hr counts) + [[downstream harvest (Zones 1-5) apportioned to stock (based on annual RRH:Rock dam ratios)]]. [hs 2023-02-03]; </v>
      </c>
      <c r="H33" s="391" t="str">
        <f t="shared" ca="1" si="9"/>
        <v xml:space="preserve">JUV: Abund based on mean of Nov ATS surveys (Judson et al. 2023); Len Wt estimates from weighted mean of select fall-winter ATS survey(s) in previous year (see Presmolt_Sizes_tidy_22.11.16.xlsx); Data Source:  Osoyoos_trawl_November'97.xlsx, CNAT_nuOkanagan_Juveniles 22.10.27.xlsx; </v>
      </c>
      <c r="I33" s="336" t="str">
        <f t="shared" ca="1" si="10"/>
        <v>ADULT: 2011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33" s="337" t="str">
        <f t="shared" ca="1" si="11"/>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2011 howard.stiff@shaw.ca</v>
      </c>
      <c r="K33" s="367"/>
      <c r="L33" s="862"/>
      <c r="M33" s="871">
        <v>10.8</v>
      </c>
      <c r="N33" s="341">
        <v>0.11988290780528595</v>
      </c>
      <c r="AI33" t="s">
        <v>404</v>
      </c>
    </row>
    <row r="34" spans="1:35" ht="42" customHeight="1" x14ac:dyDescent="0.3">
      <c r="A34" s="450" t="str">
        <f ca="1">IF(OR(ISBLANK('Juvenile Data'!A34),'Juvenile Data'!B34&gt;YEAR(NOW())),"",'Juvenile Data'!A34)</f>
        <v>Okanagan - Osoyoos</v>
      </c>
      <c r="B34" s="376">
        <f ca="1">IF(AND('Juvenile Data'!B34&gt;0,'Juvenile Data'!B34&lt;=YEAR(NOW())),'Juvenile Data'!B34,"")</f>
        <v>2010</v>
      </c>
      <c r="C34" s="373">
        <f t="shared" ca="1" si="7"/>
        <v>7488306</v>
      </c>
      <c r="D34" s="333">
        <f t="shared" ca="1" si="4"/>
        <v>407786.91400662879</v>
      </c>
      <c r="E34" s="1629">
        <f t="shared" ca="1" si="5"/>
        <v>5.445649710450251E-2</v>
      </c>
      <c r="F34" s="385" t="str">
        <f t="shared" ca="1" si="8"/>
        <v xml:space="preserve">ABUND: Age comp based on FW age composition of adult returns x best winter presmolt abundance copied from Pre-Smolt section. See General Comments. [hs 2022-10-31]; FRY: FL; </v>
      </c>
      <c r="G34" s="394" t="str">
        <f t="shared" ca="1" si="6"/>
        <v xml:space="preserve">Returns Complete! ABUND: Ok adults at mouth of Columbia (based on BONN counts (adj. 24-hr counts) + [[downstream harvest (Zones 1-5) apportioned to stock (based on annual RRH:Rock dam ratios)]]. [hs 2023-02-03]; </v>
      </c>
      <c r="H34" s="391" t="str">
        <f t="shared" ca="1" si="9"/>
        <v xml:space="preserve">JUV: Abund based on mean of Nov Feb ATS surveys (Judson et al. 2023); Len Wt estimates from weighted mean of select fall-winter ATS survey(s) in previous year (see Presmolt_Sizes_tidy_22.11.16.xlsx); Data Source:  Osoyoos_trawl_November'97.xlsx, CNAT_nuOkanagan_Juveniles 22.10.27.xlsx; ADULT: 2012  </v>
      </c>
      <c r="I34" s="336" t="str">
        <f t="shared" ca="1" si="10"/>
        <v>ADULT: 2012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34" s="337" t="str">
        <f t="shared" ca="1" si="11"/>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2012 howard.stiff@shaw.ca</v>
      </c>
      <c r="K34" s="367"/>
      <c r="L34" s="862"/>
      <c r="M34" s="871">
        <v>14.4</v>
      </c>
      <c r="N34" s="341">
        <v>5.0908653571705154E-2</v>
      </c>
    </row>
    <row r="35" spans="1:35" ht="42" customHeight="1" x14ac:dyDescent="0.3">
      <c r="A35" s="450" t="str">
        <f ca="1">IF(OR(ISBLANK('Juvenile Data'!A35),'Juvenile Data'!B35&gt;YEAR(NOW())),"",'Juvenile Data'!A35)</f>
        <v>Okanagan - Osoyoos</v>
      </c>
      <c r="B35" s="376">
        <f ca="1">IF(AND('Juvenile Data'!B35&gt;0,'Juvenile Data'!B35&lt;=YEAR(NOW())),'Juvenile Data'!B35,"")</f>
        <v>2011</v>
      </c>
      <c r="C35" s="373">
        <f t="shared" ca="1" si="7"/>
        <v>812439.5</v>
      </c>
      <c r="D35" s="333">
        <f t="shared" ca="1" si="4"/>
        <v>91699.771721635712</v>
      </c>
      <c r="E35" s="1629">
        <f t="shared" ca="1" si="5"/>
        <v>0.11286966195222624</v>
      </c>
      <c r="F35" s="385" t="str">
        <f t="shared" ca="1" si="8"/>
        <v xml:space="preserve">ABUND: Note: H-O release survivors estimate MAY BE deducted from total limnetic fish abundance estimate (see Pre-Smolt section), based on setting of Deduct_Hatchery_Survivors toggle. Age comp based on FW age composition of adult returns x best winter presmolt abundance copied from Pre-Smolt section. See General Comments. [hs 2022-10-31; FRY: FL; </v>
      </c>
      <c r="G35" s="394" t="str">
        <f t="shared" ca="1" si="6"/>
        <v xml:space="preserve">Returns Complete! ABUND: Ok adults at mouth of Columbia (based on BONN counts (adj. 24-hr counts) + [[downstream harvest (Zones 1-5) apportioned to stock (based on annual RRH:Rock dam ratios)]]. [hs 2023-02-03]; </v>
      </c>
      <c r="H35" s="391" t="str">
        <f t="shared" ca="1" si="9"/>
        <v xml:space="preserve">JUV: H-O fish released in Osoyoos. N-O abund based on mean of Oct Nov Mar ATS surveys (Judson et al. 2023), adjusted for H-O contributions this year (HS 2022-11-23); Len Wt estimates from weighted mean of select fall-winter ATS survey(s) in previous year (see Presmolt_Sizes_tidy_22.11.16.xlsx); 432,400 hatchery fry from BY2009 stocked in Osoyoos in 2010 (Date: 10-06-02; Density: 463/ha; Wt: 1.1g --&gt; 11.03.11; 88/ha; 6g). H-O abund dwindled over the fall-winter to about 11% of final total limnetic ATS fish abundance on 10-March-2011; therefore pre-smolt abundance index reduced by 11% == 103,693 fish (HS 2022-11-23). Data Source:  Osoyoos_trawl_November'97.xlsx, CNAT_nuOkanagan_Juveniles 22.10.27.xlsx; ADULT: 2013  </v>
      </c>
      <c r="I35" s="336" t="str">
        <f t="shared" ca="1" si="10"/>
        <v>JUV: Testalinden Slide: 2010-06-13; ADULT: 2013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35" s="337" t="str">
        <f t="shared" ca="1" si="11"/>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2013 howard.stiff@shaw.ca</v>
      </c>
      <c r="K35" s="367"/>
      <c r="L35" s="862"/>
      <c r="M35" s="871">
        <v>8.8000000000000007</v>
      </c>
      <c r="N35" s="341">
        <v>0.1009832291752924</v>
      </c>
    </row>
    <row r="36" spans="1:35" ht="42" customHeight="1" thickBot="1" x14ac:dyDescent="0.35">
      <c r="A36" s="450" t="str">
        <f ca="1">IF(OR(ISBLANK('Juvenile Data'!A36),'Juvenile Data'!B36&gt;YEAR(NOW())),"",'Juvenile Data'!A36)</f>
        <v>Okanagan - Osoyoos</v>
      </c>
      <c r="B36" s="376">
        <f ca="1">IF(AND('Juvenile Data'!B36&gt;0,'Juvenile Data'!B36&lt;=YEAR(NOW())),'Juvenile Data'!B36,"")</f>
        <v>2012</v>
      </c>
      <c r="C36" s="373">
        <f t="shared" ca="1" si="7"/>
        <v>4435800</v>
      </c>
      <c r="D36" s="333">
        <f t="shared" ca="1" si="4"/>
        <v>380453.87316328625</v>
      </c>
      <c r="E36" s="1629">
        <f t="shared" ca="1" si="5"/>
        <v>8.57689420540345E-2</v>
      </c>
      <c r="F36" s="385" t="str">
        <f t="shared" ca="1" si="8"/>
        <v xml:space="preserve">ABUND: Age comp based on FW age composition of adult returns x best winter presmolt abundance copied from Pre-Smolt section. See General Comments. [hs 2022-10-31]; FRY: FL; </v>
      </c>
      <c r="G36" s="394" t="str">
        <f t="shared" ca="1" si="6"/>
        <v xml:space="preserve">Returns Complete! ABUND: Ok adults at mouth of Columbia (based on BONN counts (adj. 24-hr counts) + [[downstream harvest (Zones 1-5) apportioned to stock (based on annual RRH:Rock dam ratios)]]. [hs 2023-02-03]; </v>
      </c>
      <c r="H36" s="391" t="str">
        <f t="shared" ca="1" si="9"/>
        <v xml:space="preserve">JUV: Abund based on mean of Oct Nov Mar ATS surveys (Judson et al. 2023); Len Wt estimates from weighted mean of select fall-winter ATS survey(s) in previous year (see Presmolt_Sizes_tidy_22.11.16.xlsx); Data Source:  Osoyoos_trawl_November'97.xlsx, CNAT_nuOkanagan_Juveniles 22.10.27.xlsx; ADULT: 2014  </v>
      </c>
      <c r="I36" s="336" t="str">
        <f t="shared" ca="1" si="10"/>
        <v>ADULT: 2014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36" s="337" t="str">
        <f t="shared" ca="1" si="11"/>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2014 howard.stiff@shaw.ca</v>
      </c>
      <c r="K36" s="367"/>
      <c r="L36" s="862"/>
      <c r="M36" s="871">
        <v>7.4</v>
      </c>
      <c r="N36" s="341">
        <v>7.8080385190453766E-2</v>
      </c>
    </row>
    <row r="37" spans="1:35" ht="42" customHeight="1" x14ac:dyDescent="0.3">
      <c r="A37" s="450" t="str">
        <f ca="1">IF(OR(ISBLANK('Juvenile Data'!A37),'Juvenile Data'!B37&gt;YEAR(NOW())),"",'Juvenile Data'!A37)</f>
        <v>Okanagan - Osoyoos</v>
      </c>
      <c r="B37" s="376">
        <f ca="1">IF(AND('Juvenile Data'!B37&gt;0,'Juvenile Data'!B37&lt;=YEAR(NOW())),'Juvenile Data'!B37,"")</f>
        <v>2013</v>
      </c>
      <c r="C37" s="373">
        <f t="shared" ca="1" si="7"/>
        <v>2603607</v>
      </c>
      <c r="D37" s="333">
        <f t="shared" ca="1" si="4"/>
        <v>202288.35496941817</v>
      </c>
      <c r="E37" s="1629">
        <f t="shared" ca="1" si="5"/>
        <v>7.7695425987646435E-2</v>
      </c>
      <c r="F37" s="385" t="str">
        <f t="shared" ca="1" si="8"/>
        <v xml:space="preserve">ABUND: Note: H-O release survivors estimate MAY BE deducted from total limnetic fish abundance estimate (see Pre-Smolt section), based on setting of Deduct_Hatchery_Survivors toggle. Age comp based on FW age composition of adult returns x best winter presmolt abundance copied from Pre-Smolt section. See General Comments. [hs 2022-10-31; MIG: PIT tagged juvenile (wild+hatch?) survival (FPC Memo to JF (21.12.28): Table 4. Migration timing of PIT-tagged Okanogan River Basin sockeye smolts (i.e., release aggregate) detected at  Bonneville (BON) dam); FRY: FL; </v>
      </c>
      <c r="G37" s="394" t="str">
        <f t="shared" ca="1" si="6"/>
        <v xml:space="preserve">Returns Complete! ABUND: Ok adults at mouth of Columbia (based on BONN counts (adj. 24-hr counts) + [[downstream harvest (Zones 1-5) apportioned to stock (based on annual RRH:Rock dam ratios)]]. [hs 2023-02-03]; </v>
      </c>
      <c r="H37" s="391" t="str">
        <f t="shared" ca="1" si="9"/>
        <v>JUV: H-O fish released in Osoyoos. N-O abund based on mean of Oct Nov Mar ATS surveys (Judson et al. 2023); Len Wt estimates from weighted mean of select fall-winter ATS survey(s) in previous year (see Presmolt_Sizes_tidy_22.11.16.xlsx); 837,800 hatchery fry from BY2011 stocked in Osoyoos in 2012 (Date: 2012-05-12; Density: 898/ha; Wt: 0.8g --&gt; 2013-02-13; 317/ha; 81 mm; 5g).  H-O abund dwindled over the fall-winter to about 11% of final total limnetic ATS fish abundance on 15-Feb-2013; therefore pre-smolt abundance index reduced by 11% == 316,775 fish (HS 2022-11-23). Data Source:  Osoyoos_trawl_November'97.xlsx, CNAT_nuOkanagan_Juveniles 22.10.27.xlsx; ADULT: 2015 Hot summer, high Columbia/Okanogan water temps == mass mortality of adults ~95%.  Possible Temp-Oxy squeeze impact in late summer 2015.</v>
      </c>
      <c r="I37" s="336" t="str">
        <f t="shared" ca="1" si="10"/>
        <v>ADULT: 2015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37" s="337" t="str">
        <f t="shared" ca="1" si="11"/>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2015 howard.stiff@shaw.ca</v>
      </c>
      <c r="K37" s="367" t="s">
        <v>405</v>
      </c>
      <c r="L37" s="862"/>
      <c r="M37" s="871">
        <v>9.9</v>
      </c>
      <c r="N37" s="341">
        <v>9.5248405954512894E-2</v>
      </c>
      <c r="O37" s="301"/>
      <c r="P37" s="2568" t="s">
        <v>406</v>
      </c>
      <c r="Q37" s="2569"/>
      <c r="R37" s="2569"/>
      <c r="S37" s="2570"/>
      <c r="T37" s="1712">
        <v>2021</v>
      </c>
      <c r="U37" s="1713" t="s">
        <v>407</v>
      </c>
      <c r="V37" s="1713"/>
      <c r="W37" s="1713"/>
      <c r="X37" s="1713"/>
      <c r="Y37" s="1713"/>
      <c r="Z37" s="1713"/>
      <c r="AA37" s="1713"/>
      <c r="AB37" s="1713"/>
      <c r="AC37" s="1713"/>
      <c r="AD37" s="1713"/>
      <c r="AE37" s="1713"/>
      <c r="AF37" s="1714"/>
    </row>
    <row r="38" spans="1:35" ht="42" customHeight="1" x14ac:dyDescent="0.3">
      <c r="A38" s="450" t="str">
        <f ca="1">IF(OR(ISBLANK('Juvenile Data'!A38),'Juvenile Data'!B38&gt;YEAR(NOW())),"",'Juvenile Data'!A38)</f>
        <v>Okanagan - Osoyoos</v>
      </c>
      <c r="B38" s="376">
        <f ca="1">IF(AND('Juvenile Data'!B38&gt;0,'Juvenile Data'!B38&lt;=YEAR(NOW())),'Juvenile Data'!B38,"")</f>
        <v>2014</v>
      </c>
      <c r="C38" s="373">
        <f t="shared" ca="1" si="7"/>
        <v>4938991</v>
      </c>
      <c r="D38" s="333">
        <f t="shared" ca="1" si="4"/>
        <v>160981.39925388093</v>
      </c>
      <c r="E38" s="1629">
        <f t="shared" ca="1" si="5"/>
        <v>3.2593985138640855E-2</v>
      </c>
      <c r="F38" s="385" t="str">
        <f t="shared" ca="1" si="8"/>
        <v xml:space="preserve">ABUND: Note: H-O release survivors estimate MAY BE deducted from total limnetic fish abundance estimate (see Pre-Smolt section), based on setting of Deduct_Hatchery_Survivors toggle. Age comp based on FW age composition of adult returns x best winter presmolt abundance copied from Pre-Smolt section. See General Comments. [hs 2022-10-31; MIG: PIT tagged juvenile (wild+hatch?) survival (FPC Memo to JF (21.12.28): Table 4. Migration timing of PIT-tagged Okanogan River Basin sockeye smolts (i.e., release aggregate) detected at  Bonneville (BON) dam); FRY: FL; </v>
      </c>
      <c r="G38" s="394" t="str">
        <f t="shared" ca="1" si="6"/>
        <v xml:space="preserve">Returns Complete! ABUND: Ok adults at mouth of Columbia (based on BONN counts (adj. 24-hr counts) + [[downstream harvest (Zones 1-5) apportioned to stock (based on annual RRH:Rock dam ratios)]]. [hs 2023-02-03]; </v>
      </c>
      <c r="H38" s="391" t="str">
        <f t="shared" ca="1" si="9"/>
        <v xml:space="preserve">JUV: H-O fish released in Osoyoos. N-O abund based on mean of select fall-winter ATS surveys (Judson et al. 2023); Len Wt estimates from weighted mean of select fall-winter ATS survey(s) in previous year (see Presmolt_Sizes_tidy_22.11.16.xlsx); 869,300 hatchery fry from BY2012 stocked in Osoyoos in 2013 (Date: 2013-06-05; Density: 932/ha (895/ha in Hyatt et al. 2017 Table 11); Wt: 0.98g --&gt; 2014.03.18; 82/ha; 76 mm; 4.6g).  H-O abund dwindled over the fall-winter to about 1% of final total limnetic ATS fish abundance on 18-March-2014; therefore pre-smolt abundance index reduced by 1% == 71,446 fish (HS 2022-11-23). Data Source:  Osoyoos_trawl_November'97.xlsx, CNAT_nuOkanagan_Juveniles 22.10.27.xlsx; </v>
      </c>
      <c r="I38" s="336" t="str">
        <f t="shared" ca="1" si="10"/>
        <v>ADULT: 2016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38" s="337" t="str">
        <f t="shared" ca="1" si="11"/>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2016 howard.stiff@shaw.ca</v>
      </c>
      <c r="K38" s="367" t="s">
        <v>408</v>
      </c>
      <c r="L38" s="862"/>
      <c r="M38" s="871">
        <v>15.5</v>
      </c>
      <c r="N38" s="341">
        <v>3.0218468265459993E-2</v>
      </c>
      <c r="O38" s="301"/>
      <c r="P38" s="1715" t="str">
        <f>"Returns at age by return year for smolt year " &amp; T37 &amp; "…"</f>
        <v>Returns at age by return year for smolt year 2021…</v>
      </c>
      <c r="Q38" s="1716"/>
      <c r="R38" s="1716"/>
      <c r="S38" s="1716"/>
      <c r="T38" s="1716"/>
      <c r="U38" s="1716"/>
      <c r="V38" s="1716"/>
      <c r="W38" s="1716"/>
      <c r="X38" s="1716"/>
      <c r="Y38" s="1716"/>
      <c r="Z38" s="1716"/>
      <c r="AA38" s="1716"/>
      <c r="AB38" s="1716"/>
      <c r="AC38" s="1716"/>
      <c r="AD38" s="1716"/>
      <c r="AE38" s="1716"/>
      <c r="AF38" s="1717"/>
    </row>
    <row r="39" spans="1:35" ht="42" customHeight="1" x14ac:dyDescent="0.3">
      <c r="A39" s="450" t="str">
        <f ca="1">IF(OR(ISBLANK('Juvenile Data'!A39),'Juvenile Data'!B39&gt;YEAR(NOW())),"",'Juvenile Data'!A39)</f>
        <v>Okanagan - Osoyoos</v>
      </c>
      <c r="B39" s="376">
        <f ca="1">IF(AND('Juvenile Data'!B39&gt;0,'Juvenile Data'!B39&lt;=YEAR(NOW())),'Juvenile Data'!B39,"")</f>
        <v>2015</v>
      </c>
      <c r="C39" s="373">
        <f t="shared" ca="1" si="7"/>
        <v>2209546</v>
      </c>
      <c r="D39" s="333">
        <f t="shared" ca="1" si="4"/>
        <v>14973.954785909016</v>
      </c>
      <c r="E39" s="1629">
        <f t="shared" ca="1" si="5"/>
        <v>6.7769373373122877E-3</v>
      </c>
      <c r="F39" s="385" t="str">
        <f t="shared" ca="1" si="8"/>
        <v xml:space="preserve">ABUND: Age comp based on FW age composition of adult returns x best winter presmolt abundance copied from Pre-Smolt section. See General Comments. [hs 2022-10-31]; MIG: PIT tagged juvenile (wild+hatch?) survival (FPC Memo to JF (21.12.28): Table 4. Migration timing of PIT-tagged Okanogan River Basin sockeye smolts (i.e., release aggregate) detected at  Bonneville (BON) dam); FRY: FL; </v>
      </c>
      <c r="G39" s="394" t="str">
        <f t="shared" ca="1" si="6"/>
        <v xml:space="preserve">Returns Complete! ABUND: Ok adults at mouth of Columbia (based on BONN counts (adj. 24-hr counts) + [[downstream harvest (Zones 1-5) apportioned to stock (based on annual RRH:Rock dam ratios)]]. [hs 2023-02-03]; </v>
      </c>
      <c r="H39" s="391" t="str">
        <f t="shared" ca="1" si="9"/>
        <v xml:space="preserve">JUV: Abund based on mean of Oct Feb ATS surveys (Judson et al. 2023); Len Wt estimates from weighted mean of select fall-winter ATS survey(s) in previous year (see Presmolt_Sizes_tidy_22.11.16.xlsx); Data Source:  Osoyoos_trawl_November'97.xlsx, CNAT_nuOkanagan_Juveniles 22.10.27.xlsx; </v>
      </c>
      <c r="I39" s="336" t="str">
        <f t="shared" ca="1" si="10"/>
        <v>ADULT: 2017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39" s="337" t="str">
        <f t="shared" ca="1" si="11"/>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2017 howard.stiff@shaw.ca</v>
      </c>
      <c r="K39" s="367" t="s">
        <v>409</v>
      </c>
      <c r="L39" s="862"/>
      <c r="M39" s="871">
        <v>21.8</v>
      </c>
      <c r="N39" s="341">
        <v>4.8105785401754333E-3</v>
      </c>
      <c r="O39" s="870"/>
      <c r="P39" s="2571">
        <v>32</v>
      </c>
      <c r="Q39" s="2549"/>
      <c r="R39" s="2549">
        <v>42</v>
      </c>
      <c r="S39" s="2549"/>
      <c r="T39" s="2549">
        <v>43</v>
      </c>
      <c r="U39" s="2549"/>
      <c r="V39" s="2549">
        <v>52</v>
      </c>
      <c r="W39" s="2549"/>
      <c r="X39" s="2549">
        <v>53</v>
      </c>
      <c r="Y39" s="2549"/>
      <c r="Z39" s="2549">
        <v>62</v>
      </c>
      <c r="AA39" s="2549"/>
      <c r="AB39" s="2549">
        <v>63</v>
      </c>
      <c r="AC39" s="2549"/>
      <c r="AD39" s="2550">
        <f>((OtherAge-INT(OtherAge))*10+1+INT(OtherAge))*10+((INT(OtherAge)+1))</f>
        <v>54.000000000000007</v>
      </c>
      <c r="AE39" s="2551"/>
      <c r="AF39" s="1718" t="s">
        <v>410</v>
      </c>
    </row>
    <row r="40" spans="1:35" ht="42" customHeight="1" thickBot="1" x14ac:dyDescent="0.35">
      <c r="A40" s="450" t="str">
        <f ca="1">IF(OR(ISBLANK('Juvenile Data'!A40),'Juvenile Data'!B40&gt;YEAR(NOW())),"",'Juvenile Data'!A40)</f>
        <v>Okanagan - Osoyoos</v>
      </c>
      <c r="B40" s="376">
        <f ca="1">IF(AND('Juvenile Data'!B40&gt;0,'Juvenile Data'!B40&lt;=YEAR(NOW())),'Juvenile Data'!B40,"")</f>
        <v>2016</v>
      </c>
      <c r="C40" s="373">
        <f t="shared" ca="1" si="7"/>
        <v>7383151</v>
      </c>
      <c r="D40" s="333">
        <f t="shared" ref="D40:D57" ca="1" si="12">IF(B40="","",IF(AND(MAX(Years)-1&gt;B40,OR(VLOOKUP(B40+1,AdultReturns,2)&gt;0,VLOOKUP(B40+2,AdultReturns,3)&gt;0)),SUM(VLOOKUP(B40+1,AdultReturns,2),VLOOKUP(B40+2,AdultReturns,3),VLOOKUP(B40+1,AdultReturns,4),VLOOKUP(B40+3,AdultReturns,5),VLOOKUP(B40+2,AdultReturns,6),VLOOKUP(B40+4,AdultReturns,7),VLOOKUP(B40+3,AdultReturns,8),VLOOKUP(B40+((OtherAge-INT(OtherAge))*10),AdultReturns,9)),""))</f>
        <v>87673.05484735471</v>
      </c>
      <c r="E40" s="1629">
        <f t="shared" ref="E40:E57" ca="1" si="13">IF(AND(ISNUMBER(C40),ISNUMBER(D40)),D40/C40,"")</f>
        <v>1.1874747631106923E-2</v>
      </c>
      <c r="F40" s="385" t="str">
        <f t="shared" ca="1" si="8"/>
        <v xml:space="preserve">ABUND: Age comp based on FW age composition of adult returns x best winter presmolt abundance copied from Pre-Smolt section. See General Comments. [hs 2022-10-31]; MIG: PIT tagged juvenile (wild+hatch?) survival (FPC Memo to JF (21.12.28): Table 4. Migration timing of PIT-tagged Okanogan River Basin sockeye smolts (i.e., release aggregate) detected at  Bonneville (BON) dam); FRY: FL; </v>
      </c>
      <c r="G40" s="394" t="str">
        <f t="shared" ca="1" si="6"/>
        <v xml:space="preserve">Returns Complete! ABUND: Ok adults at mouth of Columbia (based on BONN counts (adj. 24-hr counts) + [[downstream harvest (Zones 1-5) apportioned to stock (based on annual RRH:Rock dam ratios)]]. [hs 2023-02-03]; </v>
      </c>
      <c r="H40" s="391" t="str">
        <f t="shared" ca="1" si="9"/>
        <v xml:space="preserve">JUV: Abund based on mean of Oct Nov Feb Mar ATS surveys (Judson et al. 2023 Missing size data Feb 3, 2016.  Len Wt estimates from weighted mean of select fall-winter ATS survey(s) in previous year (see Presmolt_Sizes_tidy_22.11.16.xlsx);Data Source: NEW OSOYOOS fish metadata 2005-2021 2021.10.14_SAM_WIP 2021.10.16.xlsx; </v>
      </c>
      <c r="I40" s="336" t="str">
        <f t="shared" ca="1" si="10"/>
        <v>JUV: Possible Temp-Oxy squeeze impact in late summer 2015. Fry abund dropped from &gt;12M in July to &lt;9.5M in Aug; ADULT: 2018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40" s="337" t="str">
        <f t="shared" ca="1" si="11"/>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2018 howard.stiff@shaw.ca</v>
      </c>
      <c r="K40" s="367" t="s">
        <v>411</v>
      </c>
      <c r="L40" s="862"/>
      <c r="M40" s="871">
        <v>21.5</v>
      </c>
      <c r="N40" s="341">
        <v>1.206128491074215E-2</v>
      </c>
      <c r="O40" s="870">
        <f>T37</f>
        <v>2021</v>
      </c>
      <c r="P40" s="1721">
        <f>$O40+1</f>
        <v>2022</v>
      </c>
      <c r="Q40" s="1719">
        <f ca="1">IF(P40&lt;=YEAR(NOW()),VLOOKUP($O40+1,AdultReturns,2),"")</f>
        <v>7497.4647378763329</v>
      </c>
      <c r="R40" s="1720">
        <f>$O40+2</f>
        <v>2023</v>
      </c>
      <c r="S40" s="1725">
        <f ca="1">IF(R40&lt;=YEAR(NOW()),VLOOKUP($O40+2,AdultReturns,3),"")</f>
        <v>89017.642034457982</v>
      </c>
      <c r="T40" s="1722">
        <f>$O40+1</f>
        <v>2022</v>
      </c>
      <c r="U40" s="1723">
        <f ca="1">IF(T40&lt;=YEAR(NOW()),VLOOKUP($O40+1,AdultReturns,4),"")</f>
        <v>3156.827258053193</v>
      </c>
      <c r="V40" s="1720">
        <f>$O40+3</f>
        <v>2024</v>
      </c>
      <c r="W40" s="1725">
        <f ca="1">IF(V40&lt;=YEAR(NOW()),VLOOKUP($O40+3,AdultReturns,5),"")</f>
        <v>10524.253245453159</v>
      </c>
      <c r="X40" s="1722">
        <f>$O40+2</f>
        <v>2023</v>
      </c>
      <c r="Y40" s="1723">
        <f ca="1">IF(X40&lt;=YEAR(NOW()),VLOOKUP($O40+2,AdultReturns,6),"")</f>
        <v>0</v>
      </c>
      <c r="Z40" s="1722">
        <f>$O40+4</f>
        <v>2025</v>
      </c>
      <c r="AA40" s="1723" t="str">
        <f ca="1">IF(Z40&lt;=YEAR(NOW()),VLOOKUP($O40+4,AdultReturns,7),"")</f>
        <v/>
      </c>
      <c r="AB40" s="1722">
        <f>$O40+3</f>
        <v>2024</v>
      </c>
      <c r="AC40" s="1723">
        <f ca="1">IF(AB40&lt;=YEAR(NOW()),VLOOKUP($O40+3,AdultReturns,8),"")</f>
        <v>0</v>
      </c>
      <c r="AD40" s="1722">
        <f>$O40+((OtherAge-INT(OtherAge))*10)</f>
        <v>2022</v>
      </c>
      <c r="AE40" s="1723">
        <f ca="1">IF(AD40&lt;=YEAR(NOW()),VLOOKUP($AD40,AdultReturns,9),"")</f>
        <v>0</v>
      </c>
      <c r="AF40" s="1724">
        <f ca="1">SUM(Q40,S40,U40,W40,Y40,AA40,AC40,AE40)</f>
        <v>110196.18727584067</v>
      </c>
    </row>
    <row r="41" spans="1:35" ht="42" customHeight="1" x14ac:dyDescent="0.3">
      <c r="A41" s="450" t="str">
        <f ca="1">IF(OR(ISBLANK('Juvenile Data'!A41),'Juvenile Data'!B41&gt;YEAR(NOW())),"",'Juvenile Data'!A41)</f>
        <v>Okanagan - Osoyoos</v>
      </c>
      <c r="B41" s="376">
        <f ca="1">IF(AND('Juvenile Data'!B41&gt;0,'Juvenile Data'!B41&lt;=YEAR(NOW())),'Juvenile Data'!B41,"")</f>
        <v>2017</v>
      </c>
      <c r="C41" s="373">
        <f t="shared" ca="1" si="7"/>
        <v>1885712</v>
      </c>
      <c r="D41" s="333">
        <f t="shared" ca="1" si="12"/>
        <v>18276.319408122064</v>
      </c>
      <c r="E41" s="1629">
        <f t="shared" ca="1" si="13"/>
        <v>9.6919993127911712E-3</v>
      </c>
      <c r="F41" s="385" t="str">
        <f t="shared" ca="1" si="8"/>
        <v xml:space="preserve">ABUND: Age comp based on FW age composition of adult returns x best winter presmolt abundance copied from Pre-Smolt section. See General Comments. [hs 2022-10-31]; MIG: PIT tagged juvenile (wild+hatch?) survival (FPC Memo to JF (21.12.28): Table 4. Migration timing of PIT-tagged Okanogan River Basin sockeye smolts (i.e., release aggregate) detected at  Bonneville (BON) dam); FRY: FL; </v>
      </c>
      <c r="G41" s="394" t="str">
        <f t="shared" ca="1" si="6"/>
        <v xml:space="preserve">Returns Complete! ABUND: Ok adults at mouth of Columbia (based on BONN counts (adj. 24-hr counts) + [[downstream harvest (Zones 1-5) apportioned to stock (based on annual RRH:Rock dam ratios)]]. [hs 2023-02-03]; </v>
      </c>
      <c r="H41" s="391" t="str">
        <f t="shared" ca="1" si="9"/>
        <v xml:space="preserve">JUV: Abund based on mean of Oct Mar ATS surveys (Judson et al. 2023); Len Wt estimates from weighted mean of select fall-winter ATS survey(s) in previous year (see Presmolt_Sizes_tidy_22.11.16.xlsx); Data Source:  Osoyoos_trawl_November'97.xlsx, CNAT_nuOkanagan_Juveniles 22.10.27.xlsx; </v>
      </c>
      <c r="I41" s="336" t="str">
        <f t="shared" ca="1" si="10"/>
        <v>ADULT: 2019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41" s="337" t="str">
        <f t="shared" ca="1" si="11"/>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2019 howard.stiff@shaw.ca</v>
      </c>
      <c r="K41" s="367"/>
      <c r="L41" s="862"/>
      <c r="M41" s="871">
        <v>19.899999999999999</v>
      </c>
      <c r="N41" s="341">
        <v>7.1579256306389602E-3</v>
      </c>
    </row>
    <row r="42" spans="1:35" ht="42" customHeight="1" thickBot="1" x14ac:dyDescent="0.35">
      <c r="A42" s="450" t="str">
        <f ca="1">IF(OR(ISBLANK('Juvenile Data'!A42),'Juvenile Data'!B42&gt;YEAR(NOW())),"",'Juvenile Data'!A42)</f>
        <v>Okanagan - Osoyoos</v>
      </c>
      <c r="B42" s="376">
        <f ca="1">IF(AND('Juvenile Data'!B42&gt;0,'Juvenile Data'!B42&lt;=YEAR(NOW())),'Juvenile Data'!B42,"")</f>
        <v>2018</v>
      </c>
      <c r="C42" s="373">
        <f t="shared" ca="1" si="7"/>
        <v>4122796</v>
      </c>
      <c r="D42" s="333">
        <f t="shared" ca="1" si="12"/>
        <v>168370.40175659824</v>
      </c>
      <c r="E42" s="1629">
        <f t="shared" ca="1" si="13"/>
        <v>4.0838887433818756E-2</v>
      </c>
      <c r="F42" s="385" t="str">
        <f t="shared" ca="1" si="8"/>
        <v xml:space="preserve">ABUND: Age comp based on FW age composition of adult returns x best winter presmolt abundance copied from Pre-Smolt section. See General Comments. [hs 2022-10-31]; MIG: PIT tagged juvenile (wild+hatch?) survival (FPC Memo to JF (21.12.28): Table 4. Migration timing of PIT-tagged Okanogan River Basin sockeye smolts (i.e., release aggregate) detected at  Bonneville (BON) dam); FRY: FL; </v>
      </c>
      <c r="G42" s="394" t="str">
        <f t="shared" ca="1" si="6"/>
        <v xml:space="preserve">Returns Complete! ABUND: Ok adults at mouth of Columbia (based on BONN counts (adj. 24-hr counts) + [[downstream harvest (Zones 1-5) apportioned to stock (based on annual RRH:Rock dam ratios)]]. [hs 2023-02-03]; </v>
      </c>
      <c r="H42" s="391" t="str">
        <f t="shared" ca="1" si="9"/>
        <v xml:space="preserve">JUV: Abund based on mean of Oct Nov Feb ATS surveys (Judson et al. 2023); Len Wt estimates from weighted mean of select fall-winter ATS survey(s) in previous year (see Presmolt_Sizes_tidy_22.11.16.xlsx); Data Source:  Osoyoos_trawl_November'97.xlsx, CNAT_nuOkanagan_Juveniles 22.10.27.xlsx; </v>
      </c>
      <c r="I42" s="336" t="str">
        <f t="shared" ca="1" si="10"/>
        <v>ADULT: 2020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42" s="337" t="str">
        <f t="shared" ca="1" si="11"/>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2020 howard.stiff@shaw.ca</v>
      </c>
      <c r="K42" s="1311"/>
      <c r="L42" s="863"/>
      <c r="M42" s="902">
        <v>14.6</v>
      </c>
      <c r="N42" s="341">
        <v>7.7963252451873424E-2</v>
      </c>
    </row>
    <row r="43" spans="1:35" ht="42" customHeight="1" thickBot="1" x14ac:dyDescent="0.35">
      <c r="A43" s="450" t="str">
        <f ca="1">IF(OR(ISBLANK('Juvenile Data'!A43),'Juvenile Data'!B43&gt;YEAR(NOW())),"",'Juvenile Data'!A43)</f>
        <v>Okanagan - Osoyoos</v>
      </c>
      <c r="B43" s="376">
        <f ca="1">IF(AND('Juvenile Data'!B43&gt;0,'Juvenile Data'!B43&lt;=YEAR(NOW())),'Juvenile Data'!B43,"")</f>
        <v>2019</v>
      </c>
      <c r="C43" s="373">
        <f t="shared" ca="1" si="7"/>
        <v>1556054</v>
      </c>
      <c r="D43" s="333">
        <f t="shared" ca="1" si="12"/>
        <v>92338.575870797882</v>
      </c>
      <c r="E43" s="1629">
        <f t="shared" ca="1" si="13"/>
        <v>5.9341498348256479E-2</v>
      </c>
      <c r="F43" s="385" t="str">
        <f t="shared" ca="1" si="8"/>
        <v xml:space="preserve">ABUND: Age comp based on FW age composition of adult returns x best winter presmolt abundance copied from Pre-Smolt section. See General Comments. [hs 2022-10-31]; MIG: PIT tagged juvenile (wild+hatch?) survival (FPC Memo to JF (21.12.28): Table 4. Migration timing of PIT-tagged Okanogan River Basin sockeye smolts (i.e., release aggregate) detected at  Bonneville (BON) dam); FRY: FL; </v>
      </c>
      <c r="G43" s="394" t="str">
        <f t="shared" ca="1" si="6"/>
        <v xml:space="preserve">Returns Complete! ABUND: Age composition preliminary (JF 2022-05-06]]; </v>
      </c>
      <c r="H43" s="391" t="str">
        <f t="shared" ca="1" si="9"/>
        <v xml:space="preserve">JUV: Abund based on mean of Oct ATS survey only (Judson et al. 2023); Len Wt estimates from weighted mean of select fall-winter ATS survey(s) in previous year (see Presmolt_Sizes_tidy_22.11.16.xlsx); Data Source:  Osoyoos_trawl_November'97.xlsx, CNAT_nuOkanagan_Juveniles 22.10.27.xlsx; ADULT: 2021 Hot summer, high Columbia/Okanogan water temps.  </v>
      </c>
      <c r="I43" s="336" t="str">
        <f t="shared" ca="1" si="10"/>
        <v>JUV: Lakes frozen over, no winter estimates; ADULT: 2021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43" s="337" t="str">
        <f t="shared" ca="1" si="11"/>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2021 howard.stiff@shaw.ca</v>
      </c>
      <c r="K43" s="1311" t="s">
        <v>412</v>
      </c>
      <c r="L43" s="863"/>
      <c r="M43" s="903">
        <v>18.8</v>
      </c>
      <c r="N43" s="341">
        <v>5.2299011063759782E-2</v>
      </c>
      <c r="S43" s="479"/>
    </row>
    <row r="44" spans="1:35" ht="42" customHeight="1" thickBot="1" x14ac:dyDescent="0.35">
      <c r="A44" s="450" t="str">
        <f ca="1">IF(OR(ISBLANK('Juvenile Data'!A44),'Juvenile Data'!B44&gt;YEAR(NOW())),"",'Juvenile Data'!A44)</f>
        <v>Okanagan - Osoyoos</v>
      </c>
      <c r="B44" s="376">
        <f ca="1">IF(AND('Juvenile Data'!B44&gt;0,'Juvenile Data'!B44&lt;=YEAR(NOW())),'Juvenile Data'!B44,"")</f>
        <v>2020</v>
      </c>
      <c r="C44" s="373">
        <f t="shared" ca="1" si="7"/>
        <v>2540161</v>
      </c>
      <c r="D44" s="333">
        <f t="shared" ca="1" si="12"/>
        <v>360322.50489342806</v>
      </c>
      <c r="E44" s="1629">
        <f t="shared" ca="1" si="13"/>
        <v>0.14185026259887781</v>
      </c>
      <c r="F44" s="385" t="str">
        <f t="shared" ca="1" si="8"/>
        <v xml:space="preserve">ABUND: Age comp based on FW age composition of adult returns x best winter presmolt abundance copied from Pre-Smolt section. See General Comments. [hs 2022-10-31]; MIG: N/A; FRY: FL; </v>
      </c>
      <c r="G44" s="394" t="str">
        <f t="shared" ca="1" si="6"/>
        <v xml:space="preserve">Returns Complete! ABUND: Based on 663,253 Sox at Bonneville as of 11.Oct.22 (harvest not included). Stock composition (84% Okanagan-bound) (~537,299 SK) and age composition preliminary (JF 2022-07-29]]. H-O fish fraction not determined.; </v>
      </c>
      <c r="H44" s="391" t="str">
        <f t="shared" ca="1" si="9"/>
        <v xml:space="preserve">JUV: Abund based on mean of Nov Feb ATS surveys (Judson et al. 2023); Len Wt estimates from weighted mean of select fall-winter ATS survey(s) in previous year (see Presmolt_Sizes_tidy_22.11.16.xlsx); Data Source:  Osoyoos_trawl_November'97.xlsx, CNAT_nuOkanagan_Juveniles 22.10.27.xlsx; </v>
      </c>
      <c r="I44" s="336" t="str">
        <f t="shared" ca="1" si="10"/>
        <v/>
      </c>
      <c r="J44" s="337" t="str">
        <f t="shared" ca="1" si="11"/>
        <v xml:space="preserve">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v>
      </c>
      <c r="K44" s="1311" t="s">
        <v>413</v>
      </c>
      <c r="L44" s="863"/>
      <c r="M44" s="903">
        <v>14.9</v>
      </c>
      <c r="N44" s="341">
        <v>0.19379102035998286</v>
      </c>
      <c r="S44" s="479"/>
    </row>
    <row r="45" spans="1:35" ht="42" customHeight="1" thickBot="1" x14ac:dyDescent="0.35">
      <c r="A45" s="450" t="str">
        <f ca="1">IF(OR(ISBLANK('Juvenile Data'!A45),'Juvenile Data'!B45&gt;YEAR(NOW())),"",'Juvenile Data'!A45)</f>
        <v>Okanagan - Osoyoos</v>
      </c>
      <c r="B45" s="376">
        <f ca="1">IF(AND('Juvenile Data'!B45&gt;0,'Juvenile Data'!B45&lt;=YEAR(NOW())),'Juvenile Data'!B45,"")</f>
        <v>2021</v>
      </c>
      <c r="C45" s="373">
        <f t="shared" ca="1" si="7"/>
        <v>1464091</v>
      </c>
      <c r="D45" s="333">
        <f t="shared" ca="1" si="12"/>
        <v>110196.18727584067</v>
      </c>
      <c r="E45" s="1629">
        <f t="shared" ca="1" si="13"/>
        <v>7.5265941308184175E-2</v>
      </c>
      <c r="F45" s="385" t="str">
        <f t="shared" ca="1" si="8"/>
        <v xml:space="preserve">ABUND: Age comp based on FW age composition of adult returns x best winter presmolt abundance copied from Pre-Smolt section. See General Comments. [hs 2022-10-31]; MIG: PIT tagged juvenile (wild+hatch?) survival (FPC Memo to JF (21.12.28): Table 4. Migration timing of PIT-tagged Okanogan River Basin sockeye smolts (i.e., release aggregate) detected at  Bonneville (BON) dam); FRY: FL; </v>
      </c>
      <c r="G45" s="394" t="str">
        <f t="shared" ca="1" si="6"/>
        <v xml:space="preserve">Returns At Age Incomplete (Age 42s or Age 52s missing or zero)? </v>
      </c>
      <c r="H45" s="391" t="str">
        <f t="shared" ca="1" si="9"/>
        <v xml:space="preserve">JUV: Abund based on mean of Oct Nov Mar ATS surveys (Judson et al. 2023); Len Wt estimates from weighted mean of select fall-winter ATS survey(s) in previous year (see Presmolt_Sizes_tidy_22.11.16.xlsx); Data Source:  Osoyoos_trawl_November'97.xlsx, CNAT_nuOkanagan_Juveniles 22.10.27.xlsx; </v>
      </c>
      <c r="I45" s="336" t="str">
        <f t="shared" ca="1" si="10"/>
        <v/>
      </c>
      <c r="J45" s="337" t="str">
        <f t="shared" ca="1" si="11"/>
        <v xml:space="preserve">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v>
      </c>
      <c r="K45" s="1312"/>
      <c r="L45" s="864"/>
      <c r="M45" s="904">
        <v>6.9</v>
      </c>
      <c r="N45" s="449"/>
      <c r="S45" s="479"/>
    </row>
    <row r="46" spans="1:35" ht="28.95" customHeight="1" thickBot="1" x14ac:dyDescent="0.35">
      <c r="A46" s="450" t="str">
        <f ca="1">IF(OR(ISBLANK('Juvenile Data'!A46),'Juvenile Data'!B46&gt;YEAR(NOW())),"",'Juvenile Data'!A46)</f>
        <v>Okanagan - Osoyoos</v>
      </c>
      <c r="B46" s="376">
        <f ca="1">IF(AND('Juvenile Data'!B46&gt;0,'Juvenile Data'!B46&lt;=YEAR(NOW())),'Juvenile Data'!B46,"")</f>
        <v>2022</v>
      </c>
      <c r="C46" s="373">
        <f t="shared" ca="1" si="7"/>
        <v>3673223</v>
      </c>
      <c r="D46" s="333" t="str">
        <f t="shared" ca="1" si="12"/>
        <v/>
      </c>
      <c r="E46" s="1629" t="str">
        <f t="shared" ca="1" si="13"/>
        <v/>
      </c>
      <c r="F46" s="385" t="str">
        <f t="shared" ca="1" si="8"/>
        <v xml:space="preserve">ABUND: Preliminary!  [hs 2022-10-31]; </v>
      </c>
      <c r="G46" s="394" t="str">
        <f t="shared" ca="1" si="6"/>
        <v xml:space="preserve">Returns At Age Incomplete (Adults N/A)? </v>
      </c>
      <c r="H46" s="391" t="str">
        <f t="shared" ca="1" si="9"/>
        <v xml:space="preserve">JUV: Winter estimate from AO's CNAT file [22.08.17]; </v>
      </c>
      <c r="I46" s="336" t="str">
        <f t="shared" ca="1" si="10"/>
        <v/>
      </c>
      <c r="J46" s="337" t="str">
        <f t="shared" ca="1" si="11"/>
        <v xml:space="preserve">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v>
      </c>
      <c r="K46" s="1312"/>
      <c r="L46" s="873"/>
      <c r="M46" s="904">
        <v>11.9</v>
      </c>
    </row>
    <row r="47" spans="1:35" ht="28.95" customHeight="1" thickBot="1" x14ac:dyDescent="0.35">
      <c r="A47" s="450" t="str">
        <f ca="1">IF(OR(ISBLANK('Juvenile Data'!A47),'Juvenile Data'!B47&gt;YEAR(NOW())),"",'Juvenile Data'!A47)</f>
        <v>Okanagan - Osoyoos</v>
      </c>
      <c r="B47" s="376">
        <f ca="1">IF(AND('Juvenile Data'!B47&gt;0,'Juvenile Data'!B47&lt;=YEAR(NOW())),'Juvenile Data'!B47,"")</f>
        <v>2023</v>
      </c>
      <c r="C47" s="373">
        <f t="shared" ca="1" si="7"/>
        <v>1212000</v>
      </c>
      <c r="D47" s="333" t="str">
        <f t="shared" ca="1" si="12"/>
        <v/>
      </c>
      <c r="E47" s="341" t="str">
        <f t="shared" ca="1" si="13"/>
        <v/>
      </c>
      <c r="F47" s="385" t="str">
        <f t="shared" ca="1" si="8"/>
        <v xml:space="preserve">ABUND: Preliminary!  [hs 2024-01-22]; </v>
      </c>
      <c r="G47" s="394" t="str">
        <f t="shared" ca="1" si="6"/>
        <v xml:space="preserve">Returns At Age Incomplete (Adults N/A)? </v>
      </c>
      <c r="H47" s="391" t="str">
        <f t="shared" ca="1" si="9"/>
        <v xml:space="preserve">JUV: Winter estimate from AO's CNAT file [2024-01-22]; </v>
      </c>
      <c r="I47" s="336" t="str">
        <f t="shared" ca="1" si="10"/>
        <v/>
      </c>
      <c r="J47" s="337" t="str">
        <f t="shared" ca="1" si="11"/>
        <v/>
      </c>
      <c r="K47" s="367"/>
      <c r="L47" s="868"/>
      <c r="M47" s="904">
        <v>11.4</v>
      </c>
    </row>
    <row r="48" spans="1:35" ht="28.95" customHeight="1" thickBot="1" x14ac:dyDescent="0.35">
      <c r="A48" s="450" t="str">
        <f ca="1">IF(OR(ISBLANK('Juvenile Data'!A48),'Juvenile Data'!B48&gt;YEAR(NOW())),"",'Juvenile Data'!A48)</f>
        <v/>
      </c>
      <c r="B48" s="376" t="str">
        <f ca="1">IF(AND('Juvenile Data'!B48&gt;0,'Juvenile Data'!B48&lt;=YEAR(NOW())),'Juvenile Data'!B48,"")</f>
        <v/>
      </c>
      <c r="C48" s="373" t="str">
        <f t="shared" ca="1" si="7"/>
        <v/>
      </c>
      <c r="D48" s="333" t="str">
        <f t="shared" ca="1" si="12"/>
        <v/>
      </c>
      <c r="E48" s="341" t="str">
        <f t="shared" ca="1" si="13"/>
        <v/>
      </c>
      <c r="F48" s="385" t="str">
        <f t="shared" ca="1" si="8"/>
        <v/>
      </c>
      <c r="G48" s="394" t="str">
        <f t="shared" ref="G48:G57" ca="1" si="14">IF(B48="","",IF(D48="","Returns At Age Incomplete (SY missing)? ",IF(AND(MAX(Years)-2&gt;B48,VLOOKUP(B48+2,AdultReturns,3)&gt;0,VLOOKUP(B48+3,AdultReturns,5)&gt;0),"Returns Complete! ","Returns At Age Incomplete (Age 42s or Age 52s missing or zero)? ")&amp;IF(ISTEXT(VLOOKUP(B48+2,AdultReturns,11)),"ABUND: "&amp;VLOOKUP(B48+2,AdultReturns,11)&amp;"; ","")&amp;IF(ISTEXT(VLOOKUP(B48+2,AdultReturns,40)),"BIO: "&amp;VLOOKUP(B48+2,AdultReturns,40)&amp;"; ","")&amp;IF(ISTEXT(VLOOKUP(B48+2,AdultReturns,44)),"MIG: "&amp;VLOOKUP(B48+2,AdultReturns,44)&amp;"; ","")))</f>
        <v/>
      </c>
      <c r="H48" s="391" t="e">
        <f t="shared" ca="1" si="9"/>
        <v>#N/A</v>
      </c>
      <c r="I48" s="336" t="e">
        <f t="shared" ca="1" si="10"/>
        <v>#N/A</v>
      </c>
      <c r="J48" s="337" t="e">
        <f t="shared" ca="1" si="11"/>
        <v>#N/A</v>
      </c>
      <c r="K48" s="367"/>
      <c r="L48" s="868"/>
      <c r="M48" s="904"/>
    </row>
    <row r="49" spans="1:16" ht="28.95" customHeight="1" thickBot="1" x14ac:dyDescent="0.35">
      <c r="A49" s="450" t="str">
        <f ca="1">IF(OR(ISBLANK('Juvenile Data'!A49),'Juvenile Data'!B49&gt;YEAR(NOW())),"",'Juvenile Data'!A49)</f>
        <v/>
      </c>
      <c r="B49" s="376" t="str">
        <f ca="1">IF(AND('Juvenile Data'!B49&gt;0,'Juvenile Data'!B49&lt;=YEAR(NOW())),'Juvenile Data'!B49,"")</f>
        <v/>
      </c>
      <c r="C49" s="373" t="str">
        <f t="shared" ca="1" si="7"/>
        <v/>
      </c>
      <c r="D49" s="333" t="str">
        <f t="shared" ca="1" si="12"/>
        <v/>
      </c>
      <c r="E49" s="341" t="str">
        <f t="shared" ca="1" si="13"/>
        <v/>
      </c>
      <c r="F49" s="385" t="str">
        <f t="shared" ca="1" si="8"/>
        <v/>
      </c>
      <c r="G49" s="394" t="str">
        <f t="shared" ca="1" si="14"/>
        <v/>
      </c>
      <c r="H49" s="391" t="e">
        <f t="shared" ca="1" si="9"/>
        <v>#N/A</v>
      </c>
      <c r="I49" s="336" t="e">
        <f t="shared" ca="1" si="10"/>
        <v>#N/A</v>
      </c>
      <c r="J49" s="337" t="e">
        <f t="shared" ca="1" si="11"/>
        <v>#N/A</v>
      </c>
      <c r="K49" s="367"/>
      <c r="L49" s="868"/>
      <c r="M49" s="904"/>
    </row>
    <row r="50" spans="1:16" ht="28.95" customHeight="1" x14ac:dyDescent="0.3">
      <c r="A50" s="450" t="str">
        <f ca="1">IF(OR(ISBLANK('Juvenile Data'!A50),'Juvenile Data'!B50&gt;YEAR(NOW())),"",'Juvenile Data'!A50)</f>
        <v/>
      </c>
      <c r="B50" s="376" t="str">
        <f ca="1">IF(AND('Juvenile Data'!B50&gt;0,'Juvenile Data'!B50&lt;=YEAR(NOW())),'Juvenile Data'!B50,"")</f>
        <v/>
      </c>
      <c r="C50" s="373" t="str">
        <f t="shared" ca="1" si="7"/>
        <v/>
      </c>
      <c r="D50" s="333" t="str">
        <f t="shared" ca="1" si="12"/>
        <v/>
      </c>
      <c r="E50" s="341" t="str">
        <f t="shared" ca="1" si="13"/>
        <v/>
      </c>
      <c r="F50" s="385" t="str">
        <f t="shared" ca="1" si="8"/>
        <v/>
      </c>
      <c r="G50" s="394" t="str">
        <f t="shared" ca="1" si="14"/>
        <v/>
      </c>
      <c r="H50" s="391" t="e">
        <f t="shared" ca="1" si="9"/>
        <v>#N/A</v>
      </c>
      <c r="I50" s="336" t="e">
        <f t="shared" ca="1" si="10"/>
        <v>#N/A</v>
      </c>
      <c r="J50" s="337" t="e">
        <f t="shared" ca="1" si="11"/>
        <v>#N/A</v>
      </c>
      <c r="K50" s="367"/>
      <c r="L50" s="868"/>
      <c r="M50" s="868"/>
    </row>
    <row r="51" spans="1:16" ht="28.95" customHeight="1" x14ac:dyDescent="0.3">
      <c r="A51" s="450" t="str">
        <f ca="1">IF(OR(ISBLANK('Juvenile Data'!A51),'Juvenile Data'!B51&gt;YEAR(NOW())),"",'Juvenile Data'!A51)</f>
        <v/>
      </c>
      <c r="B51" s="376" t="str">
        <f ca="1">IF(AND('Juvenile Data'!B51&gt;0,'Juvenile Data'!B51&lt;=YEAR(NOW())),'Juvenile Data'!B51,"")</f>
        <v/>
      </c>
      <c r="C51" s="373" t="str">
        <f t="shared" ca="1" si="7"/>
        <v/>
      </c>
      <c r="D51" s="333" t="str">
        <f t="shared" ca="1" si="12"/>
        <v/>
      </c>
      <c r="E51" s="341" t="str">
        <f t="shared" ca="1" si="13"/>
        <v/>
      </c>
      <c r="F51" s="385" t="str">
        <f t="shared" ca="1" si="8"/>
        <v/>
      </c>
      <c r="G51" s="394" t="str">
        <f t="shared" ca="1" si="14"/>
        <v/>
      </c>
      <c r="H51" s="391" t="e">
        <f t="shared" ca="1" si="9"/>
        <v>#N/A</v>
      </c>
      <c r="I51" s="336" t="e">
        <f t="shared" ca="1" si="10"/>
        <v>#N/A</v>
      </c>
      <c r="J51" s="337" t="e">
        <f t="shared" ca="1" si="11"/>
        <v>#N/A</v>
      </c>
      <c r="K51" s="445"/>
      <c r="L51" s="869"/>
      <c r="M51" s="869"/>
    </row>
    <row r="52" spans="1:16" ht="28.95" customHeight="1" x14ac:dyDescent="0.3">
      <c r="A52" s="450" t="str">
        <f ca="1">IF(OR(ISBLANK('Juvenile Data'!A52),'Juvenile Data'!B52&gt;YEAR(NOW())),"",'Juvenile Data'!A52)</f>
        <v/>
      </c>
      <c r="B52" s="376" t="str">
        <f ca="1">IF(AND('Juvenile Data'!B52&gt;0,'Juvenile Data'!B52&lt;=YEAR(NOW())),'Juvenile Data'!B52,"")</f>
        <v/>
      </c>
      <c r="C52" s="373" t="str">
        <f t="shared" ca="1" si="7"/>
        <v/>
      </c>
      <c r="D52" s="333" t="str">
        <f t="shared" ca="1" si="12"/>
        <v/>
      </c>
      <c r="E52" s="443" t="str">
        <f t="shared" ca="1" si="13"/>
        <v/>
      </c>
      <c r="F52" s="385" t="str">
        <f t="shared" ca="1" si="8"/>
        <v/>
      </c>
      <c r="G52" s="394" t="str">
        <f t="shared" ca="1" si="14"/>
        <v/>
      </c>
      <c r="H52" s="391" t="e">
        <f t="shared" ca="1" si="9"/>
        <v>#N/A</v>
      </c>
      <c r="I52" s="336" t="e">
        <f t="shared" ca="1" si="10"/>
        <v>#N/A</v>
      </c>
      <c r="J52" s="337" t="e">
        <f t="shared" ca="1" si="11"/>
        <v>#N/A</v>
      </c>
      <c r="K52" s="445"/>
      <c r="L52" s="869"/>
      <c r="M52" s="869"/>
      <c r="P52" s="444"/>
    </row>
    <row r="53" spans="1:16" ht="28.95" customHeight="1" x14ac:dyDescent="0.3">
      <c r="A53" s="450" t="str">
        <f ca="1">IF(OR(ISBLANK('Juvenile Data'!A53),'Juvenile Data'!B53&gt;YEAR(NOW())),"",'Juvenile Data'!A53)</f>
        <v/>
      </c>
      <c r="B53" s="376" t="str">
        <f ca="1">IF(AND('Juvenile Data'!B53&gt;0,'Juvenile Data'!B53&lt;=YEAR(NOW())),'Juvenile Data'!B53,"")</f>
        <v/>
      </c>
      <c r="C53" s="373" t="str">
        <f t="shared" ca="1" si="7"/>
        <v/>
      </c>
      <c r="D53" s="333" t="str">
        <f t="shared" ca="1" si="12"/>
        <v/>
      </c>
      <c r="E53" s="443" t="str">
        <f t="shared" ca="1" si="13"/>
        <v/>
      </c>
      <c r="F53" s="385" t="str">
        <f t="shared" ca="1" si="8"/>
        <v/>
      </c>
      <c r="G53" s="394" t="str">
        <f t="shared" ca="1" si="14"/>
        <v/>
      </c>
      <c r="H53" s="391" t="e">
        <f t="shared" ca="1" si="9"/>
        <v>#N/A</v>
      </c>
      <c r="I53" s="336" t="e">
        <f t="shared" ca="1" si="10"/>
        <v>#N/A</v>
      </c>
      <c r="J53" s="337" t="e">
        <f t="shared" ca="1" si="11"/>
        <v>#N/A</v>
      </c>
      <c r="K53" s="445"/>
      <c r="L53" s="869"/>
      <c r="M53" s="869"/>
    </row>
    <row r="54" spans="1:16" ht="28.95" customHeight="1" x14ac:dyDescent="0.3">
      <c r="A54" s="450" t="str">
        <f ca="1">IF(OR(ISBLANK('Juvenile Data'!A54),'Juvenile Data'!B54&gt;YEAR(NOW())),"",'Juvenile Data'!A54)</f>
        <v/>
      </c>
      <c r="B54" s="376" t="str">
        <f ca="1">IF(AND('Juvenile Data'!B54&gt;0,'Juvenile Data'!B54&lt;=YEAR(NOW())),'Juvenile Data'!B54,"")</f>
        <v/>
      </c>
      <c r="C54" s="373" t="str">
        <f t="shared" ca="1" si="7"/>
        <v/>
      </c>
      <c r="D54" s="333" t="str">
        <f t="shared" ca="1" si="12"/>
        <v/>
      </c>
      <c r="E54" s="341" t="str">
        <f t="shared" ca="1" si="13"/>
        <v/>
      </c>
      <c r="F54" s="385" t="str">
        <f t="shared" ca="1" si="8"/>
        <v/>
      </c>
      <c r="G54" s="394" t="str">
        <f t="shared" ca="1" si="14"/>
        <v/>
      </c>
      <c r="H54" s="391" t="e">
        <f t="shared" ca="1" si="9"/>
        <v>#N/A</v>
      </c>
      <c r="I54" s="336" t="e">
        <f t="shared" ca="1" si="10"/>
        <v>#N/A</v>
      </c>
      <c r="J54" s="337" t="e">
        <f t="shared" ca="1" si="11"/>
        <v>#N/A</v>
      </c>
      <c r="K54" s="367"/>
      <c r="L54" s="868"/>
      <c r="M54" s="868"/>
    </row>
    <row r="55" spans="1:16" ht="28.95" customHeight="1" x14ac:dyDescent="0.3">
      <c r="A55" s="450" t="str">
        <f ca="1">IF(OR(ISBLANK('Juvenile Data'!A55),'Juvenile Data'!B55&gt;YEAR(NOW())),"",'Juvenile Data'!A55)</f>
        <v/>
      </c>
      <c r="B55" s="376" t="str">
        <f ca="1">IF(AND('Juvenile Data'!B55&gt;0,'Juvenile Data'!B55&lt;=YEAR(NOW())),'Juvenile Data'!B55,"")</f>
        <v/>
      </c>
      <c r="C55" s="373" t="str">
        <f t="shared" ca="1" si="7"/>
        <v/>
      </c>
      <c r="D55" s="333" t="str">
        <f t="shared" ca="1" si="12"/>
        <v/>
      </c>
      <c r="E55" s="341" t="str">
        <f t="shared" ca="1" si="13"/>
        <v/>
      </c>
      <c r="F55" s="385" t="str">
        <f t="shared" ca="1" si="8"/>
        <v/>
      </c>
      <c r="G55" s="394" t="str">
        <f t="shared" ca="1" si="14"/>
        <v/>
      </c>
      <c r="H55" s="391" t="e">
        <f t="shared" ca="1" si="9"/>
        <v>#N/A</v>
      </c>
      <c r="I55" s="336" t="e">
        <f t="shared" ca="1" si="10"/>
        <v>#N/A</v>
      </c>
      <c r="J55" s="337" t="e">
        <f t="shared" ca="1" si="11"/>
        <v>#N/A</v>
      </c>
      <c r="K55" s="367"/>
      <c r="L55" s="868"/>
      <c r="M55" s="868"/>
    </row>
    <row r="56" spans="1:16" ht="28.95" customHeight="1" x14ac:dyDescent="0.3">
      <c r="A56" s="450" t="str">
        <f ca="1">IF(OR(ISBLANK('Juvenile Data'!A56),'Juvenile Data'!B56&gt;YEAR(NOW())),"",'Juvenile Data'!A56)</f>
        <v/>
      </c>
      <c r="B56" s="376" t="str">
        <f ca="1">IF(AND('Juvenile Data'!B56&gt;0,'Juvenile Data'!B56&lt;=YEAR(NOW())),'Juvenile Data'!B56,"")</f>
        <v/>
      </c>
      <c r="C56" s="373" t="str">
        <f t="shared" ca="1" si="7"/>
        <v/>
      </c>
      <c r="D56" s="333" t="str">
        <f t="shared" ca="1" si="12"/>
        <v/>
      </c>
      <c r="E56" s="341" t="str">
        <f t="shared" ca="1" si="13"/>
        <v/>
      </c>
      <c r="F56" s="385" t="str">
        <f t="shared" ca="1" si="8"/>
        <v/>
      </c>
      <c r="G56" s="394" t="str">
        <f t="shared" ca="1" si="14"/>
        <v/>
      </c>
      <c r="H56" s="391" t="e">
        <f t="shared" ca="1" si="9"/>
        <v>#N/A</v>
      </c>
      <c r="I56" s="336" t="e">
        <f t="shared" ca="1" si="10"/>
        <v>#N/A</v>
      </c>
      <c r="J56" s="337" t="e">
        <f t="shared" ca="1" si="11"/>
        <v>#N/A</v>
      </c>
      <c r="K56" s="367"/>
      <c r="L56" s="868"/>
      <c r="M56" s="868"/>
    </row>
    <row r="57" spans="1:16" ht="28.95" customHeight="1" thickBot="1" x14ac:dyDescent="0.35">
      <c r="A57" s="430" t="str">
        <f ca="1">IF(OR(ISBLANK('Juvenile Data'!A57),'Juvenile Data'!B57&gt;YEAR(NOW())),"",'Juvenile Data'!A57)</f>
        <v/>
      </c>
      <c r="B57" s="377" t="str">
        <f ca="1">IF(AND('Juvenile Data'!B57&gt;0,'Juvenile Data'!B57&lt;=YEAR(NOW())),'Juvenile Data'!B57,"")</f>
        <v/>
      </c>
      <c r="C57" s="374" t="str">
        <f t="shared" ca="1" si="7"/>
        <v/>
      </c>
      <c r="D57" s="342" t="str">
        <f t="shared" ca="1" si="12"/>
        <v/>
      </c>
      <c r="E57" s="343" t="str">
        <f t="shared" ca="1" si="13"/>
        <v/>
      </c>
      <c r="F57" s="386" t="str">
        <f t="shared" ca="1" si="8"/>
        <v/>
      </c>
      <c r="G57" s="395" t="str">
        <f t="shared" ca="1" si="14"/>
        <v/>
      </c>
      <c r="H57" s="392" t="e">
        <f t="shared" ca="1" si="9"/>
        <v>#N/A</v>
      </c>
      <c r="I57" s="344" t="e">
        <f t="shared" ca="1" si="10"/>
        <v>#N/A</v>
      </c>
      <c r="J57" s="345" t="e">
        <f t="shared" ca="1" si="11"/>
        <v>#N/A</v>
      </c>
      <c r="K57" s="368"/>
      <c r="L57" s="868"/>
      <c r="M57" s="868"/>
    </row>
  </sheetData>
  <sheetProtection sheet="1" formatCells="0" formatColumns="0" formatRows="0" sort="0" autoFilter="0" pivotTables="0"/>
  <mergeCells count="16">
    <mergeCell ref="X39:Y39"/>
    <mergeCell ref="Z39:AA39"/>
    <mergeCell ref="AB39:AC39"/>
    <mergeCell ref="AD39:AE39"/>
    <mergeCell ref="A1:K1"/>
    <mergeCell ref="E2:E3"/>
    <mergeCell ref="A2:A3"/>
    <mergeCell ref="B2:B3"/>
    <mergeCell ref="C2:C3"/>
    <mergeCell ref="D2:D3"/>
    <mergeCell ref="F2:K2"/>
    <mergeCell ref="P37:S37"/>
    <mergeCell ref="P39:Q39"/>
    <mergeCell ref="R39:S39"/>
    <mergeCell ref="T39:U39"/>
    <mergeCell ref="V39:W39"/>
  </mergeCells>
  <phoneticPr fontId="58" type="noConversion"/>
  <conditionalFormatting sqref="C4:C57">
    <cfRule type="dataBar" priority="7">
      <dataBar>
        <cfvo type="min"/>
        <cfvo type="max"/>
        <color rgb="FF008AEF"/>
      </dataBar>
      <extLst>
        <ext xmlns:x14="http://schemas.microsoft.com/office/spreadsheetml/2009/9/main" uri="{B025F937-C7B1-47D3-B67F-A62EFF666E3E}">
          <x14:id>{C0BA2E2F-582B-4E2D-BE82-59C4338D8EDF}</x14:id>
        </ext>
      </extLst>
    </cfRule>
  </conditionalFormatting>
  <conditionalFormatting sqref="D4:D57">
    <cfRule type="dataBar" priority="8">
      <dataBar>
        <cfvo type="min"/>
        <cfvo type="max"/>
        <color rgb="FFFF555A"/>
      </dataBar>
      <extLst>
        <ext xmlns:x14="http://schemas.microsoft.com/office/spreadsheetml/2009/9/main" uri="{B025F937-C7B1-47D3-B67F-A62EFF666E3E}">
          <x14:id>{65C1DAC0-AC70-4DDA-80F7-88940B0C567A}</x14:id>
        </ext>
      </extLst>
    </cfRule>
  </conditionalFormatting>
  <conditionalFormatting sqref="E4:E8">
    <cfRule type="dataBar" priority="9">
      <dataBar>
        <cfvo type="min"/>
        <cfvo type="max"/>
        <color rgb="FF63C384"/>
      </dataBar>
      <extLst>
        <ext xmlns:x14="http://schemas.microsoft.com/office/spreadsheetml/2009/9/main" uri="{B025F937-C7B1-47D3-B67F-A62EFF666E3E}">
          <x14:id>{F7B23328-4FEF-409C-A489-7A76FC60CF67}</x14:id>
        </ext>
      </extLst>
    </cfRule>
  </conditionalFormatting>
  <conditionalFormatting sqref="E9:E57">
    <cfRule type="colorScale" priority="3">
      <colorScale>
        <cfvo type="min"/>
        <cfvo type="percentile" val="50"/>
        <cfvo type="max"/>
        <color rgb="FFF8696B"/>
        <color rgb="FFFFEB84"/>
        <color rgb="FF63BE7B"/>
      </colorScale>
    </cfRule>
  </conditionalFormatting>
  <conditionalFormatting sqref="G4:G57">
    <cfRule type="containsText" dxfId="739" priority="6" operator="containsText" text="incomplete">
      <formula>NOT(ISERROR(SEARCH("incomplete",G4)))</formula>
    </cfRule>
  </conditionalFormatting>
  <conditionalFormatting sqref="K4:M57">
    <cfRule type="containsText" dxfId="738" priority="5" operator="containsText" text="Incomplete">
      <formula>NOT(ISERROR(SEARCH("Incomplete",K4)))</formula>
    </cfRule>
  </conditionalFormatting>
  <conditionalFormatting sqref="M22:M49">
    <cfRule type="colorScale" priority="2">
      <colorScale>
        <cfvo type="min"/>
        <cfvo type="percentile" val="50"/>
        <cfvo type="max"/>
        <color rgb="FF63BE7B"/>
        <color rgb="FFFFEB84"/>
        <color rgb="FFF8696B"/>
      </colorScale>
    </cfRule>
  </conditionalFormatting>
  <conditionalFormatting sqref="N9:N45">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dataBar" id="{C0BA2E2F-582B-4E2D-BE82-59C4338D8EDF}">
            <x14:dataBar minLength="0" maxLength="100" border="1" negativeBarBorderColorSameAsPositive="0">
              <x14:cfvo type="autoMin"/>
              <x14:cfvo type="autoMax"/>
              <x14:borderColor rgb="FF008AEF"/>
              <x14:negativeFillColor rgb="FFFF0000"/>
              <x14:negativeBorderColor rgb="FFFF0000"/>
              <x14:axisColor rgb="FF000000"/>
            </x14:dataBar>
          </x14:cfRule>
          <xm:sqref>C4:C57</xm:sqref>
        </x14:conditionalFormatting>
        <x14:conditionalFormatting xmlns:xm="http://schemas.microsoft.com/office/excel/2006/main">
          <x14:cfRule type="dataBar" id="{65C1DAC0-AC70-4DDA-80F7-88940B0C567A}">
            <x14:dataBar minLength="0" maxLength="100" border="1" negativeBarBorderColorSameAsPositive="0">
              <x14:cfvo type="autoMin"/>
              <x14:cfvo type="autoMax"/>
              <x14:borderColor rgb="FFFF555A"/>
              <x14:negativeFillColor rgb="FFFF0000"/>
              <x14:negativeBorderColor rgb="FFFF0000"/>
              <x14:axisColor rgb="FF000000"/>
            </x14:dataBar>
          </x14:cfRule>
          <xm:sqref>D4:D57</xm:sqref>
        </x14:conditionalFormatting>
        <x14:conditionalFormatting xmlns:xm="http://schemas.microsoft.com/office/excel/2006/main">
          <x14:cfRule type="dataBar" id="{F7B23328-4FEF-409C-A489-7A76FC60CF67}">
            <x14:dataBar minLength="0" maxLength="100" border="1" negativeBarBorderColorSameAsPositive="0">
              <x14:cfvo type="autoMin"/>
              <x14:cfvo type="autoMax"/>
              <x14:borderColor rgb="FF63C384"/>
              <x14:negativeFillColor rgb="FFFF0000"/>
              <x14:negativeBorderColor rgb="FFFF0000"/>
              <x14:axisColor rgb="FF000000"/>
            </x14:dataBar>
          </x14:cfRule>
          <xm:sqref>E4:E8</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6EBFD0-76FD-48E5-AF87-D5EA4B27BF0F}">
  <sheetPr codeName="Sheet16"/>
  <dimension ref="A1:Z44"/>
  <sheetViews>
    <sheetView workbookViewId="0">
      <pane xSplit="1" ySplit="1" topLeftCell="B26" activePane="bottomRight" state="frozen"/>
      <selection pane="topRight" activeCell="B1" sqref="B1"/>
      <selection pane="bottomLeft" activeCell="A2" sqref="A2"/>
      <selection pane="bottomRight" activeCell="O59" sqref="O59"/>
    </sheetView>
  </sheetViews>
  <sheetFormatPr defaultRowHeight="14.4" x14ac:dyDescent="0.3"/>
  <cols>
    <col min="1" max="1" width="5" bestFit="1" customWidth="1"/>
    <col min="2" max="2" width="15" bestFit="1" customWidth="1"/>
    <col min="3" max="8" width="0" hidden="1" customWidth="1"/>
  </cols>
  <sheetData>
    <row r="1" spans="1:26" ht="30" thickBot="1" x14ac:dyDescent="0.4">
      <c r="A1" s="723" t="s">
        <v>414</v>
      </c>
      <c r="B1" s="737" t="s">
        <v>415</v>
      </c>
      <c r="C1" s="737" t="s">
        <v>416</v>
      </c>
      <c r="D1" s="737" t="s">
        <v>417</v>
      </c>
      <c r="E1" s="738" t="s">
        <v>418</v>
      </c>
      <c r="H1" s="723" t="s">
        <v>383</v>
      </c>
      <c r="I1" s="714" t="s">
        <v>358</v>
      </c>
      <c r="J1" s="714" t="s">
        <v>369</v>
      </c>
      <c r="K1" s="714" t="s">
        <v>370</v>
      </c>
      <c r="L1" s="714" t="s">
        <v>361</v>
      </c>
      <c r="M1" s="714" t="s">
        <v>362</v>
      </c>
      <c r="N1" s="714" t="s">
        <v>371</v>
      </c>
      <c r="O1" s="714" t="s">
        <v>372</v>
      </c>
      <c r="P1" s="715">
        <v>3.1</v>
      </c>
      <c r="Q1" s="724" t="s">
        <v>419</v>
      </c>
      <c r="R1" s="725" t="s">
        <v>358</v>
      </c>
      <c r="S1" s="714" t="s">
        <v>369</v>
      </c>
      <c r="T1" s="714" t="s">
        <v>370</v>
      </c>
      <c r="U1" s="714" t="s">
        <v>361</v>
      </c>
      <c r="V1" s="714" t="s">
        <v>362</v>
      </c>
      <c r="W1" s="714" t="s">
        <v>371</v>
      </c>
      <c r="X1" s="714" t="s">
        <v>372</v>
      </c>
      <c r="Y1" s="715">
        <v>3.1</v>
      </c>
      <c r="Z1" s="724" t="s">
        <v>221</v>
      </c>
    </row>
    <row r="2" spans="1:26" x14ac:dyDescent="0.3">
      <c r="A2" s="720">
        <v>1980</v>
      </c>
      <c r="B2" s="733">
        <v>38079.035810579102</v>
      </c>
      <c r="C2" s="734">
        <v>36474.167521682582</v>
      </c>
      <c r="D2" s="735">
        <f>B2-C2</f>
        <v>1604.8682888965195</v>
      </c>
      <c r="E2" s="736">
        <f>D2/C2</f>
        <v>4.4000134833577301E-2</v>
      </c>
      <c r="H2" s="720">
        <v>1980</v>
      </c>
      <c r="I2" s="702">
        <v>1898.5552663938881</v>
      </c>
      <c r="J2" s="702">
        <v>30121.309514903034</v>
      </c>
      <c r="K2" s="702">
        <v>839.74559859729675</v>
      </c>
      <c r="L2" s="702">
        <v>3030.3862905902447</v>
      </c>
      <c r="M2" s="702">
        <v>584.17085119811952</v>
      </c>
      <c r="N2" s="702"/>
      <c r="O2" s="702"/>
      <c r="P2" s="702"/>
      <c r="Q2" s="721">
        <v>36474.167521682582</v>
      </c>
      <c r="R2" s="739">
        <f>IF(I2,I2/$Q2,"")</f>
        <v>5.2052052052052052E-2</v>
      </c>
      <c r="S2" s="740">
        <f>IF(J2,J2/$Q2,"")</f>
        <v>0.82582582582582587</v>
      </c>
      <c r="T2" s="740">
        <f t="shared" ref="T2:W17" si="0">IF(K2,K2/$Q2,"")</f>
        <v>2.3023023023023025E-2</v>
      </c>
      <c r="U2" s="740">
        <f t="shared" si="0"/>
        <v>8.3083083083083084E-2</v>
      </c>
      <c r="V2" s="740">
        <f t="shared" si="0"/>
        <v>1.6016016016016019E-2</v>
      </c>
      <c r="W2" s="740" t="str">
        <f t="shared" si="0"/>
        <v/>
      </c>
      <c r="X2" s="740" t="str">
        <f>IF(O2,O2/$Q2,"")</f>
        <v/>
      </c>
      <c r="Y2" s="740" t="str">
        <f>IF(P2,P2/$Q2,"")</f>
        <v/>
      </c>
      <c r="Z2" s="722">
        <f>SUM(R2:Y2)</f>
        <v>1.0000000000000002</v>
      </c>
    </row>
    <row r="3" spans="1:26" x14ac:dyDescent="0.3">
      <c r="A3" s="290">
        <v>1981</v>
      </c>
      <c r="B3" s="726">
        <v>43009.042659559796</v>
      </c>
      <c r="C3" s="727">
        <v>40527.66370276871</v>
      </c>
      <c r="D3" s="728">
        <f t="shared" ref="D3:D44" si="1">B3-C3</f>
        <v>2481.3789567910862</v>
      </c>
      <c r="E3" s="730">
        <f t="shared" ref="E3:E43" si="2">D3/C3</f>
        <v>6.122679498600278E-2</v>
      </c>
      <c r="H3" s="290">
        <v>1981</v>
      </c>
      <c r="I3" s="701">
        <v>2109.5480606045776</v>
      </c>
      <c r="J3" s="701">
        <v>33468.791346130318</v>
      </c>
      <c r="K3" s="701">
        <v>933.06933449817848</v>
      </c>
      <c r="L3" s="701">
        <v>3367.1632505803836</v>
      </c>
      <c r="M3" s="701">
        <v>649.0917109552546</v>
      </c>
      <c r="N3" s="701"/>
      <c r="O3" s="701"/>
      <c r="P3" s="701"/>
      <c r="Q3" s="481">
        <v>40527.66370276871</v>
      </c>
      <c r="R3" s="741">
        <f t="shared" ref="R3:S44" si="3">IF(I3,I3/$Q3,"")</f>
        <v>5.2052052052052052E-2</v>
      </c>
      <c r="S3" s="742">
        <f t="shared" si="3"/>
        <v>0.82582582582582587</v>
      </c>
      <c r="T3" s="742">
        <f t="shared" si="0"/>
        <v>2.3023023023023021E-2</v>
      </c>
      <c r="U3" s="742">
        <f t="shared" si="0"/>
        <v>8.3083083083083084E-2</v>
      </c>
      <c r="V3" s="742">
        <f t="shared" si="0"/>
        <v>1.6016016016016016E-2</v>
      </c>
      <c r="W3" s="742" t="str">
        <f t="shared" si="0"/>
        <v/>
      </c>
      <c r="X3" s="742" t="str">
        <f t="shared" ref="X3:X44" si="4">IF(O3,O3/$Q3,"")</f>
        <v/>
      </c>
      <c r="Y3" s="742" t="str">
        <f t="shared" ref="Y3:Y44" si="5">IF(P3,P3/$Q3,"")</f>
        <v/>
      </c>
      <c r="Z3" s="716">
        <f t="shared" ref="Z3:Z44" si="6">SUM(R3:Y3)</f>
        <v>1.0000000000000002</v>
      </c>
    </row>
    <row r="4" spans="1:26" x14ac:dyDescent="0.3">
      <c r="A4" s="290">
        <v>1982</v>
      </c>
      <c r="B4" s="726">
        <v>29801.21939197</v>
      </c>
      <c r="C4" s="727">
        <v>27675.632271233906</v>
      </c>
      <c r="D4" s="728">
        <f t="shared" si="1"/>
        <v>2125.5871207360942</v>
      </c>
      <c r="E4" s="730">
        <f t="shared" si="2"/>
        <v>7.68035613388834E-2</v>
      </c>
      <c r="H4" s="290">
        <v>1982</v>
      </c>
      <c r="I4" s="701">
        <v>1440.5734515557187</v>
      </c>
      <c r="J4" s="701">
        <v>22855.251875643615</v>
      </c>
      <c r="K4" s="701">
        <v>637.17671895733713</v>
      </c>
      <c r="L4" s="701">
        <v>2299.3768553677819</v>
      </c>
      <c r="M4" s="701">
        <v>443.25336970945193</v>
      </c>
      <c r="N4" s="701"/>
      <c r="O4" s="701"/>
      <c r="P4" s="701"/>
      <c r="Q4" s="481">
        <v>27675.632271233906</v>
      </c>
      <c r="R4" s="741">
        <f t="shared" si="3"/>
        <v>5.2052052052052052E-2</v>
      </c>
      <c r="S4" s="742">
        <f t="shared" si="3"/>
        <v>0.82582582582582575</v>
      </c>
      <c r="T4" s="742">
        <f t="shared" si="0"/>
        <v>2.3023023023023021E-2</v>
      </c>
      <c r="U4" s="742">
        <f t="shared" si="0"/>
        <v>8.3083083083083084E-2</v>
      </c>
      <c r="V4" s="742">
        <f t="shared" si="0"/>
        <v>1.6016016016016016E-2</v>
      </c>
      <c r="W4" s="742" t="str">
        <f t="shared" si="0"/>
        <v/>
      </c>
      <c r="X4" s="742" t="str">
        <f t="shared" si="4"/>
        <v/>
      </c>
      <c r="Y4" s="742" t="str">
        <f t="shared" si="5"/>
        <v/>
      </c>
      <c r="Z4" s="716">
        <f t="shared" si="6"/>
        <v>1</v>
      </c>
    </row>
    <row r="5" spans="1:26" x14ac:dyDescent="0.3">
      <c r="A5" s="290">
        <v>1983</v>
      </c>
      <c r="B5" s="726">
        <v>41653.456048787397</v>
      </c>
      <c r="C5" s="727">
        <v>39631.867863682135</v>
      </c>
      <c r="D5" s="728">
        <f t="shared" si="1"/>
        <v>2021.5881851052618</v>
      </c>
      <c r="E5" s="730">
        <f t="shared" si="2"/>
        <v>5.1009157379579513E-2</v>
      </c>
      <c r="H5" s="290">
        <v>1983</v>
      </c>
      <c r="I5" s="701">
        <v>2062.9200489604314</v>
      </c>
      <c r="J5" s="701">
        <v>32729.020007545303</v>
      </c>
      <c r="K5" s="701">
        <v>912.44540627096001</v>
      </c>
      <c r="L5" s="701">
        <v>3292.7377704560731</v>
      </c>
      <c r="M5" s="701">
        <v>634.74463044936351</v>
      </c>
      <c r="N5" s="701"/>
      <c r="O5" s="701"/>
      <c r="P5" s="701"/>
      <c r="Q5" s="481">
        <v>39631.867863682135</v>
      </c>
      <c r="R5" s="741">
        <f t="shared" si="3"/>
        <v>5.2052052052052052E-2</v>
      </c>
      <c r="S5" s="742">
        <f t="shared" si="3"/>
        <v>0.82582582582582575</v>
      </c>
      <c r="T5" s="742">
        <f t="shared" si="0"/>
        <v>2.3023023023023021E-2</v>
      </c>
      <c r="U5" s="742">
        <f t="shared" si="0"/>
        <v>8.3083083083083084E-2</v>
      </c>
      <c r="V5" s="742">
        <f t="shared" si="0"/>
        <v>1.6016016016016016E-2</v>
      </c>
      <c r="W5" s="742" t="str">
        <f t="shared" si="0"/>
        <v/>
      </c>
      <c r="X5" s="742" t="str">
        <f t="shared" si="4"/>
        <v/>
      </c>
      <c r="Y5" s="742" t="str">
        <f t="shared" si="5"/>
        <v/>
      </c>
      <c r="Z5" s="716">
        <f t="shared" si="6"/>
        <v>1</v>
      </c>
    </row>
    <row r="6" spans="1:26" x14ac:dyDescent="0.3">
      <c r="A6" s="290">
        <v>1984</v>
      </c>
      <c r="B6" s="726">
        <v>153095.088293737</v>
      </c>
      <c r="C6" s="727">
        <v>143626.50705324707</v>
      </c>
      <c r="D6" s="728">
        <f t="shared" si="1"/>
        <v>9468.5812404899334</v>
      </c>
      <c r="E6" s="730">
        <f t="shared" si="2"/>
        <v>6.5925026199931319E-2</v>
      </c>
      <c r="H6" s="290">
        <v>1984</v>
      </c>
      <c r="I6" s="701">
        <v>7476.0544211900378</v>
      </c>
      <c r="J6" s="701">
        <v>118610.47879772657</v>
      </c>
      <c r="K6" s="701">
        <v>3306.7163786032861</v>
      </c>
      <c r="L6" s="701">
        <v>11932.933018437947</v>
      </c>
      <c r="M6" s="701">
        <v>2300.3244372892427</v>
      </c>
      <c r="N6" s="701"/>
      <c r="O6" s="701"/>
      <c r="P6" s="701"/>
      <c r="Q6" s="481">
        <v>143626.50705324707</v>
      </c>
      <c r="R6" s="741">
        <f t="shared" si="3"/>
        <v>5.2052052052052052E-2</v>
      </c>
      <c r="S6" s="742">
        <f t="shared" si="3"/>
        <v>0.82582582582582587</v>
      </c>
      <c r="T6" s="742">
        <f t="shared" si="0"/>
        <v>2.3023023023023025E-2</v>
      </c>
      <c r="U6" s="742">
        <f t="shared" si="0"/>
        <v>8.3083083083083098E-2</v>
      </c>
      <c r="V6" s="742">
        <f t="shared" si="0"/>
        <v>1.6016016016016019E-2</v>
      </c>
      <c r="W6" s="742" t="str">
        <f t="shared" si="0"/>
        <v/>
      </c>
      <c r="X6" s="742" t="str">
        <f t="shared" si="4"/>
        <v/>
      </c>
      <c r="Y6" s="742" t="str">
        <f t="shared" si="5"/>
        <v/>
      </c>
      <c r="Z6" s="716">
        <f t="shared" si="6"/>
        <v>1.0000000000000002</v>
      </c>
    </row>
    <row r="7" spans="1:26" x14ac:dyDescent="0.3">
      <c r="A7" s="290">
        <v>1985</v>
      </c>
      <c r="B7" s="772">
        <v>128168.26522727001</v>
      </c>
      <c r="C7" s="727">
        <v>122462.11159465442</v>
      </c>
      <c r="D7" s="728">
        <f t="shared" si="1"/>
        <v>5706.1536326155911</v>
      </c>
      <c r="E7" s="730">
        <f t="shared" si="2"/>
        <v>4.6595257572421854E-2</v>
      </c>
      <c r="H7" s="290">
        <v>1985</v>
      </c>
      <c r="I7" s="525">
        <v>8449.8857000311546</v>
      </c>
      <c r="J7" s="525">
        <v>107766.65820329588</v>
      </c>
      <c r="K7" s="525">
        <v>1347.0832275411985</v>
      </c>
      <c r="L7" s="525">
        <v>734.77266956792653</v>
      </c>
      <c r="M7" s="525">
        <v>4163.7117942182504</v>
      </c>
      <c r="N7" s="525"/>
      <c r="O7" s="525"/>
      <c r="P7" s="525"/>
      <c r="Q7" s="481">
        <v>122462.11159465442</v>
      </c>
      <c r="R7" s="769">
        <f t="shared" si="3"/>
        <v>6.8999999999999992E-2</v>
      </c>
      <c r="S7" s="770">
        <f t="shared" si="3"/>
        <v>0.88</v>
      </c>
      <c r="T7" s="770">
        <f t="shared" si="0"/>
        <v>1.0999999999999999E-2</v>
      </c>
      <c r="U7" s="770">
        <f t="shared" si="0"/>
        <v>6.0000000000000001E-3</v>
      </c>
      <c r="V7" s="770">
        <f t="shared" si="0"/>
        <v>3.4000000000000002E-2</v>
      </c>
      <c r="W7" s="770" t="str">
        <f t="shared" si="0"/>
        <v/>
      </c>
      <c r="X7" s="770" t="str">
        <f t="shared" si="4"/>
        <v/>
      </c>
      <c r="Y7" s="770" t="str">
        <f t="shared" si="5"/>
        <v/>
      </c>
      <c r="Z7" s="771">
        <f t="shared" si="6"/>
        <v>1</v>
      </c>
    </row>
    <row r="8" spans="1:26" x14ac:dyDescent="0.3">
      <c r="A8" s="290">
        <v>1986</v>
      </c>
      <c r="B8" s="726">
        <v>53496.358075114003</v>
      </c>
      <c r="C8" s="727">
        <v>51804.298733385855</v>
      </c>
      <c r="D8" s="728">
        <f t="shared" si="1"/>
        <v>1692.0593417281489</v>
      </c>
      <c r="E8" s="730">
        <f t="shared" si="2"/>
        <v>3.2662527687836118E-2</v>
      </c>
      <c r="H8" s="290">
        <v>1986</v>
      </c>
      <c r="I8" s="701">
        <v>2696.520054190255</v>
      </c>
      <c r="J8" s="701">
        <v>42781.327782826156</v>
      </c>
      <c r="K8" s="701">
        <v>1192.6915624303051</v>
      </c>
      <c r="L8" s="701">
        <v>4304.0608557267533</v>
      </c>
      <c r="M8" s="701">
        <v>829.69847821238614</v>
      </c>
      <c r="N8" s="701"/>
      <c r="O8" s="701"/>
      <c r="P8" s="701"/>
      <c r="Q8" s="481">
        <v>51804.298733385855</v>
      </c>
      <c r="R8" s="741">
        <f t="shared" si="3"/>
        <v>5.2052052052052059E-2</v>
      </c>
      <c r="S8" s="742">
        <f t="shared" si="3"/>
        <v>0.82582582582582587</v>
      </c>
      <c r="T8" s="742">
        <f t="shared" si="0"/>
        <v>2.3023023023023025E-2</v>
      </c>
      <c r="U8" s="742">
        <f t="shared" si="0"/>
        <v>8.3083083083083098E-2</v>
      </c>
      <c r="V8" s="742">
        <f t="shared" si="0"/>
        <v>1.6016016016016016E-2</v>
      </c>
      <c r="W8" s="742" t="str">
        <f t="shared" si="0"/>
        <v/>
      </c>
      <c r="X8" s="742" t="str">
        <f t="shared" si="4"/>
        <v/>
      </c>
      <c r="Y8" s="742" t="str">
        <f t="shared" si="5"/>
        <v/>
      </c>
      <c r="Z8" s="716">
        <f t="shared" si="6"/>
        <v>1.0000000000000002</v>
      </c>
    </row>
    <row r="9" spans="1:26" x14ac:dyDescent="0.3">
      <c r="A9" s="290">
        <v>1987</v>
      </c>
      <c r="B9" s="726">
        <v>104646.678269935</v>
      </c>
      <c r="C9" s="727">
        <v>99373.304487167072</v>
      </c>
      <c r="D9" s="728">
        <f t="shared" si="1"/>
        <v>5273.3737827679288</v>
      </c>
      <c r="E9" s="730">
        <f t="shared" si="2"/>
        <v>5.3066301960894589E-2</v>
      </c>
      <c r="H9" s="290">
        <v>1987</v>
      </c>
      <c r="I9" s="701">
        <v>48891.6658076862</v>
      </c>
      <c r="J9" s="701">
        <v>45711.720064096859</v>
      </c>
      <c r="K9" s="701">
        <v>993.7330448716707</v>
      </c>
      <c r="L9" s="701">
        <v>2782.4525256406782</v>
      </c>
      <c r="M9" s="701">
        <v>993.7330448716707</v>
      </c>
      <c r="N9" s="701"/>
      <c r="O9" s="701"/>
      <c r="P9" s="701"/>
      <c r="Q9" s="481">
        <v>99373.304487167072</v>
      </c>
      <c r="R9" s="741">
        <f t="shared" si="3"/>
        <v>0.49199999999999999</v>
      </c>
      <c r="S9" s="742">
        <f t="shared" si="3"/>
        <v>0.46000000000000008</v>
      </c>
      <c r="T9" s="742">
        <f t="shared" si="0"/>
        <v>0.01</v>
      </c>
      <c r="U9" s="742">
        <f t="shared" si="0"/>
        <v>2.8000000000000001E-2</v>
      </c>
      <c r="V9" s="742">
        <f t="shared" si="0"/>
        <v>0.01</v>
      </c>
      <c r="W9" s="742" t="str">
        <f t="shared" si="0"/>
        <v/>
      </c>
      <c r="X9" s="742" t="str">
        <f t="shared" si="4"/>
        <v/>
      </c>
      <c r="Y9" s="742" t="str">
        <f t="shared" si="5"/>
        <v/>
      </c>
      <c r="Z9" s="716">
        <f t="shared" si="6"/>
        <v>1</v>
      </c>
    </row>
    <row r="10" spans="1:26" x14ac:dyDescent="0.3">
      <c r="A10" s="290">
        <v>1988</v>
      </c>
      <c r="B10" s="726">
        <v>84367.626698981403</v>
      </c>
      <c r="C10" s="727">
        <v>82406.806597104747</v>
      </c>
      <c r="D10" s="728">
        <f t="shared" si="1"/>
        <v>1960.8201018766558</v>
      </c>
      <c r="E10" s="730">
        <f t="shared" si="2"/>
        <v>2.3794394939526106E-2</v>
      </c>
      <c r="H10" s="290">
        <v>1988</v>
      </c>
      <c r="I10" s="701">
        <v>164.81361319420949</v>
      </c>
      <c r="J10" s="701">
        <v>79852.195592594493</v>
      </c>
      <c r="K10" s="701">
        <v>824.06806597104753</v>
      </c>
      <c r="L10" s="701">
        <v>1071.2884857623617</v>
      </c>
      <c r="M10" s="701">
        <v>494.44083958262848</v>
      </c>
      <c r="N10" s="701"/>
      <c r="O10" s="701"/>
      <c r="P10" s="701"/>
      <c r="Q10" s="481">
        <v>82406.806597104747</v>
      </c>
      <c r="R10" s="741">
        <f t="shared" si="3"/>
        <v>2E-3</v>
      </c>
      <c r="S10" s="742">
        <f t="shared" si="3"/>
        <v>0.96899999999999986</v>
      </c>
      <c r="T10" s="742">
        <f t="shared" si="0"/>
        <v>0.01</v>
      </c>
      <c r="U10" s="742">
        <f t="shared" si="0"/>
        <v>1.2999999999999999E-2</v>
      </c>
      <c r="V10" s="742">
        <f t="shared" si="0"/>
        <v>6.0000000000000001E-3</v>
      </c>
      <c r="W10" s="742" t="str">
        <f t="shared" si="0"/>
        <v/>
      </c>
      <c r="X10" s="742" t="str">
        <f t="shared" si="4"/>
        <v/>
      </c>
      <c r="Y10" s="742" t="str">
        <f t="shared" si="5"/>
        <v/>
      </c>
      <c r="Z10" s="716">
        <f t="shared" si="6"/>
        <v>0.99999999999999989</v>
      </c>
    </row>
    <row r="11" spans="1:26" x14ac:dyDescent="0.3">
      <c r="A11" s="290">
        <v>1989</v>
      </c>
      <c r="B11" s="726">
        <v>22968.456935236001</v>
      </c>
      <c r="C11" s="727">
        <v>24071.11515744618</v>
      </c>
      <c r="D11" s="728">
        <f t="shared" si="1"/>
        <v>-1102.6582222101788</v>
      </c>
      <c r="E11" s="730">
        <f t="shared" si="2"/>
        <v>-4.5808356405502113E-2</v>
      </c>
      <c r="H11" s="290">
        <v>1989</v>
      </c>
      <c r="I11" s="701">
        <v>722.85631103441995</v>
      </c>
      <c r="J11" s="701">
        <v>22432.640852434834</v>
      </c>
      <c r="K11" s="701">
        <v>144.571262206884</v>
      </c>
      <c r="L11" s="701">
        <v>650.57067993097792</v>
      </c>
      <c r="M11" s="701">
        <v>120.47605183907</v>
      </c>
      <c r="N11" s="701"/>
      <c r="O11" s="701"/>
      <c r="P11" s="701"/>
      <c r="Q11" s="481">
        <v>24071.11515744618</v>
      </c>
      <c r="R11" s="741">
        <f t="shared" si="3"/>
        <v>3.0030030030030037E-2</v>
      </c>
      <c r="S11" s="742">
        <f t="shared" si="3"/>
        <v>0.93193193193193213</v>
      </c>
      <c r="T11" s="742">
        <f t="shared" si="0"/>
        <v>6.0060060060060077E-3</v>
      </c>
      <c r="U11" s="742">
        <f t="shared" si="0"/>
        <v>2.7027027027027029E-2</v>
      </c>
      <c r="V11" s="742">
        <f t="shared" si="0"/>
        <v>5.0050050050050058E-3</v>
      </c>
      <c r="W11" s="742" t="str">
        <f t="shared" si="0"/>
        <v/>
      </c>
      <c r="X11" s="742" t="str">
        <f t="shared" si="4"/>
        <v/>
      </c>
      <c r="Y11" s="742" t="str">
        <f t="shared" si="5"/>
        <v/>
      </c>
      <c r="Z11" s="716">
        <f t="shared" si="6"/>
        <v>1.0000000000000002</v>
      </c>
    </row>
    <row r="12" spans="1:26" x14ac:dyDescent="0.3">
      <c r="A12" s="290">
        <v>1990</v>
      </c>
      <c r="B12" s="726">
        <v>10985.2633053598</v>
      </c>
      <c r="C12" s="727">
        <v>10628.613606811994</v>
      </c>
      <c r="D12" s="728">
        <f t="shared" si="1"/>
        <v>356.64969854780611</v>
      </c>
      <c r="E12" s="730">
        <f t="shared" si="2"/>
        <v>3.3555618045915739E-2</v>
      </c>
      <c r="H12" s="290">
        <v>1990</v>
      </c>
      <c r="I12" s="701">
        <v>4804.1333502790212</v>
      </c>
      <c r="J12" s="701">
        <v>2784.6967649847425</v>
      </c>
      <c r="K12" s="701">
        <v>201.94365852942789</v>
      </c>
      <c r="L12" s="701">
        <v>2402.0666751395106</v>
      </c>
      <c r="M12" s="701">
        <v>372.00147623841985</v>
      </c>
      <c r="N12" s="701"/>
      <c r="O12" s="701">
        <v>63.771681640871968</v>
      </c>
      <c r="P12" s="701"/>
      <c r="Q12" s="481">
        <v>10628.613606811994</v>
      </c>
      <c r="R12" s="741">
        <f t="shared" si="3"/>
        <v>0.45200000000000001</v>
      </c>
      <c r="S12" s="742">
        <f t="shared" si="3"/>
        <v>0.26200000000000001</v>
      </c>
      <c r="T12" s="742">
        <f t="shared" si="0"/>
        <v>1.9E-2</v>
      </c>
      <c r="U12" s="742">
        <f t="shared" si="0"/>
        <v>0.22600000000000001</v>
      </c>
      <c r="V12" s="742">
        <f t="shared" si="0"/>
        <v>3.5000000000000003E-2</v>
      </c>
      <c r="W12" s="742" t="str">
        <f t="shared" si="0"/>
        <v/>
      </c>
      <c r="X12" s="742">
        <f t="shared" si="4"/>
        <v>6.0000000000000001E-3</v>
      </c>
      <c r="Y12" s="742" t="str">
        <f t="shared" si="5"/>
        <v/>
      </c>
      <c r="Z12" s="716">
        <f t="shared" si="6"/>
        <v>1</v>
      </c>
    </row>
    <row r="13" spans="1:26" x14ac:dyDescent="0.3">
      <c r="A13" s="290">
        <v>1991</v>
      </c>
      <c r="B13" s="726">
        <v>43372.229207014898</v>
      </c>
      <c r="C13" s="727">
        <v>40611.658678258478</v>
      </c>
      <c r="D13" s="728">
        <f t="shared" si="1"/>
        <v>2760.5705287564197</v>
      </c>
      <c r="E13" s="730">
        <f t="shared" si="2"/>
        <v>6.7974828376913737E-2</v>
      </c>
      <c r="H13" s="290">
        <v>1991</v>
      </c>
      <c r="I13" s="701">
        <v>6254.1954364518051</v>
      </c>
      <c r="J13" s="701">
        <v>30864.860595476443</v>
      </c>
      <c r="K13" s="701">
        <v>2720.9811314433182</v>
      </c>
      <c r="L13" s="701">
        <v>609.17488017387711</v>
      </c>
      <c r="M13" s="701">
        <v>40.611658678258479</v>
      </c>
      <c r="N13" s="701"/>
      <c r="O13" s="701">
        <v>121.83497603477544</v>
      </c>
      <c r="P13" s="701"/>
      <c r="Q13" s="481">
        <v>40611.658678258478</v>
      </c>
      <c r="R13" s="741">
        <f t="shared" si="3"/>
        <v>0.154</v>
      </c>
      <c r="S13" s="742">
        <f t="shared" si="3"/>
        <v>0.76</v>
      </c>
      <c r="T13" s="742">
        <f t="shared" si="0"/>
        <v>6.7000000000000004E-2</v>
      </c>
      <c r="U13" s="742">
        <f t="shared" si="0"/>
        <v>1.4999999999999998E-2</v>
      </c>
      <c r="V13" s="742">
        <f t="shared" si="0"/>
        <v>1E-3</v>
      </c>
      <c r="W13" s="742" t="str">
        <f t="shared" si="0"/>
        <v/>
      </c>
      <c r="X13" s="742">
        <f t="shared" si="4"/>
        <v>3.0000000000000001E-3</v>
      </c>
      <c r="Y13" s="742" t="str">
        <f t="shared" si="5"/>
        <v/>
      </c>
      <c r="Z13" s="716">
        <f t="shared" si="6"/>
        <v>1</v>
      </c>
    </row>
    <row r="14" spans="1:26" x14ac:dyDescent="0.3">
      <c r="A14" s="290">
        <v>1992</v>
      </c>
      <c r="B14" s="726">
        <v>66842.645462195302</v>
      </c>
      <c r="C14" s="727">
        <v>61939.16181374951</v>
      </c>
      <c r="D14" s="728">
        <f t="shared" si="1"/>
        <v>4903.4836484457919</v>
      </c>
      <c r="E14" s="730">
        <f t="shared" si="2"/>
        <v>7.9166128582600484E-2</v>
      </c>
      <c r="H14" s="290">
        <v>1992</v>
      </c>
      <c r="I14" s="701">
        <v>10467.718346523669</v>
      </c>
      <c r="J14" s="701">
        <v>45401.405609478395</v>
      </c>
      <c r="K14" s="701">
        <v>4335.7413269624667</v>
      </c>
      <c r="L14" s="701">
        <v>867.14826539249327</v>
      </c>
      <c r="M14" s="701">
        <v>867.14826539249327</v>
      </c>
      <c r="N14" s="701"/>
      <c r="O14" s="701"/>
      <c r="P14" s="701"/>
      <c r="Q14" s="481">
        <v>61939.16181374951</v>
      </c>
      <c r="R14" s="741">
        <f t="shared" si="3"/>
        <v>0.16900000000000001</v>
      </c>
      <c r="S14" s="742">
        <f t="shared" si="3"/>
        <v>0.7330000000000001</v>
      </c>
      <c r="T14" s="742">
        <f t="shared" si="0"/>
        <v>7.0000000000000021E-2</v>
      </c>
      <c r="U14" s="742">
        <f t="shared" si="0"/>
        <v>1.4000000000000002E-2</v>
      </c>
      <c r="V14" s="742">
        <f t="shared" si="0"/>
        <v>1.4000000000000002E-2</v>
      </c>
      <c r="W14" s="742" t="str">
        <f t="shared" si="0"/>
        <v/>
      </c>
      <c r="X14" s="742" t="str">
        <f t="shared" si="4"/>
        <v/>
      </c>
      <c r="Y14" s="742" t="str">
        <f t="shared" si="5"/>
        <v/>
      </c>
      <c r="Z14" s="716">
        <f t="shared" si="6"/>
        <v>1.0000000000000002</v>
      </c>
    </row>
    <row r="15" spans="1:26" x14ac:dyDescent="0.3">
      <c r="A15" s="290">
        <v>1993</v>
      </c>
      <c r="B15" s="726">
        <v>43627.608373209303</v>
      </c>
      <c r="C15" s="727">
        <v>43643.856427217499</v>
      </c>
      <c r="D15" s="728">
        <f t="shared" si="1"/>
        <v>-16.24805400819605</v>
      </c>
      <c r="E15" s="730">
        <f t="shared" si="2"/>
        <v>-3.7228731231146018E-4</v>
      </c>
      <c r="H15" s="290">
        <v>1993</v>
      </c>
      <c r="I15" s="701">
        <v>0</v>
      </c>
      <c r="J15" s="701">
        <v>38673.427223718209</v>
      </c>
      <c r="K15" s="701">
        <v>87.200512342092921</v>
      </c>
      <c r="L15" s="701">
        <v>2310.8135770654621</v>
      </c>
      <c r="M15" s="701">
        <v>2485.2146017496484</v>
      </c>
      <c r="N15" s="701"/>
      <c r="O15" s="701">
        <v>87.200512342092921</v>
      </c>
      <c r="P15" s="701"/>
      <c r="Q15" s="481">
        <v>43643.856427217499</v>
      </c>
      <c r="R15" s="741" t="str">
        <f t="shared" si="3"/>
        <v/>
      </c>
      <c r="S15" s="742">
        <f t="shared" si="3"/>
        <v>0.8861138861138862</v>
      </c>
      <c r="T15" s="742">
        <f t="shared" si="0"/>
        <v>1.9980019980019984E-3</v>
      </c>
      <c r="U15" s="742">
        <f t="shared" si="0"/>
        <v>5.2947052947052951E-2</v>
      </c>
      <c r="V15" s="742">
        <f t="shared" si="0"/>
        <v>5.6943056943056958E-2</v>
      </c>
      <c r="W15" s="742" t="str">
        <f t="shared" si="0"/>
        <v/>
      </c>
      <c r="X15" s="742">
        <f t="shared" si="4"/>
        <v>1.9980019980019984E-3</v>
      </c>
      <c r="Y15" s="742" t="str">
        <f t="shared" si="5"/>
        <v/>
      </c>
      <c r="Z15" s="716">
        <f t="shared" si="6"/>
        <v>1</v>
      </c>
    </row>
    <row r="16" spans="1:26" x14ac:dyDescent="0.3">
      <c r="A16" s="290">
        <v>1994</v>
      </c>
      <c r="B16" s="726">
        <v>2381.2390636361401</v>
      </c>
      <c r="C16" s="727">
        <v>2324.2862752595647</v>
      </c>
      <c r="D16" s="728">
        <f t="shared" si="1"/>
        <v>56.952788376575427</v>
      </c>
      <c r="E16" s="730">
        <f t="shared" si="2"/>
        <v>2.4503344954878773E-2</v>
      </c>
      <c r="H16" s="290">
        <v>1994</v>
      </c>
      <c r="I16" s="701">
        <v>332.37293736211774</v>
      </c>
      <c r="J16" s="701">
        <v>292.86007068270516</v>
      </c>
      <c r="K16" s="701">
        <v>37.188580404153036</v>
      </c>
      <c r="L16" s="701">
        <v>1622.3518201311761</v>
      </c>
      <c r="M16" s="701">
        <v>39.512866679412603</v>
      </c>
      <c r="N16" s="701"/>
      <c r="O16" s="701"/>
      <c r="P16" s="701"/>
      <c r="Q16" s="481">
        <v>2324.2862752595647</v>
      </c>
      <c r="R16" s="741">
        <f t="shared" si="3"/>
        <v>0.14299999999999999</v>
      </c>
      <c r="S16" s="742">
        <f t="shared" si="3"/>
        <v>0.126</v>
      </c>
      <c r="T16" s="742">
        <f t="shared" si="0"/>
        <v>1.6E-2</v>
      </c>
      <c r="U16" s="742">
        <f t="shared" si="0"/>
        <v>0.69799999999999995</v>
      </c>
      <c r="V16" s="742">
        <f t="shared" si="0"/>
        <v>1.7000000000000001E-2</v>
      </c>
      <c r="W16" s="742" t="str">
        <f t="shared" si="0"/>
        <v/>
      </c>
      <c r="X16" s="742" t="str">
        <f t="shared" si="4"/>
        <v/>
      </c>
      <c r="Y16" s="742" t="str">
        <f t="shared" si="5"/>
        <v/>
      </c>
      <c r="Z16" s="716">
        <f t="shared" si="6"/>
        <v>1</v>
      </c>
    </row>
    <row r="17" spans="1:26" x14ac:dyDescent="0.3">
      <c r="A17" s="290">
        <v>1995</v>
      </c>
      <c r="B17" s="726">
        <v>5813.5004748459096</v>
      </c>
      <c r="C17" s="727">
        <v>6434.2195124672835</v>
      </c>
      <c r="D17" s="728">
        <f t="shared" si="1"/>
        <v>-620.7190376213739</v>
      </c>
      <c r="E17" s="730">
        <f t="shared" si="2"/>
        <v>-9.6471535734619543E-2</v>
      </c>
      <c r="H17" s="290">
        <v>1995</v>
      </c>
      <c r="I17" s="701">
        <v>2662.6579745981844</v>
      </c>
      <c r="J17" s="701">
        <v>3313.8164623328498</v>
      </c>
      <c r="K17" s="701">
        <v>373.93259691693635</v>
      </c>
      <c r="L17" s="701">
        <v>83.81247861931331</v>
      </c>
      <c r="M17" s="701">
        <v>0</v>
      </c>
      <c r="N17" s="701"/>
      <c r="O17" s="701"/>
      <c r="P17" s="701"/>
      <c r="Q17" s="481">
        <v>6434.2195124672835</v>
      </c>
      <c r="R17" s="741">
        <f t="shared" si="3"/>
        <v>0.41382765531062121</v>
      </c>
      <c r="S17" s="742">
        <f t="shared" si="3"/>
        <v>0.51503006012024055</v>
      </c>
      <c r="T17" s="742">
        <f t="shared" si="0"/>
        <v>5.8116232464929862E-2</v>
      </c>
      <c r="U17" s="742">
        <f t="shared" si="0"/>
        <v>1.3026052104208416E-2</v>
      </c>
      <c r="V17" s="742" t="str">
        <f t="shared" si="0"/>
        <v/>
      </c>
      <c r="W17" s="742" t="str">
        <f t="shared" si="0"/>
        <v/>
      </c>
      <c r="X17" s="742" t="str">
        <f t="shared" si="4"/>
        <v/>
      </c>
      <c r="Y17" s="742" t="str">
        <f t="shared" si="5"/>
        <v/>
      </c>
      <c r="Z17" s="716">
        <f t="shared" si="6"/>
        <v>0.99999999999999989</v>
      </c>
    </row>
    <row r="18" spans="1:26" x14ac:dyDescent="0.3">
      <c r="A18" s="290">
        <v>1996</v>
      </c>
      <c r="B18" s="726">
        <v>23262.300400812499</v>
      </c>
      <c r="C18" s="727">
        <v>23353.298996278289</v>
      </c>
      <c r="D18" s="728">
        <f t="shared" si="1"/>
        <v>-90.998595465789549</v>
      </c>
      <c r="E18" s="730">
        <f t="shared" si="2"/>
        <v>-3.8966055922245329E-3</v>
      </c>
      <c r="H18" s="290">
        <v>1996</v>
      </c>
      <c r="I18" s="701">
        <v>1774.8507237171495</v>
      </c>
      <c r="J18" s="701">
        <v>20060.483837803047</v>
      </c>
      <c r="K18" s="701">
        <v>0</v>
      </c>
      <c r="L18" s="701">
        <v>887.42536185857477</v>
      </c>
      <c r="M18" s="701">
        <v>630.53907289951371</v>
      </c>
      <c r="N18" s="701"/>
      <c r="O18" s="701"/>
      <c r="P18" s="701"/>
      <c r="Q18" s="481">
        <v>23353.298996278289</v>
      </c>
      <c r="R18" s="741">
        <f t="shared" si="3"/>
        <v>7.5999999999999984E-2</v>
      </c>
      <c r="S18" s="742">
        <f t="shared" si="3"/>
        <v>0.85899999999999987</v>
      </c>
      <c r="T18" s="742" t="str">
        <f t="shared" ref="T18:T44" si="7">IF(K18,K18/$Q18,"")</f>
        <v/>
      </c>
      <c r="U18" s="742">
        <f t="shared" ref="U18:U44" si="8">IF(L18,L18/$Q18,"")</f>
        <v>3.7999999999999992E-2</v>
      </c>
      <c r="V18" s="742">
        <f t="shared" ref="V18:V44" si="9">IF(M18,M18/$Q18,"")</f>
        <v>2.6999999999999996E-2</v>
      </c>
      <c r="W18" s="742" t="str">
        <f t="shared" ref="W18:W44" si="10">IF(N18,N18/$Q18,"")</f>
        <v/>
      </c>
      <c r="X18" s="742" t="str">
        <f t="shared" si="4"/>
        <v/>
      </c>
      <c r="Y18" s="742" t="str">
        <f t="shared" si="5"/>
        <v/>
      </c>
      <c r="Z18" s="716">
        <f t="shared" si="6"/>
        <v>0.99999999999999989</v>
      </c>
    </row>
    <row r="19" spans="1:26" x14ac:dyDescent="0.3">
      <c r="A19" s="290">
        <v>1997</v>
      </c>
      <c r="B19" s="726">
        <v>35741.953678547397</v>
      </c>
      <c r="C19" s="727">
        <v>35841.569404908347</v>
      </c>
      <c r="D19" s="728">
        <f t="shared" si="1"/>
        <v>-99.615726360949338</v>
      </c>
      <c r="E19" s="730">
        <f t="shared" si="2"/>
        <v>-2.7793349458438447E-3</v>
      </c>
      <c r="H19" s="290">
        <v>1997</v>
      </c>
      <c r="I19" s="701">
        <v>0</v>
      </c>
      <c r="J19" s="701">
        <v>34300.38192049729</v>
      </c>
      <c r="K19" s="701">
        <v>322.57412464417507</v>
      </c>
      <c r="L19" s="701">
        <v>1218.6133597668838</v>
      </c>
      <c r="M19" s="701">
        <v>0</v>
      </c>
      <c r="N19" s="701"/>
      <c r="O19" s="701"/>
      <c r="P19" s="701"/>
      <c r="Q19" s="481">
        <v>35841.569404908347</v>
      </c>
      <c r="R19" s="741" t="str">
        <f t="shared" si="3"/>
        <v/>
      </c>
      <c r="S19" s="742">
        <f t="shared" si="3"/>
        <v>0.95700000000000007</v>
      </c>
      <c r="T19" s="742">
        <f t="shared" si="7"/>
        <v>8.9999999999999993E-3</v>
      </c>
      <c r="U19" s="742">
        <f t="shared" si="8"/>
        <v>3.4000000000000002E-2</v>
      </c>
      <c r="V19" s="742" t="str">
        <f t="shared" si="9"/>
        <v/>
      </c>
      <c r="W19" s="742" t="str">
        <f t="shared" si="10"/>
        <v/>
      </c>
      <c r="X19" s="742" t="str">
        <f t="shared" si="4"/>
        <v/>
      </c>
      <c r="Y19" s="742" t="str">
        <f t="shared" si="5"/>
        <v/>
      </c>
      <c r="Z19" s="716">
        <f t="shared" si="6"/>
        <v>1</v>
      </c>
    </row>
    <row r="20" spans="1:26" x14ac:dyDescent="0.3">
      <c r="A20" s="290">
        <v>1998</v>
      </c>
      <c r="B20" s="726">
        <v>7458.1311189655298</v>
      </c>
      <c r="C20" s="727">
        <v>6548.2230325454384</v>
      </c>
      <c r="D20" s="728">
        <f t="shared" si="1"/>
        <v>909.90808642009142</v>
      </c>
      <c r="E20" s="730">
        <f t="shared" si="2"/>
        <v>0.13895496257499801</v>
      </c>
      <c r="H20" s="290">
        <v>1998</v>
      </c>
      <c r="I20" s="701">
        <v>347.05582072490824</v>
      </c>
      <c r="J20" s="701">
        <v>5166.5479726783515</v>
      </c>
      <c r="K20" s="701">
        <v>0</v>
      </c>
      <c r="L20" s="701">
        <v>1034.6192391421794</v>
      </c>
      <c r="M20" s="701">
        <v>0</v>
      </c>
      <c r="N20" s="701"/>
      <c r="O20" s="701"/>
      <c r="P20" s="701"/>
      <c r="Q20" s="481">
        <v>6548.2230325454384</v>
      </c>
      <c r="R20" s="741">
        <f t="shared" si="3"/>
        <v>5.2999999999999999E-2</v>
      </c>
      <c r="S20" s="742">
        <f t="shared" si="3"/>
        <v>0.78900000000000003</v>
      </c>
      <c r="T20" s="742" t="str">
        <f t="shared" si="7"/>
        <v/>
      </c>
      <c r="U20" s="742">
        <f t="shared" si="8"/>
        <v>0.158</v>
      </c>
      <c r="V20" s="742" t="str">
        <f t="shared" si="9"/>
        <v/>
      </c>
      <c r="W20" s="742" t="str">
        <f t="shared" si="10"/>
        <v/>
      </c>
      <c r="X20" s="742" t="str">
        <f t="shared" si="4"/>
        <v/>
      </c>
      <c r="Y20" s="742" t="str">
        <f t="shared" si="5"/>
        <v/>
      </c>
      <c r="Z20" s="716">
        <f t="shared" si="6"/>
        <v>1</v>
      </c>
    </row>
    <row r="21" spans="1:26" x14ac:dyDescent="0.3">
      <c r="A21" s="290">
        <v>1999</v>
      </c>
      <c r="B21" s="726">
        <v>13563.8008833161</v>
      </c>
      <c r="C21" s="727">
        <v>14263.477575094448</v>
      </c>
      <c r="D21" s="728">
        <f t="shared" si="1"/>
        <v>-699.67669177834796</v>
      </c>
      <c r="E21" s="730">
        <f t="shared" si="2"/>
        <v>-4.9053723967011943E-2</v>
      </c>
      <c r="H21" s="290">
        <v>1999</v>
      </c>
      <c r="I21" s="701">
        <v>1624.412031529238</v>
      </c>
      <c r="J21" s="701">
        <v>12097.594866388798</v>
      </c>
      <c r="K21" s="701">
        <v>541.47067717641266</v>
      </c>
      <c r="L21" s="701">
        <v>0</v>
      </c>
      <c r="M21" s="701">
        <v>0</v>
      </c>
      <c r="N21" s="701"/>
      <c r="O21" s="701"/>
      <c r="P21" s="701"/>
      <c r="Q21" s="481">
        <v>14263.477575094448</v>
      </c>
      <c r="R21" s="741">
        <f t="shared" si="3"/>
        <v>0.1138861138861139</v>
      </c>
      <c r="S21" s="742">
        <f t="shared" si="3"/>
        <v>0.84815184815184819</v>
      </c>
      <c r="T21" s="742">
        <f t="shared" si="7"/>
        <v>3.7962037962037967E-2</v>
      </c>
      <c r="U21" s="742" t="str">
        <f t="shared" si="8"/>
        <v/>
      </c>
      <c r="V21" s="742" t="str">
        <f t="shared" si="9"/>
        <v/>
      </c>
      <c r="W21" s="742" t="str">
        <f t="shared" si="10"/>
        <v/>
      </c>
      <c r="X21" s="742" t="str">
        <f t="shared" si="4"/>
        <v/>
      </c>
      <c r="Y21" s="742" t="str">
        <f t="shared" si="5"/>
        <v/>
      </c>
      <c r="Z21" s="716">
        <f t="shared" si="6"/>
        <v>1</v>
      </c>
    </row>
    <row r="22" spans="1:26" x14ac:dyDescent="0.3">
      <c r="A22" s="290">
        <v>2000</v>
      </c>
      <c r="B22" s="726">
        <v>82525.269172676402</v>
      </c>
      <c r="C22" s="727">
        <v>77438.414717812862</v>
      </c>
      <c r="D22" s="728">
        <f t="shared" si="1"/>
        <v>5086.85445486354</v>
      </c>
      <c r="E22" s="730">
        <f t="shared" si="2"/>
        <v>6.5689031385781069E-2</v>
      </c>
      <c r="H22" s="290">
        <v>2000</v>
      </c>
      <c r="I22" s="701">
        <v>10066.993913315671</v>
      </c>
      <c r="J22" s="701">
        <v>65048.268362962786</v>
      </c>
      <c r="K22" s="701">
        <v>774.3841471781285</v>
      </c>
      <c r="L22" s="701">
        <v>774.3841471781285</v>
      </c>
      <c r="M22" s="701">
        <v>774.3841471781285</v>
      </c>
      <c r="N22" s="701"/>
      <c r="O22" s="701"/>
      <c r="P22" s="701"/>
      <c r="Q22" s="481">
        <v>77438.414717812862</v>
      </c>
      <c r="R22" s="741">
        <f t="shared" si="3"/>
        <v>0.12999999999999998</v>
      </c>
      <c r="S22" s="742">
        <f t="shared" si="3"/>
        <v>0.83999999999999975</v>
      </c>
      <c r="T22" s="742">
        <f t="shared" si="7"/>
        <v>9.9999999999999985E-3</v>
      </c>
      <c r="U22" s="742">
        <f t="shared" si="8"/>
        <v>9.9999999999999985E-3</v>
      </c>
      <c r="V22" s="742">
        <f t="shared" si="9"/>
        <v>9.9999999999999985E-3</v>
      </c>
      <c r="W22" s="742" t="str">
        <f t="shared" si="10"/>
        <v/>
      </c>
      <c r="X22" s="742" t="str">
        <f t="shared" si="4"/>
        <v/>
      </c>
      <c r="Y22" s="742" t="str">
        <f t="shared" si="5"/>
        <v/>
      </c>
      <c r="Z22" s="716">
        <f t="shared" si="6"/>
        <v>0.99999999999999978</v>
      </c>
    </row>
    <row r="23" spans="1:26" x14ac:dyDescent="0.3">
      <c r="A23" s="290">
        <v>2001</v>
      </c>
      <c r="B23" s="726">
        <v>94944.804023604302</v>
      </c>
      <c r="C23" s="727">
        <v>92984.268861313278</v>
      </c>
      <c r="D23" s="728">
        <f t="shared" si="1"/>
        <v>1960.5351622910239</v>
      </c>
      <c r="E23" s="730">
        <f t="shared" si="2"/>
        <v>2.10845897515759E-2</v>
      </c>
      <c r="H23" s="290">
        <v>2001</v>
      </c>
      <c r="I23" s="701">
        <v>3068.5422432682035</v>
      </c>
      <c r="J23" s="701">
        <v>87778.905383187375</v>
      </c>
      <c r="K23" s="701">
        <v>45.56320300610362</v>
      </c>
      <c r="L23" s="701">
        <v>2045.6948288454687</v>
      </c>
      <c r="M23" s="701">
        <v>45.56320300610362</v>
      </c>
      <c r="N23" s="701"/>
      <c r="O23" s="701"/>
      <c r="P23" s="701"/>
      <c r="Q23" s="481">
        <v>92984.268861313278</v>
      </c>
      <c r="R23" s="741">
        <f t="shared" si="3"/>
        <v>3.3000660013200261E-2</v>
      </c>
      <c r="S23" s="742">
        <f t="shared" si="3"/>
        <v>0.94401888037760728</v>
      </c>
      <c r="T23" s="742">
        <f t="shared" si="7"/>
        <v>4.9000980019600388E-4</v>
      </c>
      <c r="U23" s="742">
        <f t="shared" si="8"/>
        <v>2.2000440008800172E-2</v>
      </c>
      <c r="V23" s="742">
        <f t="shared" si="9"/>
        <v>4.9000980019600388E-4</v>
      </c>
      <c r="W23" s="742" t="str">
        <f t="shared" si="10"/>
        <v/>
      </c>
      <c r="X23" s="742" t="str">
        <f t="shared" si="4"/>
        <v/>
      </c>
      <c r="Y23" s="742" t="str">
        <f t="shared" si="5"/>
        <v/>
      </c>
      <c r="Z23" s="716">
        <f t="shared" si="6"/>
        <v>0.99999999999999967</v>
      </c>
    </row>
    <row r="24" spans="1:26" x14ac:dyDescent="0.3">
      <c r="A24" s="290">
        <v>2002</v>
      </c>
      <c r="B24" s="726">
        <v>13274.930190167001</v>
      </c>
      <c r="C24" s="729">
        <v>13083.795990567603</v>
      </c>
      <c r="D24" s="728">
        <f t="shared" si="1"/>
        <v>191.13419959939711</v>
      </c>
      <c r="E24" s="730">
        <f t="shared" si="2"/>
        <v>1.4608466819353494E-2</v>
      </c>
      <c r="H24" s="290">
        <v>2002</v>
      </c>
      <c r="I24" s="701">
        <v>261.67591981135206</v>
      </c>
      <c r="J24" s="701">
        <v>6502.6466073120991</v>
      </c>
      <c r="K24" s="701">
        <v>170.08934787737883</v>
      </c>
      <c r="L24" s="701">
        <v>1936.4018066040053</v>
      </c>
      <c r="M24" s="701">
        <v>2891.5189139154404</v>
      </c>
      <c r="N24" s="701"/>
      <c r="O24" s="701">
        <v>1321.463395047328</v>
      </c>
      <c r="P24" s="701"/>
      <c r="Q24" s="481">
        <v>13083.795990567603</v>
      </c>
      <c r="R24" s="741">
        <f t="shared" si="3"/>
        <v>0.02</v>
      </c>
      <c r="S24" s="742">
        <f t="shared" si="3"/>
        <v>0.497</v>
      </c>
      <c r="T24" s="742">
        <f t="shared" si="7"/>
        <v>1.2999999999999999E-2</v>
      </c>
      <c r="U24" s="742">
        <f t="shared" si="8"/>
        <v>0.14799999999999999</v>
      </c>
      <c r="V24" s="742">
        <f t="shared" si="9"/>
        <v>0.221</v>
      </c>
      <c r="W24" s="742" t="str">
        <f t="shared" si="10"/>
        <v/>
      </c>
      <c r="X24" s="742">
        <f t="shared" si="4"/>
        <v>0.10100000000000001</v>
      </c>
      <c r="Y24" s="742" t="str">
        <f t="shared" si="5"/>
        <v/>
      </c>
      <c r="Z24" s="716">
        <f t="shared" si="6"/>
        <v>1</v>
      </c>
    </row>
    <row r="25" spans="1:26" x14ac:dyDescent="0.3">
      <c r="A25" s="290">
        <v>2003</v>
      </c>
      <c r="B25" s="726">
        <v>39428.562635224902</v>
      </c>
      <c r="C25" s="729">
        <v>35428.057045333961</v>
      </c>
      <c r="D25" s="728">
        <f t="shared" si="1"/>
        <v>4000.5055898909413</v>
      </c>
      <c r="E25" s="730">
        <f t="shared" si="2"/>
        <v>0.11291913594843403</v>
      </c>
      <c r="H25" s="290">
        <v>2003</v>
      </c>
      <c r="I25" s="701">
        <v>10196.801442463664</v>
      </c>
      <c r="J25" s="701">
        <v>18235.155864259836</v>
      </c>
      <c r="K25" s="701">
        <v>1972.374001644431</v>
      </c>
      <c r="L25" s="701">
        <v>707.07747228762616</v>
      </c>
      <c r="M25" s="701">
        <v>297.71683043689524</v>
      </c>
      <c r="N25" s="701"/>
      <c r="O25" s="701">
        <v>334.93143424150713</v>
      </c>
      <c r="P25" s="701">
        <v>3684</v>
      </c>
      <c r="Q25" s="481">
        <v>35428.057045333961</v>
      </c>
      <c r="R25" s="741">
        <f t="shared" si="3"/>
        <v>0.28781712272326349</v>
      </c>
      <c r="S25" s="742">
        <f t="shared" si="3"/>
        <v>0.51470945304525217</v>
      </c>
      <c r="T25" s="742">
        <f t="shared" si="7"/>
        <v>5.5672655125302783E-2</v>
      </c>
      <c r="U25" s="742">
        <f t="shared" si="8"/>
        <v>1.9958121648693448E-2</v>
      </c>
      <c r="V25" s="742">
        <f t="shared" si="9"/>
        <v>8.4034196415551359E-3</v>
      </c>
      <c r="W25" s="742" t="str">
        <f t="shared" si="10"/>
        <v/>
      </c>
      <c r="X25" s="742">
        <f t="shared" si="4"/>
        <v>9.4538470967495281E-3</v>
      </c>
      <c r="Y25" s="742">
        <f t="shared" si="5"/>
        <v>0.10398538071918341</v>
      </c>
      <c r="Z25" s="716">
        <f t="shared" si="6"/>
        <v>1</v>
      </c>
    </row>
    <row r="26" spans="1:26" x14ac:dyDescent="0.3">
      <c r="A26" s="290">
        <v>2004</v>
      </c>
      <c r="B26" s="726">
        <v>108644.49511900199</v>
      </c>
      <c r="C26" s="727">
        <v>104692.22761449308</v>
      </c>
      <c r="D26" s="728">
        <f t="shared" si="1"/>
        <v>3952.2675045089127</v>
      </c>
      <c r="E26" s="730">
        <f t="shared" si="2"/>
        <v>3.7751298205844844E-2</v>
      </c>
      <c r="H26" s="290">
        <v>2004</v>
      </c>
      <c r="I26" s="701">
        <v>3242.2035158181948</v>
      </c>
      <c r="J26" s="701">
        <v>97684.454315296578</v>
      </c>
      <c r="K26" s="701">
        <v>313.76163056305109</v>
      </c>
      <c r="L26" s="701">
        <v>0</v>
      </c>
      <c r="M26" s="701">
        <v>1568.8081528152554</v>
      </c>
      <c r="N26" s="701"/>
      <c r="O26" s="701">
        <v>0</v>
      </c>
      <c r="P26" s="701">
        <v>1883</v>
      </c>
      <c r="Q26" s="481">
        <v>104692.22761449308</v>
      </c>
      <c r="R26" s="741">
        <f t="shared" si="3"/>
        <v>3.0968903706557104E-2</v>
      </c>
      <c r="S26" s="742">
        <f t="shared" si="3"/>
        <v>0.93306309877175275</v>
      </c>
      <c r="T26" s="742">
        <f t="shared" si="7"/>
        <v>2.9969906812797194E-3</v>
      </c>
      <c r="U26" s="742" t="str">
        <f t="shared" si="8"/>
        <v/>
      </c>
      <c r="V26" s="742">
        <f t="shared" si="9"/>
        <v>1.4984953406398598E-2</v>
      </c>
      <c r="W26" s="742" t="str">
        <f t="shared" si="10"/>
        <v/>
      </c>
      <c r="X26" s="742" t="str">
        <f t="shared" si="4"/>
        <v/>
      </c>
      <c r="Y26" s="742">
        <f t="shared" si="5"/>
        <v>1.7986053434011818E-2</v>
      </c>
      <c r="Z26" s="716">
        <f t="shared" si="6"/>
        <v>1</v>
      </c>
    </row>
    <row r="27" spans="1:26" x14ac:dyDescent="0.3">
      <c r="A27" s="290">
        <v>2005</v>
      </c>
      <c r="B27" s="726">
        <v>67327.710818620806</v>
      </c>
      <c r="C27" s="727">
        <v>68612.905328998226</v>
      </c>
      <c r="D27" s="728">
        <f t="shared" si="1"/>
        <v>-1285.1945103774196</v>
      </c>
      <c r="E27" s="730">
        <f t="shared" si="2"/>
        <v>-1.8731090080137611E-2</v>
      </c>
      <c r="H27" s="290">
        <v>2005</v>
      </c>
      <c r="I27" s="701">
        <v>1028.1654145204527</v>
      </c>
      <c r="J27" s="701">
        <v>61073.025622514899</v>
      </c>
      <c r="K27" s="701">
        <v>1576.5203022646942</v>
      </c>
      <c r="L27" s="701">
        <v>2673.2300777531773</v>
      </c>
      <c r="M27" s="701">
        <v>1302.3428583925736</v>
      </c>
      <c r="N27" s="701"/>
      <c r="O27" s="701">
        <v>959.62105355242261</v>
      </c>
      <c r="P27" s="701"/>
      <c r="Q27" s="481">
        <v>68612.905328998226</v>
      </c>
      <c r="R27" s="741">
        <f t="shared" si="3"/>
        <v>1.4985014985014982E-2</v>
      </c>
      <c r="S27" s="742">
        <f t="shared" si="3"/>
        <v>0.89010989010989006</v>
      </c>
      <c r="T27" s="742">
        <f t="shared" si="7"/>
        <v>2.2977022977022973E-2</v>
      </c>
      <c r="U27" s="742">
        <f t="shared" si="8"/>
        <v>3.8961038961038953E-2</v>
      </c>
      <c r="V27" s="742">
        <f t="shared" si="9"/>
        <v>1.898101898101898E-2</v>
      </c>
      <c r="W27" s="742" t="str">
        <f t="shared" si="10"/>
        <v/>
      </c>
      <c r="X27" s="742">
        <f t="shared" si="4"/>
        <v>1.3986013986013984E-2</v>
      </c>
      <c r="Y27" s="742" t="str">
        <f t="shared" si="5"/>
        <v/>
      </c>
      <c r="Z27" s="716">
        <f t="shared" si="6"/>
        <v>1</v>
      </c>
    </row>
    <row r="28" spans="1:26" x14ac:dyDescent="0.3">
      <c r="A28" s="290">
        <v>2006</v>
      </c>
      <c r="B28" s="726">
        <v>27193.3139634578</v>
      </c>
      <c r="C28" s="727">
        <v>26454.776046145224</v>
      </c>
      <c r="D28" s="728">
        <f t="shared" si="1"/>
        <v>738.53791731257661</v>
      </c>
      <c r="E28" s="730">
        <f t="shared" si="2"/>
        <v>2.7916997521519007E-2</v>
      </c>
      <c r="H28" s="290">
        <v>2006</v>
      </c>
      <c r="I28" s="701">
        <v>62.987562014631493</v>
      </c>
      <c r="J28" s="701">
        <v>23368.38550742828</v>
      </c>
      <c r="K28" s="701">
        <v>0</v>
      </c>
      <c r="L28" s="701">
        <v>2897.4278526730482</v>
      </c>
      <c r="M28" s="701">
        <v>125.97512402926299</v>
      </c>
      <c r="N28" s="701"/>
      <c r="O28" s="701">
        <v>0</v>
      </c>
      <c r="P28" s="701"/>
      <c r="Q28" s="481">
        <v>26454.776046145224</v>
      </c>
      <c r="R28" s="741">
        <f t="shared" si="3"/>
        <v>2.3809523809523812E-3</v>
      </c>
      <c r="S28" s="742">
        <f t="shared" si="3"/>
        <v>0.8833333333333333</v>
      </c>
      <c r="T28" s="742" t="str">
        <f t="shared" si="7"/>
        <v/>
      </c>
      <c r="U28" s="742">
        <f t="shared" si="8"/>
        <v>0.10952380952380952</v>
      </c>
      <c r="V28" s="742">
        <f t="shared" si="9"/>
        <v>4.7619047619047623E-3</v>
      </c>
      <c r="W28" s="742" t="str">
        <f t="shared" si="10"/>
        <v/>
      </c>
      <c r="X28" s="742" t="str">
        <f t="shared" si="4"/>
        <v/>
      </c>
      <c r="Y28" s="742" t="str">
        <f t="shared" si="5"/>
        <v/>
      </c>
      <c r="Z28" s="716">
        <f t="shared" si="6"/>
        <v>1</v>
      </c>
    </row>
    <row r="29" spans="1:26" x14ac:dyDescent="0.3">
      <c r="A29" s="290">
        <v>2007</v>
      </c>
      <c r="B29" s="726">
        <v>25153.9551731229</v>
      </c>
      <c r="C29" s="727">
        <v>26745.682484121891</v>
      </c>
      <c r="D29" s="728">
        <f t="shared" si="1"/>
        <v>-1591.727310998991</v>
      </c>
      <c r="E29" s="730">
        <f t="shared" si="2"/>
        <v>-5.9513430324462713E-2</v>
      </c>
      <c r="H29" s="290">
        <v>2007</v>
      </c>
      <c r="I29" s="701">
        <v>7572.1542617384075</v>
      </c>
      <c r="J29" s="701">
        <v>13685.453115251983</v>
      </c>
      <c r="K29" s="701">
        <v>1736.7326288390834</v>
      </c>
      <c r="L29" s="701">
        <v>3473.4652576781682</v>
      </c>
      <c r="M29" s="701">
        <v>277.87722061425347</v>
      </c>
      <c r="N29" s="701"/>
      <c r="O29" s="701">
        <v>0</v>
      </c>
      <c r="P29" s="701"/>
      <c r="Q29" s="481">
        <v>26745.682484121891</v>
      </c>
      <c r="R29" s="741">
        <f t="shared" si="3"/>
        <v>0.28311688311688321</v>
      </c>
      <c r="S29" s="742">
        <f t="shared" si="3"/>
        <v>0.51168831168831175</v>
      </c>
      <c r="T29" s="742">
        <f t="shared" si="7"/>
        <v>6.4935064935064915E-2</v>
      </c>
      <c r="U29" s="742">
        <f t="shared" si="8"/>
        <v>0.12987012987012989</v>
      </c>
      <c r="V29" s="742">
        <f t="shared" si="9"/>
        <v>1.0389610389610391E-2</v>
      </c>
      <c r="W29" s="742" t="str">
        <f t="shared" si="10"/>
        <v/>
      </c>
      <c r="X29" s="742" t="str">
        <f t="shared" si="4"/>
        <v/>
      </c>
      <c r="Y29" s="742" t="str">
        <f t="shared" si="5"/>
        <v/>
      </c>
      <c r="Z29" s="716">
        <f t="shared" si="6"/>
        <v>1.0000000000000002</v>
      </c>
    </row>
    <row r="30" spans="1:26" x14ac:dyDescent="0.3">
      <c r="A30" s="290">
        <v>2008</v>
      </c>
      <c r="B30" s="726">
        <v>208524.576406887</v>
      </c>
      <c r="C30" s="727">
        <v>201815.24535141748</v>
      </c>
      <c r="D30" s="728">
        <f t="shared" si="1"/>
        <v>6709.3310554695199</v>
      </c>
      <c r="E30" s="730">
        <f t="shared" si="2"/>
        <v>3.3244916873285145E-2</v>
      </c>
      <c r="H30" s="290">
        <v>2008</v>
      </c>
      <c r="I30" s="701">
        <v>9360.6329012716815</v>
      </c>
      <c r="J30" s="701">
        <v>189833.63523778971</v>
      </c>
      <c r="K30" s="701">
        <v>0</v>
      </c>
      <c r="L30" s="701">
        <v>1872.1265802543367</v>
      </c>
      <c r="M30" s="701">
        <v>748.85063210173462</v>
      </c>
      <c r="N30" s="701"/>
      <c r="O30" s="701"/>
      <c r="P30" s="701"/>
      <c r="Q30" s="481">
        <v>201815.24535141748</v>
      </c>
      <c r="R30" s="741">
        <f t="shared" si="3"/>
        <v>4.6382189239332086E-2</v>
      </c>
      <c r="S30" s="742">
        <f t="shared" si="3"/>
        <v>0.94063079777365488</v>
      </c>
      <c r="T30" s="742" t="str">
        <f t="shared" si="7"/>
        <v/>
      </c>
      <c r="U30" s="742">
        <f t="shared" si="8"/>
        <v>9.2764378478664197E-3</v>
      </c>
      <c r="V30" s="742">
        <f t="shared" si="9"/>
        <v>3.7105751391465678E-3</v>
      </c>
      <c r="W30" s="742" t="str">
        <f t="shared" si="10"/>
        <v/>
      </c>
      <c r="X30" s="742" t="str">
        <f t="shared" si="4"/>
        <v/>
      </c>
      <c r="Y30" s="742" t="str">
        <f t="shared" si="5"/>
        <v/>
      </c>
      <c r="Z30" s="716">
        <f t="shared" si="6"/>
        <v>1</v>
      </c>
    </row>
    <row r="31" spans="1:26" x14ac:dyDescent="0.3">
      <c r="A31" s="290">
        <v>2009</v>
      </c>
      <c r="B31" s="726">
        <v>170806.89787505899</v>
      </c>
      <c r="C31" s="727">
        <v>166153.32351273371</v>
      </c>
      <c r="D31" s="728">
        <f t="shared" si="1"/>
        <v>4653.5743623252783</v>
      </c>
      <c r="E31" s="730">
        <f t="shared" si="2"/>
        <v>2.8007711575920635E-2</v>
      </c>
      <c r="H31" s="290">
        <v>2009</v>
      </c>
      <c r="I31" s="701">
        <v>5811.9475302808078</v>
      </c>
      <c r="J31" s="701">
        <v>145982.44678999443</v>
      </c>
      <c r="K31" s="701">
        <v>0</v>
      </c>
      <c r="L31" s="701">
        <v>8888.8609286647643</v>
      </c>
      <c r="M31" s="701">
        <v>5470.0682637937016</v>
      </c>
      <c r="N31" s="701"/>
      <c r="O31" s="701">
        <v>0</v>
      </c>
      <c r="P31" s="701"/>
      <c r="Q31" s="481">
        <v>166153.32351273371</v>
      </c>
      <c r="R31" s="741">
        <f t="shared" si="3"/>
        <v>3.4979423868312751E-2</v>
      </c>
      <c r="S31" s="742">
        <f t="shared" si="3"/>
        <v>0.87860082304526743</v>
      </c>
      <c r="T31" s="742" t="str">
        <f t="shared" si="7"/>
        <v/>
      </c>
      <c r="U31" s="742">
        <f t="shared" si="8"/>
        <v>5.3497942386831261E-2</v>
      </c>
      <c r="V31" s="742">
        <f t="shared" si="9"/>
        <v>3.2921810699588473E-2</v>
      </c>
      <c r="W31" s="742" t="str">
        <f t="shared" si="10"/>
        <v/>
      </c>
      <c r="X31" s="742" t="str">
        <f t="shared" si="4"/>
        <v/>
      </c>
      <c r="Y31" s="742" t="str">
        <f t="shared" si="5"/>
        <v/>
      </c>
      <c r="Z31" s="716">
        <f t="shared" si="6"/>
        <v>0.99999999999999989</v>
      </c>
    </row>
    <row r="32" spans="1:26" x14ac:dyDescent="0.3">
      <c r="A32" s="290">
        <v>2010</v>
      </c>
      <c r="B32" s="726">
        <v>381399.44723612902</v>
      </c>
      <c r="C32" s="727">
        <v>370657.18455286621</v>
      </c>
      <c r="D32" s="728">
        <f t="shared" si="1"/>
        <v>10742.262683262816</v>
      </c>
      <c r="E32" s="730">
        <f t="shared" si="2"/>
        <v>2.8981665892221939E-2</v>
      </c>
      <c r="H32" s="290">
        <v>2010</v>
      </c>
      <c r="I32" s="701">
        <v>3269.175745795676</v>
      </c>
      <c r="J32" s="701">
        <v>331427.7294384673</v>
      </c>
      <c r="K32" s="701">
        <v>6302.317002744905</v>
      </c>
      <c r="L32" s="701">
        <v>27433.615188418993</v>
      </c>
      <c r="M32" s="701">
        <v>2224.3471774393779</v>
      </c>
      <c r="N32" s="701"/>
      <c r="O32" s="701"/>
      <c r="P32" s="701"/>
      <c r="Q32" s="481">
        <v>370657.18455286621</v>
      </c>
      <c r="R32" s="741">
        <f t="shared" si="3"/>
        <v>8.8199443637909554E-3</v>
      </c>
      <c r="S32" s="742">
        <f t="shared" si="3"/>
        <v>0.89416243162338138</v>
      </c>
      <c r="T32" s="742">
        <f t="shared" si="7"/>
        <v>1.7003088744516205E-2</v>
      </c>
      <c r="U32" s="742">
        <f t="shared" si="8"/>
        <v>7.4013445123188165E-2</v>
      </c>
      <c r="V32" s="742">
        <f t="shared" si="9"/>
        <v>6.0010901451233653E-3</v>
      </c>
      <c r="W32" s="742" t="str">
        <f t="shared" si="10"/>
        <v/>
      </c>
      <c r="X32" s="742" t="str">
        <f t="shared" si="4"/>
        <v/>
      </c>
      <c r="Y32" s="742" t="str">
        <f t="shared" si="5"/>
        <v/>
      </c>
      <c r="Z32" s="716">
        <f t="shared" si="6"/>
        <v>1</v>
      </c>
    </row>
    <row r="33" spans="1:26" x14ac:dyDescent="0.3">
      <c r="A33" s="290">
        <v>2011</v>
      </c>
      <c r="B33" s="726">
        <v>163634.920806952</v>
      </c>
      <c r="C33" s="727">
        <v>152248.04419374981</v>
      </c>
      <c r="D33" s="728">
        <f t="shared" si="1"/>
        <v>11386.876613202185</v>
      </c>
      <c r="E33" s="730">
        <f t="shared" si="2"/>
        <v>7.4791611764229451E-2</v>
      </c>
      <c r="H33" s="290">
        <v>2011</v>
      </c>
      <c r="I33" s="701">
        <v>27709.144043262459</v>
      </c>
      <c r="J33" s="701">
        <v>101092.70134464986</v>
      </c>
      <c r="K33" s="701">
        <v>6546.6659003312398</v>
      </c>
      <c r="L33" s="701">
        <v>10809.611137756234</v>
      </c>
      <c r="M33" s="701">
        <v>6089.921767749991</v>
      </c>
      <c r="N33" s="701"/>
      <c r="O33" s="701">
        <v>0</v>
      </c>
      <c r="P33" s="701"/>
      <c r="Q33" s="481">
        <v>152248.04419374981</v>
      </c>
      <c r="R33" s="741">
        <f t="shared" si="3"/>
        <v>0.18199999999999997</v>
      </c>
      <c r="S33" s="742">
        <f t="shared" si="3"/>
        <v>0.66399999999999992</v>
      </c>
      <c r="T33" s="742">
        <f t="shared" si="7"/>
        <v>4.2999999999999983E-2</v>
      </c>
      <c r="U33" s="742">
        <f t="shared" si="8"/>
        <v>7.099999999999998E-2</v>
      </c>
      <c r="V33" s="742">
        <f t="shared" si="9"/>
        <v>3.9999999999999994E-2</v>
      </c>
      <c r="W33" s="742" t="str">
        <f t="shared" si="10"/>
        <v/>
      </c>
      <c r="X33" s="742" t="str">
        <f t="shared" si="4"/>
        <v/>
      </c>
      <c r="Y33" s="742" t="str">
        <f t="shared" si="5"/>
        <v/>
      </c>
      <c r="Z33" s="716">
        <f t="shared" si="6"/>
        <v>0.99999999999999978</v>
      </c>
    </row>
    <row r="34" spans="1:26" x14ac:dyDescent="0.3">
      <c r="A34" s="290">
        <v>2012</v>
      </c>
      <c r="B34" s="726">
        <v>451229.26341367897</v>
      </c>
      <c r="C34" s="727">
        <v>431531.57140277157</v>
      </c>
      <c r="D34" s="728">
        <f t="shared" si="1"/>
        <v>19697.692010907398</v>
      </c>
      <c r="E34" s="730">
        <f t="shared" si="2"/>
        <v>4.5646004409078296E-2</v>
      </c>
      <c r="H34" s="290">
        <v>2012</v>
      </c>
      <c r="I34" s="701">
        <v>1294.5947142083148</v>
      </c>
      <c r="J34" s="701">
        <v>419017.15583209117</v>
      </c>
      <c r="K34" s="701">
        <v>3020.7209998194012</v>
      </c>
      <c r="L34" s="701">
        <v>3020.7209998194012</v>
      </c>
      <c r="M34" s="701">
        <v>5178.3788568332593</v>
      </c>
      <c r="N34" s="701"/>
      <c r="O34" s="701"/>
      <c r="P34" s="701"/>
      <c r="Q34" s="481">
        <v>431531.57140277157</v>
      </c>
      <c r="R34" s="741">
        <f t="shared" si="3"/>
        <v>3.0000000000000001E-3</v>
      </c>
      <c r="S34" s="742">
        <f t="shared" si="3"/>
        <v>0.97099999999999997</v>
      </c>
      <c r="T34" s="742">
        <f t="shared" si="7"/>
        <v>7.0000000000000001E-3</v>
      </c>
      <c r="U34" s="742">
        <f t="shared" si="8"/>
        <v>7.0000000000000001E-3</v>
      </c>
      <c r="V34" s="742">
        <f t="shared" si="9"/>
        <v>1.2E-2</v>
      </c>
      <c r="W34" s="742" t="str">
        <f t="shared" si="10"/>
        <v/>
      </c>
      <c r="X34" s="742" t="str">
        <f t="shared" si="4"/>
        <v/>
      </c>
      <c r="Y34" s="742" t="str">
        <f t="shared" si="5"/>
        <v/>
      </c>
      <c r="Z34" s="716">
        <f t="shared" si="6"/>
        <v>1</v>
      </c>
    </row>
    <row r="35" spans="1:26" x14ac:dyDescent="0.3">
      <c r="A35" s="290">
        <v>2013</v>
      </c>
      <c r="B35" s="726">
        <v>174608.16333858701</v>
      </c>
      <c r="C35" s="727">
        <v>165847.31788638109</v>
      </c>
      <c r="D35" s="728">
        <f t="shared" si="1"/>
        <v>8760.8454522059183</v>
      </c>
      <c r="E35" s="730">
        <f t="shared" si="2"/>
        <v>5.2824764149685018E-2</v>
      </c>
      <c r="H35" s="290">
        <v>2013</v>
      </c>
      <c r="I35" s="701">
        <v>38974.119703299555</v>
      </c>
      <c r="J35" s="701">
        <v>105147.19953996562</v>
      </c>
      <c r="K35" s="701">
        <v>0</v>
      </c>
      <c r="L35" s="701">
        <v>13433.632748796868</v>
      </c>
      <c r="M35" s="701">
        <v>8292.3658943190549</v>
      </c>
      <c r="N35" s="701"/>
      <c r="O35" s="701"/>
      <c r="P35" s="701"/>
      <c r="Q35" s="481">
        <v>165847.31788638109</v>
      </c>
      <c r="R35" s="741">
        <f t="shared" si="3"/>
        <v>0.23499999999999999</v>
      </c>
      <c r="S35" s="742">
        <f t="shared" si="3"/>
        <v>0.63400000000000001</v>
      </c>
      <c r="T35" s="742" t="str">
        <f t="shared" si="7"/>
        <v/>
      </c>
      <c r="U35" s="742">
        <f t="shared" si="8"/>
        <v>8.1000000000000003E-2</v>
      </c>
      <c r="V35" s="742">
        <f t="shared" si="9"/>
        <v>0.05</v>
      </c>
      <c r="W35" s="742" t="str">
        <f t="shared" si="10"/>
        <v/>
      </c>
      <c r="X35" s="742" t="str">
        <f t="shared" si="4"/>
        <v/>
      </c>
      <c r="Y35" s="742" t="str">
        <f t="shared" si="5"/>
        <v/>
      </c>
      <c r="Z35" s="716">
        <f t="shared" si="6"/>
        <v>1</v>
      </c>
    </row>
    <row r="36" spans="1:26" x14ac:dyDescent="0.3">
      <c r="A36" s="290">
        <v>2014</v>
      </c>
      <c r="B36" s="726">
        <v>576697.85857740499</v>
      </c>
      <c r="C36" s="727">
        <v>593212.76664599567</v>
      </c>
      <c r="D36" s="728">
        <f t="shared" si="1"/>
        <v>-16514.908068590681</v>
      </c>
      <c r="E36" s="730">
        <f t="shared" si="2"/>
        <v>-2.7839771827510382E-2</v>
      </c>
      <c r="H36" s="290">
        <v>2014</v>
      </c>
      <c r="I36" s="701">
        <v>48752.338950510741</v>
      </c>
      <c r="J36" s="701">
        <v>524295.22666972619</v>
      </c>
      <c r="K36" s="701">
        <v>0</v>
      </c>
      <c r="L36" s="701">
        <v>17792.82443449297</v>
      </c>
      <c r="M36" s="701">
        <v>2372.3765912657295</v>
      </c>
      <c r="N36" s="701"/>
      <c r="O36" s="701"/>
      <c r="P36" s="701"/>
      <c r="Q36" s="481">
        <v>593212.76664599567</v>
      </c>
      <c r="R36" s="741">
        <f t="shared" si="3"/>
        <v>8.2183563287342526E-2</v>
      </c>
      <c r="S36" s="742">
        <f t="shared" si="3"/>
        <v>0.88382323535292939</v>
      </c>
      <c r="T36" s="742" t="str">
        <f t="shared" si="7"/>
        <v/>
      </c>
      <c r="U36" s="742">
        <f t="shared" si="8"/>
        <v>2.9994001199760045E-2</v>
      </c>
      <c r="V36" s="742">
        <f t="shared" si="9"/>
        <v>3.9992001599680064E-3</v>
      </c>
      <c r="W36" s="742" t="str">
        <f t="shared" si="10"/>
        <v/>
      </c>
      <c r="X36" s="742" t="str">
        <f t="shared" si="4"/>
        <v/>
      </c>
      <c r="Y36" s="742" t="str">
        <f t="shared" si="5"/>
        <v/>
      </c>
      <c r="Z36" s="716">
        <f t="shared" si="6"/>
        <v>1</v>
      </c>
    </row>
    <row r="37" spans="1:26" x14ac:dyDescent="0.3">
      <c r="A37" s="290">
        <v>2015</v>
      </c>
      <c r="B37" s="726">
        <v>428461.71994690498</v>
      </c>
      <c r="C37" s="727">
        <v>314719.56654690194</v>
      </c>
      <c r="D37" s="728">
        <f t="shared" si="1"/>
        <v>113742.15340000304</v>
      </c>
      <c r="E37" s="730">
        <f t="shared" si="2"/>
        <v>0.36140795009341214</v>
      </c>
      <c r="H37" s="290">
        <v>2015</v>
      </c>
      <c r="I37" s="701">
        <v>315.03460114805</v>
      </c>
      <c r="J37" s="701">
        <v>307158.73611934873</v>
      </c>
      <c r="K37" s="701">
        <v>0</v>
      </c>
      <c r="L37" s="701">
        <v>315.03460114805</v>
      </c>
      <c r="M37" s="701">
        <v>6930.7612252570989</v>
      </c>
      <c r="N37" s="701"/>
      <c r="O37" s="701"/>
      <c r="P37" s="701"/>
      <c r="Q37" s="481">
        <v>314719.56654690194</v>
      </c>
      <c r="R37" s="741">
        <f t="shared" si="3"/>
        <v>1.001001001001001E-3</v>
      </c>
      <c r="S37" s="742">
        <f t="shared" si="3"/>
        <v>0.97597597597597596</v>
      </c>
      <c r="T37" s="742" t="str">
        <f t="shared" si="7"/>
        <v/>
      </c>
      <c r="U37" s="742">
        <f t="shared" si="8"/>
        <v>1.001001001001001E-3</v>
      </c>
      <c r="V37" s="742">
        <f t="shared" si="9"/>
        <v>2.2022022022022018E-2</v>
      </c>
      <c r="W37" s="742" t="str">
        <f t="shared" si="10"/>
        <v/>
      </c>
      <c r="X37" s="742" t="str">
        <f t="shared" si="4"/>
        <v/>
      </c>
      <c r="Y37" s="742" t="str">
        <f t="shared" si="5"/>
        <v/>
      </c>
      <c r="Z37" s="716">
        <f t="shared" si="6"/>
        <v>0.99999999999999989</v>
      </c>
    </row>
    <row r="38" spans="1:26" x14ac:dyDescent="0.3">
      <c r="A38" s="290">
        <v>2016</v>
      </c>
      <c r="B38" s="726">
        <v>280624.42529934098</v>
      </c>
      <c r="C38" s="727">
        <v>276403.91273155314</v>
      </c>
      <c r="D38" s="728">
        <f t="shared" si="1"/>
        <v>4220.5125677878386</v>
      </c>
      <c r="E38" s="730">
        <f t="shared" si="2"/>
        <v>1.5269366218729517E-2</v>
      </c>
      <c r="H38" s="290">
        <v>2016</v>
      </c>
      <c r="I38" s="701">
        <v>2764.0391273155315</v>
      </c>
      <c r="J38" s="701">
        <v>264518.54448409635</v>
      </c>
      <c r="K38" s="701">
        <v>829.21173819465946</v>
      </c>
      <c r="L38" s="701">
        <v>6910.0978182888284</v>
      </c>
      <c r="M38" s="701">
        <v>1382.0195636577657</v>
      </c>
      <c r="N38" s="701"/>
      <c r="O38" s="701"/>
      <c r="P38" s="701"/>
      <c r="Q38" s="481">
        <v>276403.91273155314</v>
      </c>
      <c r="R38" s="741">
        <f t="shared" si="3"/>
        <v>0.01</v>
      </c>
      <c r="S38" s="742">
        <f t="shared" si="3"/>
        <v>0.95699999999999996</v>
      </c>
      <c r="T38" s="742">
        <f t="shared" si="7"/>
        <v>3.0000000000000001E-3</v>
      </c>
      <c r="U38" s="742">
        <f t="shared" si="8"/>
        <v>2.5000000000000001E-2</v>
      </c>
      <c r="V38" s="742">
        <f t="shared" si="9"/>
        <v>5.0000000000000001E-3</v>
      </c>
      <c r="W38" s="742" t="str">
        <f t="shared" si="10"/>
        <v/>
      </c>
      <c r="X38" s="742" t="str">
        <f t="shared" si="4"/>
        <v/>
      </c>
      <c r="Y38" s="742" t="str">
        <f t="shared" si="5"/>
        <v/>
      </c>
      <c r="Z38" s="716">
        <f t="shared" si="6"/>
        <v>1</v>
      </c>
    </row>
    <row r="39" spans="1:26" x14ac:dyDescent="0.3">
      <c r="A39" s="290">
        <v>2017</v>
      </c>
      <c r="B39" s="726">
        <v>58547.209548548097</v>
      </c>
      <c r="C39" s="727">
        <v>55256.548993682518</v>
      </c>
      <c r="D39" s="728">
        <f t="shared" si="1"/>
        <v>3290.6605548655789</v>
      </c>
      <c r="E39" s="730">
        <f t="shared" si="2"/>
        <v>5.9552408081832979E-2</v>
      </c>
      <c r="H39" s="290">
        <v>2017</v>
      </c>
      <c r="I39" s="701">
        <v>2099.7488617599356</v>
      </c>
      <c r="J39" s="701">
        <v>41939.72068620503</v>
      </c>
      <c r="K39" s="701">
        <v>828.84823490523775</v>
      </c>
      <c r="L39" s="701">
        <v>10001.435367856535</v>
      </c>
      <c r="M39" s="701">
        <v>386.79584295577763</v>
      </c>
      <c r="N39" s="701"/>
      <c r="O39" s="701">
        <v>0</v>
      </c>
      <c r="P39" s="701"/>
      <c r="Q39" s="481">
        <v>55256.548993682518</v>
      </c>
      <c r="R39" s="741">
        <f t="shared" si="3"/>
        <v>3.7999999999999999E-2</v>
      </c>
      <c r="S39" s="742">
        <f t="shared" si="3"/>
        <v>0.75900000000000001</v>
      </c>
      <c r="T39" s="742">
        <f t="shared" si="7"/>
        <v>1.4999999999999999E-2</v>
      </c>
      <c r="U39" s="742">
        <f t="shared" si="8"/>
        <v>0.18099999999999999</v>
      </c>
      <c r="V39" s="742">
        <f t="shared" si="9"/>
        <v>7.0000000000000001E-3</v>
      </c>
      <c r="W39" s="742" t="str">
        <f t="shared" si="10"/>
        <v/>
      </c>
      <c r="X39" s="742" t="str">
        <f t="shared" si="4"/>
        <v/>
      </c>
      <c r="Y39" s="742" t="str">
        <f t="shared" si="5"/>
        <v/>
      </c>
      <c r="Z39" s="716">
        <f t="shared" si="6"/>
        <v>1</v>
      </c>
    </row>
    <row r="40" spans="1:26" x14ac:dyDescent="0.3">
      <c r="A40" s="290">
        <v>2018</v>
      </c>
      <c r="B40" s="726">
        <v>204662.62781762399</v>
      </c>
      <c r="C40" s="727">
        <v>204616.460601876</v>
      </c>
      <c r="D40" s="728">
        <f t="shared" si="1"/>
        <v>46.167215747991577</v>
      </c>
      <c r="E40" s="730">
        <f t="shared" si="2"/>
        <v>2.2562806341284305E-4</v>
      </c>
      <c r="H40" s="290">
        <v>2018</v>
      </c>
      <c r="I40" s="701">
        <v>532.10921940875926</v>
      </c>
      <c r="J40" s="701">
        <v>198722.32770996355</v>
      </c>
      <c r="K40" s="701">
        <v>532.10921940875926</v>
      </c>
      <c r="L40" s="701">
        <v>4297.8052336861329</v>
      </c>
      <c r="M40" s="701">
        <v>532.10921940875926</v>
      </c>
      <c r="N40" s="701"/>
      <c r="O40" s="701"/>
      <c r="P40" s="701"/>
      <c r="Q40" s="481">
        <v>204616.460601876</v>
      </c>
      <c r="R40" s="741">
        <f t="shared" si="3"/>
        <v>2.600520104020804E-3</v>
      </c>
      <c r="S40" s="742">
        <f t="shared" si="3"/>
        <v>0.97119423884776934</v>
      </c>
      <c r="T40" s="742">
        <f t="shared" si="7"/>
        <v>2.600520104020804E-3</v>
      </c>
      <c r="U40" s="742">
        <f t="shared" si="8"/>
        <v>2.1004200840168033E-2</v>
      </c>
      <c r="V40" s="742">
        <f t="shared" si="9"/>
        <v>2.600520104020804E-3</v>
      </c>
      <c r="W40" s="742" t="str">
        <f t="shared" si="10"/>
        <v/>
      </c>
      <c r="X40" s="742" t="str">
        <f t="shared" si="4"/>
        <v/>
      </c>
      <c r="Y40" s="742" t="str">
        <f t="shared" si="5"/>
        <v/>
      </c>
      <c r="Z40" s="716">
        <f t="shared" si="6"/>
        <v>0.99999999999999978</v>
      </c>
    </row>
    <row r="41" spans="1:26" x14ac:dyDescent="0.3">
      <c r="A41" s="290">
        <v>2019</v>
      </c>
      <c r="B41" s="726">
        <v>63497.579184169801</v>
      </c>
      <c r="C41" s="727">
        <v>60959.021714014452</v>
      </c>
      <c r="D41" s="728">
        <f t="shared" si="1"/>
        <v>2538.5574701553487</v>
      </c>
      <c r="E41" s="730">
        <f t="shared" si="2"/>
        <v>4.1643671416920644E-2</v>
      </c>
      <c r="H41" s="290">
        <v>2019</v>
      </c>
      <c r="I41" s="701">
        <v>11277.419017092674</v>
      </c>
      <c r="J41" s="701">
        <v>33039.789768995834</v>
      </c>
      <c r="K41" s="701">
        <v>121.91804342802891</v>
      </c>
      <c r="L41" s="701">
        <v>16276.058797641859</v>
      </c>
      <c r="M41" s="701">
        <v>243.83608685605782</v>
      </c>
      <c r="N41" s="701"/>
      <c r="O41" s="701">
        <v>0</v>
      </c>
      <c r="P41" s="701"/>
      <c r="Q41" s="481">
        <v>60959.021714014452</v>
      </c>
      <c r="R41" s="741">
        <f t="shared" si="3"/>
        <v>0.185</v>
      </c>
      <c r="S41" s="742">
        <f t="shared" si="3"/>
        <v>0.54200000000000004</v>
      </c>
      <c r="T41" s="742">
        <f t="shared" si="7"/>
        <v>2E-3</v>
      </c>
      <c r="U41" s="742">
        <f t="shared" si="8"/>
        <v>0.26700000000000002</v>
      </c>
      <c r="V41" s="742">
        <f t="shared" si="9"/>
        <v>4.0000000000000001E-3</v>
      </c>
      <c r="W41" s="742" t="str">
        <f t="shared" si="10"/>
        <v/>
      </c>
      <c r="X41" s="742" t="str">
        <f t="shared" si="4"/>
        <v/>
      </c>
      <c r="Y41" s="742" t="str">
        <f t="shared" si="5"/>
        <v/>
      </c>
      <c r="Z41" s="716">
        <f t="shared" si="6"/>
        <v>1</v>
      </c>
    </row>
    <row r="42" spans="1:26" x14ac:dyDescent="0.3">
      <c r="A42" s="290">
        <v>2020</v>
      </c>
      <c r="B42" s="726">
        <v>316265.14811664901</v>
      </c>
      <c r="C42" s="727">
        <v>297055.82899379538</v>
      </c>
      <c r="D42" s="728">
        <f t="shared" si="1"/>
        <v>19209.319122853631</v>
      </c>
      <c r="E42" s="730">
        <f t="shared" si="2"/>
        <v>6.4665686540878675E-2</v>
      </c>
      <c r="H42" s="290">
        <v>2020</v>
      </c>
      <c r="I42" s="701">
        <v>2673.5024609441584</v>
      </c>
      <c r="J42" s="701">
        <v>292897.04738788225</v>
      </c>
      <c r="K42" s="701">
        <v>297.05582899379539</v>
      </c>
      <c r="L42" s="701">
        <v>594.11165798759077</v>
      </c>
      <c r="M42" s="701">
        <v>594.11165798759077</v>
      </c>
      <c r="N42" s="701"/>
      <c r="O42" s="701">
        <v>0</v>
      </c>
      <c r="P42" s="701"/>
      <c r="Q42" s="481">
        <v>297055.82899379538</v>
      </c>
      <c r="R42" s="741">
        <f t="shared" si="3"/>
        <v>8.9999999999999993E-3</v>
      </c>
      <c r="S42" s="742">
        <f t="shared" si="3"/>
        <v>0.98599999999999999</v>
      </c>
      <c r="T42" s="742">
        <f t="shared" si="7"/>
        <v>1E-3</v>
      </c>
      <c r="U42" s="742">
        <f t="shared" si="8"/>
        <v>2E-3</v>
      </c>
      <c r="V42" s="742">
        <f t="shared" si="9"/>
        <v>2E-3</v>
      </c>
      <c r="W42" s="742" t="str">
        <f t="shared" si="10"/>
        <v/>
      </c>
      <c r="X42" s="742" t="str">
        <f t="shared" si="4"/>
        <v/>
      </c>
      <c r="Y42" s="742" t="str">
        <f t="shared" si="5"/>
        <v/>
      </c>
      <c r="Z42" s="716">
        <f t="shared" si="6"/>
        <v>1</v>
      </c>
    </row>
    <row r="43" spans="1:26" x14ac:dyDescent="0.3">
      <c r="A43" s="290">
        <v>2021</v>
      </c>
      <c r="B43" s="726">
        <v>125870.69912390799</v>
      </c>
      <c r="C43" s="727">
        <v>110834.91467090861</v>
      </c>
      <c r="D43" s="728">
        <f t="shared" si="1"/>
        <v>15035.784452999389</v>
      </c>
      <c r="E43" s="730">
        <f t="shared" si="2"/>
        <v>0.13565927756288432</v>
      </c>
      <c r="H43" s="290">
        <v>2021</v>
      </c>
      <c r="I43" s="701">
        <v>28041.233411739879</v>
      </c>
      <c r="J43" s="701">
        <v>66279.278973203342</v>
      </c>
      <c r="K43" s="701">
        <v>3325.0474401272581</v>
      </c>
      <c r="L43" s="701">
        <v>12635.180272483582</v>
      </c>
      <c r="M43" s="701">
        <v>554.17457335454299</v>
      </c>
      <c r="N43" s="701"/>
      <c r="O43" s="701">
        <v>0</v>
      </c>
      <c r="P43" s="701"/>
      <c r="Q43" s="481">
        <v>110834.91467090861</v>
      </c>
      <c r="R43" s="741">
        <f t="shared" si="3"/>
        <v>0.253</v>
      </c>
      <c r="S43" s="742">
        <f t="shared" si="3"/>
        <v>0.59799999999999998</v>
      </c>
      <c r="T43" s="742">
        <f t="shared" si="7"/>
        <v>0.03</v>
      </c>
      <c r="U43" s="742">
        <f t="shared" si="8"/>
        <v>0.114</v>
      </c>
      <c r="V43" s="742">
        <f t="shared" si="9"/>
        <v>4.9999999999999992E-3</v>
      </c>
      <c r="W43" s="742" t="str">
        <f t="shared" si="10"/>
        <v/>
      </c>
      <c r="X43" s="742" t="str">
        <f t="shared" si="4"/>
        <v/>
      </c>
      <c r="Y43" s="742" t="str">
        <f t="shared" si="5"/>
        <v/>
      </c>
      <c r="Z43" s="716">
        <f t="shared" si="6"/>
        <v>1</v>
      </c>
    </row>
    <row r="44" spans="1:26" ht="15" thickBot="1" x14ac:dyDescent="0.35">
      <c r="A44" s="292">
        <v>2022</v>
      </c>
      <c r="B44" s="719">
        <v>537299</v>
      </c>
      <c r="C44" s="731">
        <v>537299</v>
      </c>
      <c r="D44" s="732">
        <f t="shared" si="1"/>
        <v>0</v>
      </c>
      <c r="E44" s="293"/>
      <c r="H44" s="292">
        <v>2022</v>
      </c>
      <c r="I44" s="718">
        <v>10745.98</v>
      </c>
      <c r="J44" s="718">
        <v>507747.55499999999</v>
      </c>
      <c r="K44" s="718">
        <v>4298.3919999999998</v>
      </c>
      <c r="L44" s="718">
        <v>12357.877</v>
      </c>
      <c r="M44" s="718">
        <v>2149.1959999999999</v>
      </c>
      <c r="N44" s="718"/>
      <c r="O44" s="718"/>
      <c r="P44" s="718"/>
      <c r="Q44" s="719">
        <v>537299</v>
      </c>
      <c r="R44" s="743">
        <f t="shared" si="3"/>
        <v>0.02</v>
      </c>
      <c r="S44" s="744">
        <f t="shared" si="3"/>
        <v>0.94499999999999995</v>
      </c>
      <c r="T44" s="744">
        <f t="shared" si="7"/>
        <v>8.0000000000000002E-3</v>
      </c>
      <c r="U44" s="744">
        <f t="shared" si="8"/>
        <v>2.3E-2</v>
      </c>
      <c r="V44" s="744">
        <f t="shared" si="9"/>
        <v>4.0000000000000001E-3</v>
      </c>
      <c r="W44" s="744" t="str">
        <f t="shared" si="10"/>
        <v/>
      </c>
      <c r="X44" s="744" t="str">
        <f t="shared" si="4"/>
        <v/>
      </c>
      <c r="Y44" s="744" t="str">
        <f t="shared" si="5"/>
        <v/>
      </c>
      <c r="Z44" s="717">
        <f t="shared" si="6"/>
        <v>1</v>
      </c>
    </row>
  </sheetData>
  <autoFilter ref="A1:E44" xr:uid="{576EBFD0-76FD-48E5-AF87-D5EA4B27BF0F}"/>
  <conditionalFormatting sqref="C2:C44">
    <cfRule type="dataBar" priority="3">
      <dataBar>
        <cfvo type="min"/>
        <cfvo type="max"/>
        <color rgb="FF008AEF"/>
      </dataBar>
      <extLst>
        <ext xmlns:x14="http://schemas.microsoft.com/office/spreadsheetml/2009/9/main" uri="{B025F937-C7B1-47D3-B67F-A62EFF666E3E}">
          <x14:id>{4635F225-3516-49A6-92AB-6AE447BCE159}</x14:id>
        </ext>
      </extLst>
    </cfRule>
  </conditionalFormatting>
  <conditionalFormatting sqref="D2:D43">
    <cfRule type="colorScale" priority="2">
      <colorScale>
        <cfvo type="min"/>
        <cfvo type="percentile" val="50"/>
        <cfvo type="max"/>
        <color rgb="FFF8696B"/>
        <color rgb="FFFFEB84"/>
        <color rgb="FF63BE7B"/>
      </colorScale>
    </cfRule>
  </conditionalFormatting>
  <conditionalFormatting sqref="E2:E43">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dataBar" id="{4635F225-3516-49A6-92AB-6AE447BCE159}">
            <x14:dataBar minLength="0" maxLength="100" border="1" negativeBarBorderColorSameAsPositive="0">
              <x14:cfvo type="autoMin"/>
              <x14:cfvo type="autoMax"/>
              <x14:borderColor rgb="FF008AEF"/>
              <x14:negativeFillColor rgb="FFFF0000"/>
              <x14:negativeBorderColor rgb="FFFF0000"/>
              <x14:axisColor rgb="FF000000"/>
            </x14:dataBar>
          </x14:cfRule>
          <xm:sqref>C2:C44</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0AACC3-1EF7-4439-A1F6-BDB06D082DEA}">
  <sheetPr codeName="Sheet10" filterMode="1"/>
  <dimension ref="A1:Y65"/>
  <sheetViews>
    <sheetView workbookViewId="0">
      <pane xSplit="2" ySplit="1" topLeftCell="F40" activePane="bottomRight" state="frozen"/>
      <selection pane="topRight" activeCell="K10" sqref="K10:K13"/>
      <selection pane="bottomLeft" activeCell="K10" sqref="K10:K13"/>
      <selection pane="bottomRight" activeCell="D40" sqref="D40"/>
    </sheetView>
  </sheetViews>
  <sheetFormatPr defaultRowHeight="14.4" x14ac:dyDescent="0.3"/>
  <cols>
    <col min="1" max="1" width="18.6640625" customWidth="1"/>
    <col min="2" max="2" width="11.44140625" customWidth="1"/>
    <col min="3" max="3" width="17.6640625" customWidth="1"/>
    <col min="4" max="4" width="13.6640625" customWidth="1"/>
    <col min="5" max="6" width="13.33203125" customWidth="1"/>
    <col min="8" max="8" width="11.5546875" customWidth="1"/>
    <col min="9" max="9" width="11.33203125" bestFit="1" customWidth="1"/>
    <col min="10" max="10" width="5.5546875" bestFit="1" customWidth="1"/>
    <col min="11" max="11" width="8.6640625" bestFit="1" customWidth="1"/>
    <col min="15" max="15" width="5.5546875" bestFit="1" customWidth="1"/>
    <col min="16" max="16" width="6.44140625" bestFit="1" customWidth="1"/>
    <col min="19" max="19" width="8.33203125" bestFit="1" customWidth="1"/>
    <col min="20" max="20" width="5.5546875" bestFit="1" customWidth="1"/>
    <col min="21" max="21" width="6.44140625" customWidth="1"/>
    <col min="23" max="23" width="7.33203125" customWidth="1"/>
    <col min="24" max="24" width="5" bestFit="1" customWidth="1"/>
  </cols>
  <sheetData>
    <row r="1" spans="1:24" ht="40.200000000000003" customHeight="1" thickBot="1" x14ac:dyDescent="0.35">
      <c r="A1" s="985" t="str">
        <f>'Smolt to Adult Survival'!A2</f>
        <v>Conservation Unit Name</v>
      </c>
      <c r="B1" s="985" t="str">
        <f>'Smolt to Adult Survival'!B2</f>
        <v>Smolt Migration Year</v>
      </c>
      <c r="C1" s="985" t="str">
        <f>'Smolt to Adult Survival'!C2</f>
        <v>Total Pre-Smolt Abundance (#fish)</v>
      </c>
      <c r="D1" s="985" t="str">
        <f>'Smolt to Adult Survival'!D2</f>
        <v>Total Adult Returns (#fish)</v>
      </c>
      <c r="E1" s="985" t="s">
        <v>420</v>
      </c>
      <c r="F1" s="985" t="s">
        <v>421</v>
      </c>
      <c r="G1" s="985"/>
      <c r="H1" t="s">
        <v>422</v>
      </c>
    </row>
    <row r="2" spans="1:24" ht="15" hidden="1" thickBot="1" x14ac:dyDescent="0.35">
      <c r="A2" t="str">
        <f>'Smolt to Adult Survival'!A4</f>
        <v>Okanagan - Osoyoos</v>
      </c>
      <c r="B2">
        <f>'Smolt to Adult Survival'!B4</f>
        <v>1980</v>
      </c>
      <c r="C2" s="444" t="str">
        <f>'Smolt to Adult Survival'!C4</f>
        <v/>
      </c>
      <c r="D2" s="444">
        <f>'Smolt to Adult Survival'!D4</f>
        <v>0</v>
      </c>
      <c r="E2" s="479">
        <f>'Smolt to Adult Survival'!E4</f>
        <v>0</v>
      </c>
      <c r="F2" s="479"/>
    </row>
    <row r="3" spans="1:24" ht="15" hidden="1" thickBot="1" x14ac:dyDescent="0.35">
      <c r="A3" t="str">
        <f>'Smolt to Adult Survival'!A5</f>
        <v>Okanagan - Osoyoos</v>
      </c>
      <c r="B3">
        <f>'Smolt to Adult Survival'!B5</f>
        <v>1981</v>
      </c>
      <c r="C3" s="444" t="str">
        <f>'Smolt to Adult Survival'!C5</f>
        <v/>
      </c>
      <c r="D3" s="444">
        <f>'Smolt to Adult Survival'!D5</f>
        <v>0</v>
      </c>
      <c r="E3" s="479">
        <f>'Smolt to Adult Survival'!E5</f>
        <v>0</v>
      </c>
      <c r="F3" s="479"/>
    </row>
    <row r="4" spans="1:24" ht="15" hidden="1" thickBot="1" x14ac:dyDescent="0.35">
      <c r="A4" t="str">
        <f>'Smolt to Adult Survival'!A6</f>
        <v>Okanagan - Osoyoos</v>
      </c>
      <c r="B4">
        <f>'Smolt to Adult Survival'!B6</f>
        <v>1982</v>
      </c>
      <c r="C4" s="444" t="str">
        <f>'Smolt to Adult Survival'!C6</f>
        <v/>
      </c>
      <c r="D4" s="444">
        <f>'Smolt to Adult Survival'!D6</f>
        <v>0</v>
      </c>
      <c r="E4" s="479">
        <f>'Smolt to Adult Survival'!E6</f>
        <v>0</v>
      </c>
      <c r="F4" s="479"/>
    </row>
    <row r="5" spans="1:24" ht="15" hidden="1" thickBot="1" x14ac:dyDescent="0.35">
      <c r="A5" t="str">
        <f>'Smolt to Adult Survival'!A7</f>
        <v>Okanagan - Osoyoos</v>
      </c>
      <c r="B5">
        <f>'Smolt to Adult Survival'!B7</f>
        <v>1983</v>
      </c>
      <c r="C5" s="444" t="str">
        <f>'Smolt to Adult Survival'!C7</f>
        <v/>
      </c>
      <c r="D5" s="444">
        <f>'Smolt to Adult Survival'!D7</f>
        <v>0</v>
      </c>
      <c r="E5" s="479">
        <f>'Smolt to Adult Survival'!E7</f>
        <v>0</v>
      </c>
      <c r="F5" s="479"/>
    </row>
    <row r="6" spans="1:24" ht="15" hidden="1" thickBot="1" x14ac:dyDescent="0.35">
      <c r="A6" t="str">
        <f>'Smolt to Adult Survival'!A8</f>
        <v>Okanagan - Osoyoos</v>
      </c>
      <c r="B6">
        <f>'Smolt to Adult Survival'!B8</f>
        <v>1984</v>
      </c>
      <c r="C6" s="444" t="str">
        <f>'Smolt to Adult Survival'!C8</f>
        <v/>
      </c>
      <c r="D6" s="444">
        <f ca="1">'Smolt to Adult Survival'!D8</f>
        <v>53839.478898898902</v>
      </c>
      <c r="E6" s="479" t="str">
        <f ca="1">'Smolt to Adult Survival'!E8</f>
        <v/>
      </c>
      <c r="F6" s="479"/>
    </row>
    <row r="7" spans="1:24" ht="15" thickBot="1" x14ac:dyDescent="0.35">
      <c r="A7" t="str">
        <f>'Smolt to Adult Survival'!A9</f>
        <v>Okanagan - Osoyoos</v>
      </c>
      <c r="B7" s="1460">
        <f>'Smolt to Adult Survival'!B9</f>
        <v>1985</v>
      </c>
      <c r="C7" s="1698" t="str">
        <f t="shared" ref="C7:C44" ca="1" si="0">VLOOKUP($B7,SAR,2)</f>
        <v/>
      </c>
      <c r="D7" s="444">
        <f t="shared" ref="D7:D44" ca="1" si="1">VLOOKUP($B7,SAR,3)</f>
        <v>51334.207813813824</v>
      </c>
      <c r="E7" s="479" t="str">
        <f t="shared" ref="E7:E44" ca="1" si="2">VLOOKUP($B7,SAR,4)</f>
        <v/>
      </c>
      <c r="F7" s="479">
        <f>'Smolt to Adult Survival'!$N9</f>
        <v>2.9151448843342462E-2</v>
      </c>
      <c r="H7" s="2573"/>
      <c r="I7" s="2574"/>
      <c r="J7" s="2577" t="s">
        <v>53</v>
      </c>
      <c r="K7" s="2578"/>
      <c r="L7" s="2578"/>
      <c r="M7" s="2578"/>
      <c r="N7" s="2579"/>
      <c r="O7" s="2577" t="s">
        <v>55</v>
      </c>
      <c r="P7" s="2578"/>
      <c r="Q7" s="2578"/>
      <c r="R7" s="2578"/>
      <c r="S7" s="2579"/>
      <c r="T7" s="2578" t="s">
        <v>57</v>
      </c>
      <c r="U7" s="2578"/>
      <c r="V7" s="2578"/>
      <c r="W7" s="2578"/>
      <c r="X7" s="2579"/>
    </row>
    <row r="8" spans="1:24" x14ac:dyDescent="0.3">
      <c r="A8" t="str">
        <f ca="1">'Smolt to Adult Survival'!A10</f>
        <v>Okanagan - Osoyoos</v>
      </c>
      <c r="B8" s="1460">
        <f ca="1">'Smolt to Adult Survival'!B10</f>
        <v>1986</v>
      </c>
      <c r="C8" s="1698" t="str">
        <f t="shared" ca="1" si="0"/>
        <v/>
      </c>
      <c r="D8" s="444">
        <f t="shared" ca="1" si="1"/>
        <v>126229.20999999999</v>
      </c>
      <c r="E8" s="479" t="str">
        <f t="shared" ca="1" si="2"/>
        <v/>
      </c>
      <c r="F8" s="479">
        <f>'Smolt to Adult Survival'!$N10</f>
        <v>5.5950350055228526E-2</v>
      </c>
      <c r="H8" s="2575"/>
      <c r="I8" s="2576"/>
      <c r="J8" s="488" t="s">
        <v>423</v>
      </c>
      <c r="K8" s="480" t="s">
        <v>424</v>
      </c>
      <c r="L8" s="489" t="s">
        <v>425</v>
      </c>
      <c r="M8" s="493" t="s">
        <v>426</v>
      </c>
      <c r="N8" s="490" t="s">
        <v>427</v>
      </c>
      <c r="O8" s="488" t="s">
        <v>423</v>
      </c>
      <c r="P8" s="480" t="s">
        <v>424</v>
      </c>
      <c r="Q8" s="489" t="s">
        <v>425</v>
      </c>
      <c r="R8" s="493" t="s">
        <v>426</v>
      </c>
      <c r="S8" s="490" t="s">
        <v>427</v>
      </c>
      <c r="T8" s="480" t="s">
        <v>423</v>
      </c>
      <c r="U8" s="480" t="s">
        <v>424</v>
      </c>
      <c r="V8" s="489" t="s">
        <v>425</v>
      </c>
      <c r="W8" s="493" t="s">
        <v>426</v>
      </c>
      <c r="X8" s="490" t="s">
        <v>427</v>
      </c>
    </row>
    <row r="9" spans="1:24" x14ac:dyDescent="0.3">
      <c r="A9" t="str">
        <f ca="1">'Smolt to Adult Survival'!A11</f>
        <v>Okanagan - Osoyoos</v>
      </c>
      <c r="B9" s="1460">
        <f ca="1">'Smolt to Adult Survival'!B11</f>
        <v>1987</v>
      </c>
      <c r="C9" s="1698" t="str">
        <f t="shared" ca="1" si="0"/>
        <v/>
      </c>
      <c r="D9" s="444">
        <f t="shared" ca="1" si="1"/>
        <v>940.65599999999995</v>
      </c>
      <c r="E9" s="479" t="str">
        <f t="shared" ca="1" si="2"/>
        <v/>
      </c>
      <c r="F9" s="479">
        <f>'Smolt to Adult Survival'!$N11</f>
        <v>1.9132338146689822E-2</v>
      </c>
      <c r="H9" s="484" t="s">
        <v>428</v>
      </c>
      <c r="I9" s="986" t="str">
        <f ca="1">$B$20 &amp; "-" &amp; $B$23</f>
        <v>1998-2001</v>
      </c>
      <c r="J9" s="495">
        <f ca="1">COUNT($C$7:$C$23)</f>
        <v>4</v>
      </c>
      <c r="K9" s="522">
        <f ca="1">MIN($C$7:$C$23)</f>
        <v>281333</v>
      </c>
      <c r="L9" s="522">
        <f ca="1">AVERAGE($C$7:$C$23)</f>
        <v>1509210.75</v>
      </c>
      <c r="M9" s="522">
        <f ca="1">MAX($C$7:$C$23)</f>
        <v>3099743</v>
      </c>
      <c r="N9" s="481">
        <f ca="1">_xlfn.STDEV.S($C$7:$C$23)</f>
        <v>1173516.5053752973</v>
      </c>
      <c r="O9" s="495">
        <f ca="1">COUNT($D$7:$D$23)</f>
        <v>13</v>
      </c>
      <c r="P9" s="523">
        <f ca="1">MIN($D$7:$D$23)</f>
        <v>383.11646092184372</v>
      </c>
      <c r="Q9" s="522">
        <f ca="1">AVERAGE($D$7:$D$23)</f>
        <v>36522.723159287409</v>
      </c>
      <c r="R9" s="524">
        <f ca="1">MAX($D$7:$D$23)</f>
        <v>126229.20999999999</v>
      </c>
      <c r="S9" s="481">
        <f ca="1">_xlfn.STDEV.S($D$7:$D$23)</f>
        <v>38666.068414770329</v>
      </c>
      <c r="T9" s="494">
        <f ca="1">COUNT($E$7:$E$23)</f>
        <v>4</v>
      </c>
      <c r="U9" s="528">
        <f ca="1">MIN($E$7:$E$23)</f>
        <v>2.1560461641168229E-2</v>
      </c>
      <c r="V9" s="528">
        <f ca="1">AVERAGE($E$7:$E$23)</f>
        <v>4.2032048968054743E-2</v>
      </c>
      <c r="W9" s="528">
        <f ca="1">MAX($E$7:$E$23)</f>
        <v>6.10211704452676E-2</v>
      </c>
      <c r="X9" s="485">
        <f ca="1">_xlfn.STDEV.S($E$7:$E$23)</f>
        <v>1.9210388538551365E-2</v>
      </c>
    </row>
    <row r="10" spans="1:24" x14ac:dyDescent="0.3">
      <c r="A10" t="str">
        <f ca="1">'Smolt to Adult Survival'!A12</f>
        <v>Okanagan - Osoyoos</v>
      </c>
      <c r="B10" s="1460">
        <f ca="1">'Smolt to Adult Survival'!B12</f>
        <v>1988</v>
      </c>
      <c r="C10" s="1698" t="str">
        <f t="shared" ca="1" si="0"/>
        <v/>
      </c>
      <c r="D10" s="444" t="str">
        <f t="shared" ca="1" si="1"/>
        <v/>
      </c>
      <c r="E10" s="479" t="str">
        <f t="shared" ca="1" si="2"/>
        <v/>
      </c>
      <c r="F10" s="479">
        <f>'Smolt to Adult Survival'!$N12</f>
        <v>9.1831821791156353E-3</v>
      </c>
      <c r="H10" s="486" t="s">
        <v>429</v>
      </c>
      <c r="I10" s="987" t="str">
        <f ca="1">$B$24 &amp; "-" &amp; $B$41</f>
        <v>2002-2019</v>
      </c>
      <c r="J10" s="495">
        <f ca="1">COUNT($C$24:$C$41)</f>
        <v>18</v>
      </c>
      <c r="K10" s="525">
        <f ca="1">MIN($C$24:$C$41)</f>
        <v>627855</v>
      </c>
      <c r="L10" s="525">
        <f ca="1">AVERAGE($C$24:$C$41)</f>
        <v>2812626.638888889</v>
      </c>
      <c r="M10" s="525">
        <f ca="1">MAX($C$24:$C$41)</f>
        <v>7488306</v>
      </c>
      <c r="N10" s="481">
        <f ca="1">_xlfn.STDEV.S($C$24:$C$41)</f>
        <v>2086317.8486962724</v>
      </c>
      <c r="O10" s="495">
        <f ca="1">COUNT($D$24:$D$41)</f>
        <v>18</v>
      </c>
      <c r="P10" s="526">
        <f ca="1">MIN($D$24:$D$41)</f>
        <v>12380.849252940803</v>
      </c>
      <c r="Q10" s="525">
        <f ca="1">AVERAGE($D$24:$D$41)</f>
        <v>140775.93090812612</v>
      </c>
      <c r="R10" s="527">
        <f ca="1">MAX($D$24:$D$41)</f>
        <v>407786.91400662879</v>
      </c>
      <c r="S10" s="481">
        <f ca="1">_xlfn.STDEV.S($D$24:$D$41)</f>
        <v>120705.88699167852</v>
      </c>
      <c r="T10" s="494">
        <f ca="1">COUNT($E$24:$E$41)</f>
        <v>18</v>
      </c>
      <c r="U10" s="529">
        <f ca="1">MIN($E$24:$E$41)</f>
        <v>6.7769373373122877E-3</v>
      </c>
      <c r="V10" s="529">
        <f ca="1">AVERAGE($E$24:$E$41)</f>
        <v>5.6255785022434147E-2</v>
      </c>
      <c r="W10" s="529">
        <f ca="1">MAX($E$24:$E$41)</f>
        <v>0.14666776570815485</v>
      </c>
      <c r="X10" s="485">
        <f ca="1">_xlfn.STDEV.S($E$24:$E$41)</f>
        <v>3.9107044008892325E-2</v>
      </c>
    </row>
    <row r="11" spans="1:24" ht="15" thickBot="1" x14ac:dyDescent="0.35">
      <c r="A11" t="str">
        <f ca="1">'Smolt to Adult Survival'!A13</f>
        <v>Okanagan - Osoyoos</v>
      </c>
      <c r="B11" s="1460">
        <f ca="1">'Smolt to Adult Survival'!B13</f>
        <v>1989</v>
      </c>
      <c r="C11" s="1698" t="str">
        <f t="shared" ca="1" si="0"/>
        <v/>
      </c>
      <c r="D11" s="444" t="str">
        <f t="shared" ca="1" si="1"/>
        <v/>
      </c>
      <c r="E11" s="479" t="str">
        <f t="shared" ca="1" si="2"/>
        <v/>
      </c>
      <c r="F11" s="479">
        <f>'Smolt to Adult Survival'!$N13</f>
        <v>5.3483597725828017E-2</v>
      </c>
      <c r="H11" s="945" t="s">
        <v>430</v>
      </c>
      <c r="I11" s="946"/>
      <c r="J11" s="482"/>
      <c r="K11" s="492">
        <f ca="1">(K10-K9)/K9</f>
        <v>1.2317147295198216</v>
      </c>
      <c r="L11" s="492">
        <f ca="1">(L10-L9)/L9</f>
        <v>0.86364073996218815</v>
      </c>
      <c r="M11" s="492">
        <f ca="1">(M10-M9)/M9</f>
        <v>1.4157828568368409</v>
      </c>
      <c r="N11" s="483"/>
      <c r="O11" s="491"/>
      <c r="P11" s="492">
        <f ca="1">(P10-P9)/P9</f>
        <v>31.31615061161915</v>
      </c>
      <c r="Q11" s="492">
        <f ca="1">(Q10-Q9)/Q9</f>
        <v>2.8544752069596986</v>
      </c>
      <c r="R11" s="492">
        <f ca="1">(R10-R9)/R9</f>
        <v>2.2305273399606071</v>
      </c>
      <c r="S11" s="483"/>
      <c r="T11" s="487"/>
      <c r="U11" s="492">
        <f ca="1">(U10-U9)/U9</f>
        <v>-0.68567754020757199</v>
      </c>
      <c r="V11" s="492">
        <f ca="1">(V10-V9)/V9</f>
        <v>0.33840215748677271</v>
      </c>
      <c r="W11" s="492">
        <f ca="1">(W10-W9)/W9</f>
        <v>1.4035554322857049</v>
      </c>
      <c r="X11" s="483"/>
    </row>
    <row r="12" spans="1:24" x14ac:dyDescent="0.3">
      <c r="A12" t="str">
        <f ca="1">'Smolt to Adult Survival'!A14</f>
        <v>Okanagan - Osoyoos</v>
      </c>
      <c r="B12" s="1460">
        <f ca="1">'Smolt to Adult Survival'!B14</f>
        <v>1990</v>
      </c>
      <c r="C12" s="1698" t="str">
        <f t="shared" ca="1" si="0"/>
        <v/>
      </c>
      <c r="D12" s="444" t="str">
        <f t="shared" ca="1" si="1"/>
        <v/>
      </c>
      <c r="E12" s="479" t="str">
        <f t="shared" ca="1" si="2"/>
        <v/>
      </c>
      <c r="F12" s="479">
        <f>'Smolt to Adult Survival'!$N14</f>
        <v>0.19595419827081922</v>
      </c>
      <c r="H12" s="988" t="s">
        <v>431</v>
      </c>
    </row>
    <row r="13" spans="1:24" x14ac:dyDescent="0.3">
      <c r="A13" t="str">
        <f ca="1">'Smolt to Adult Survival'!A15</f>
        <v>Okanagan - Osoyoos</v>
      </c>
      <c r="B13" s="1460">
        <f ca="1">'Smolt to Adult Survival'!B15</f>
        <v>1991</v>
      </c>
      <c r="C13" s="1698" t="str">
        <f t="shared" ca="1" si="0"/>
        <v/>
      </c>
      <c r="D13" s="444" t="str">
        <f t="shared" ca="1" si="1"/>
        <v/>
      </c>
      <c r="E13" s="479" t="str">
        <f t="shared" ca="1" si="2"/>
        <v/>
      </c>
      <c r="F13" s="479">
        <f>'Smolt to Adult Survival'!$N15</f>
        <v>0.12118335881352346</v>
      </c>
    </row>
    <row r="14" spans="1:24" ht="15" thickBot="1" x14ac:dyDescent="0.35">
      <c r="A14" t="str">
        <f ca="1">'Smolt to Adult Survival'!A16</f>
        <v>Okanagan - Osoyoos</v>
      </c>
      <c r="B14" s="1460">
        <f ca="1">'Smolt to Adult Survival'!B16</f>
        <v>1992</v>
      </c>
      <c r="C14" s="1698" t="str">
        <f t="shared" ca="1" si="0"/>
        <v/>
      </c>
      <c r="D14" s="444">
        <f t="shared" ca="1" si="1"/>
        <v>383.11646092184372</v>
      </c>
      <c r="E14" s="479" t="str">
        <f t="shared" ca="1" si="2"/>
        <v/>
      </c>
      <c r="F14" s="479">
        <f>'Smolt to Adult Survival'!$N16</f>
        <v>2.8380361991986614E-3</v>
      </c>
      <c r="H14" t="s">
        <v>422</v>
      </c>
    </row>
    <row r="15" spans="1:24" ht="15" thickBot="1" x14ac:dyDescent="0.35">
      <c r="A15" t="str">
        <f ca="1">'Smolt to Adult Survival'!A17</f>
        <v>Okanagan - Osoyoos</v>
      </c>
      <c r="B15" s="1460">
        <f ca="1">'Smolt to Adult Survival'!B17</f>
        <v>1993</v>
      </c>
      <c r="C15" s="1698" t="str">
        <f t="shared" ca="1" si="0"/>
        <v/>
      </c>
      <c r="D15" s="444">
        <f t="shared" ca="1" si="1"/>
        <v>3927.92545490982</v>
      </c>
      <c r="E15" s="479" t="str">
        <f t="shared" ca="1" si="2"/>
        <v/>
      </c>
      <c r="F15" s="479">
        <f>'Smolt to Adult Survival'!$N17</f>
        <v>2.8770623200475506E-3</v>
      </c>
      <c r="H15" s="2573" t="s">
        <v>432</v>
      </c>
      <c r="I15" s="2574"/>
      <c r="J15" s="2577" t="s">
        <v>53</v>
      </c>
      <c r="K15" s="2578"/>
      <c r="L15" s="2578"/>
      <c r="M15" s="2578"/>
      <c r="N15" s="2579"/>
      <c r="O15" s="2577" t="s">
        <v>55</v>
      </c>
      <c r="P15" s="2578"/>
      <c r="Q15" s="2578"/>
      <c r="R15" s="2578"/>
      <c r="S15" s="2579"/>
      <c r="T15" s="2578" t="s">
        <v>57</v>
      </c>
      <c r="U15" s="2578"/>
      <c r="V15" s="2578"/>
      <c r="W15" s="2578"/>
      <c r="X15" s="2579"/>
    </row>
    <row r="16" spans="1:24" x14ac:dyDescent="0.3">
      <c r="A16" t="str">
        <f ca="1">'Smolt to Adult Survival'!A18</f>
        <v>Okanagan - Osoyoos</v>
      </c>
      <c r="B16" s="1460">
        <f ca="1">'Smolt to Adult Survival'!B18</f>
        <v>1994</v>
      </c>
      <c r="C16" s="1698" t="str">
        <f t="shared" ca="1" si="0"/>
        <v/>
      </c>
      <c r="D16" s="444">
        <f t="shared" ca="1" si="1"/>
        <v>24219.032084168335</v>
      </c>
      <c r="E16" s="479" t="str">
        <f t="shared" ca="1" si="2"/>
        <v/>
      </c>
      <c r="F16" s="479">
        <f>'Smolt to Adult Survival'!$N18</f>
        <v>3.5378276155687331E-2</v>
      </c>
      <c r="H16" s="2575"/>
      <c r="I16" s="2576"/>
      <c r="J16" s="488" t="s">
        <v>423</v>
      </c>
      <c r="K16" s="480" t="s">
        <v>424</v>
      </c>
      <c r="L16" s="489" t="s">
        <v>425</v>
      </c>
      <c r="M16" s="493" t="s">
        <v>426</v>
      </c>
      <c r="N16" s="490" t="s">
        <v>427</v>
      </c>
      <c r="O16" s="488" t="s">
        <v>423</v>
      </c>
      <c r="P16" s="480" t="s">
        <v>424</v>
      </c>
      <c r="Q16" s="489" t="s">
        <v>425</v>
      </c>
      <c r="R16" s="493" t="s">
        <v>426</v>
      </c>
      <c r="S16" s="490" t="s">
        <v>427</v>
      </c>
      <c r="T16" s="480" t="s">
        <v>423</v>
      </c>
      <c r="U16" s="480" t="s">
        <v>424</v>
      </c>
      <c r="V16" s="489" t="s">
        <v>425</v>
      </c>
      <c r="W16" s="493" t="s">
        <v>426</v>
      </c>
      <c r="X16" s="490" t="s">
        <v>427</v>
      </c>
    </row>
    <row r="17" spans="1:25" x14ac:dyDescent="0.3">
      <c r="A17" t="str">
        <f ca="1">'Smolt to Adult Survival'!A19</f>
        <v>Okanagan - Osoyoos</v>
      </c>
      <c r="B17" s="1460">
        <f ca="1">'Smolt to Adult Survival'!B19</f>
        <v>1995</v>
      </c>
      <c r="C17" s="1698" t="str">
        <f t="shared" ca="1" si="0"/>
        <v/>
      </c>
      <c r="D17" s="444">
        <f t="shared" ca="1" si="1"/>
        <v>37520.464999999997</v>
      </c>
      <c r="E17" s="479" t="str">
        <f t="shared" ca="1" si="2"/>
        <v/>
      </c>
      <c r="F17" s="479">
        <f>'Smolt to Adult Survival'!$N19</f>
        <v>3.7939904219547349E-2</v>
      </c>
      <c r="H17" s="484" t="s">
        <v>428</v>
      </c>
      <c r="I17" s="986" t="str">
        <f ca="1">$B$20 &amp; "-" &amp; $B$23</f>
        <v>1998-2001</v>
      </c>
      <c r="J17" s="1060">
        <f ca="1">COUNT($C$20:$C$23)</f>
        <v>4</v>
      </c>
      <c r="K17" s="522">
        <f ca="1">MIN($C$20:$C$23)</f>
        <v>281333</v>
      </c>
      <c r="L17" s="522">
        <f ca="1">AVERAGE($C$20:$C$23)</f>
        <v>1509210.75</v>
      </c>
      <c r="M17" s="522">
        <f ca="1">MAX($C$20:$C$23)</f>
        <v>3099743</v>
      </c>
      <c r="N17" s="481">
        <f ca="1">_xlfn.STDEV.S($C$20:$C$23)</f>
        <v>1173516.5053752973</v>
      </c>
      <c r="O17" s="1060">
        <f ca="1">J17</f>
        <v>4</v>
      </c>
      <c r="P17" s="523">
        <f ca="1">MIN($D$20:$D$23)</f>
        <v>17167.268944878469</v>
      </c>
      <c r="Q17" s="522">
        <f ca="1">AVERAGE($D$20:$D$23)</f>
        <v>52128.201278766071</v>
      </c>
      <c r="R17" s="524">
        <f ca="1">MAX($D$20:$D$23)</f>
        <v>92990.339670113375</v>
      </c>
      <c r="S17" s="481">
        <f ca="1">_xlfn.STDEV.S($D$20:$D$23)</f>
        <v>34431.315284034659</v>
      </c>
      <c r="T17" s="1060">
        <f ca="1">J17</f>
        <v>4</v>
      </c>
      <c r="U17" s="528">
        <f ca="1">MIN($E$20:$E$23)</f>
        <v>2.1560461641168229E-2</v>
      </c>
      <c r="V17" s="528">
        <f ca="1">AVERAGE($E$20:$E$23)</f>
        <v>4.2032048968054743E-2</v>
      </c>
      <c r="W17" s="528">
        <f ca="1">MAX($E$20:$E$23)</f>
        <v>6.10211704452676E-2</v>
      </c>
      <c r="X17" s="485">
        <f ca="1">_xlfn.STDEV.S($E$20:$E$23)</f>
        <v>1.9210388538551365E-2</v>
      </c>
    </row>
    <row r="18" spans="1:25" x14ac:dyDescent="0.3">
      <c r="A18" t="str">
        <f ca="1">'Smolt to Adult Survival'!A20</f>
        <v>Okanagan - Osoyoos</v>
      </c>
      <c r="B18" s="1460">
        <f ca="1">'Smolt to Adult Survival'!B20</f>
        <v>1996</v>
      </c>
      <c r="C18" s="1698" t="str">
        <f t="shared" ca="1" si="0"/>
        <v/>
      </c>
      <c r="D18" s="444">
        <f t="shared" ca="1" si="1"/>
        <v>6404.0999999999995</v>
      </c>
      <c r="E18" s="479" t="str">
        <f t="shared" ca="1" si="2"/>
        <v/>
      </c>
      <c r="F18" s="479">
        <f>'Smolt to Adult Survival'!$N20</f>
        <v>4.4263157276658464E-2</v>
      </c>
      <c r="H18" s="486" t="s">
        <v>429</v>
      </c>
      <c r="I18" s="987" t="str">
        <f ca="1">$B$24 &amp; "-" &amp; $B$41</f>
        <v>2002-2019</v>
      </c>
      <c r="J18" s="495">
        <f ca="1">COUNT($C$24:$C$41)</f>
        <v>18</v>
      </c>
      <c r="K18" s="525">
        <f ca="1">MIN($C$24:$C$41)</f>
        <v>627855</v>
      </c>
      <c r="L18" s="525">
        <f ca="1">AVERAGE($C$24:$C$41)</f>
        <v>2812626.638888889</v>
      </c>
      <c r="M18" s="525">
        <f ca="1">MAX($C$24:$C$41)</f>
        <v>7488306</v>
      </c>
      <c r="N18" s="481">
        <f ca="1">_xlfn.STDEV.S($C$24:$C$41)</f>
        <v>2086317.8486962724</v>
      </c>
      <c r="O18" s="495">
        <f ca="1">J18</f>
        <v>18</v>
      </c>
      <c r="P18" s="526">
        <f ca="1">MIN($D$24:$D$41)</f>
        <v>12380.849252940803</v>
      </c>
      <c r="Q18" s="525">
        <f ca="1">AVERAGE($D$24:$D$41)</f>
        <v>140775.93090812612</v>
      </c>
      <c r="R18" s="527">
        <f ca="1">MAX($D$24:$D$41)</f>
        <v>407786.91400662879</v>
      </c>
      <c r="S18" s="481">
        <f ca="1">_xlfn.STDEV.S($D$24:$D$41)</f>
        <v>120705.88699167852</v>
      </c>
      <c r="T18" s="494">
        <f ca="1">J18</f>
        <v>18</v>
      </c>
      <c r="U18" s="529">
        <f ca="1">MIN($E$24:$E$41)</f>
        <v>6.7769373373122877E-3</v>
      </c>
      <c r="V18" s="529">
        <f ca="1">AVERAGE($E$24:$E$41)</f>
        <v>5.6255785022434147E-2</v>
      </c>
      <c r="W18" s="529">
        <f ca="1">MAX($E$24:$E$41)</f>
        <v>0.14666776570815485</v>
      </c>
      <c r="X18" s="485">
        <f ca="1">_xlfn.STDEV.S($E$24:$E$41)</f>
        <v>3.9107044008892325E-2</v>
      </c>
    </row>
    <row r="19" spans="1:25" ht="15" thickBot="1" x14ac:dyDescent="0.35">
      <c r="A19" t="str">
        <f ca="1">'Smolt to Adult Survival'!A21</f>
        <v>Okanagan - Osoyoos</v>
      </c>
      <c r="B19" s="1460">
        <f ca="1">'Smolt to Adult Survival'!B21</f>
        <v>1997</v>
      </c>
      <c r="C19" s="1698" t="str">
        <f t="shared" ca="1" si="0"/>
        <v/>
      </c>
      <c r="D19" s="444">
        <f t="shared" ca="1" si="1"/>
        <v>15323.883141858141</v>
      </c>
      <c r="E19" s="479" t="str">
        <f t="shared" ca="1" si="2"/>
        <v/>
      </c>
      <c r="F19" s="479">
        <f>'Smolt to Adult Survival'!$N21</f>
        <v>3.3486549583931755E-2</v>
      </c>
      <c r="H19" s="945" t="s">
        <v>430</v>
      </c>
      <c r="I19" s="946"/>
      <c r="J19" s="482"/>
      <c r="K19" s="492">
        <f ca="1">(K18-K17)/K17</f>
        <v>1.2317147295198216</v>
      </c>
      <c r="L19" s="492">
        <f ca="1">(L18-L17)/L17</f>
        <v>0.86364073996218815</v>
      </c>
      <c r="M19" s="492">
        <f ca="1">(M18-M17)/M17</f>
        <v>1.4157828568368409</v>
      </c>
      <c r="N19" s="483"/>
      <c r="O19" s="491"/>
      <c r="P19" s="492">
        <f ca="1">(P18-P17)/P17</f>
        <v>-0.27881078273464133</v>
      </c>
      <c r="Q19" s="492">
        <f ca="1">(Q18-Q17)/Q17</f>
        <v>1.7005714268807863</v>
      </c>
      <c r="R19" s="492">
        <f ca="1">(R18-R17)/R17</f>
        <v>3.3852610438166773</v>
      </c>
      <c r="S19" s="483"/>
      <c r="T19" s="487"/>
      <c r="U19" s="492">
        <f ca="1">(U18-U17)/U17</f>
        <v>-0.68567754020757199</v>
      </c>
      <c r="V19" s="492">
        <f ca="1">(V18-V17)/V17</f>
        <v>0.33840215748677271</v>
      </c>
      <c r="W19" s="492">
        <f ca="1">(W18-W17)/W17</f>
        <v>1.4035554322857049</v>
      </c>
      <c r="X19" s="483"/>
    </row>
    <row r="20" spans="1:25" x14ac:dyDescent="0.3">
      <c r="A20" t="str">
        <f ca="1">'Smolt to Adult Survival'!A22</f>
        <v>Okanagan - Osoyoos</v>
      </c>
      <c r="B20" s="1460">
        <f ca="1">'Smolt to Adult Survival'!B22</f>
        <v>1998</v>
      </c>
      <c r="C20" s="1698">
        <f t="shared" ca="1" si="0"/>
        <v>1209167</v>
      </c>
      <c r="D20" s="444">
        <f t="shared" ca="1" si="1"/>
        <v>67165.832689958479</v>
      </c>
      <c r="E20" s="479">
        <f t="shared" ca="1" si="2"/>
        <v>5.5547192976618184E-2</v>
      </c>
      <c r="F20" s="479">
        <f>'Smolt to Adult Survival'!$N22</f>
        <v>6.144307970529414E-2</v>
      </c>
      <c r="H20" s="988" t="s">
        <v>433</v>
      </c>
    </row>
    <row r="21" spans="1:25" x14ac:dyDescent="0.3">
      <c r="A21" t="str">
        <f ca="1">'Smolt to Adult Survival'!A23</f>
        <v>Okanagan - Osoyoos</v>
      </c>
      <c r="B21" s="1460">
        <f ca="1">'Smolt to Adult Survival'!B23</f>
        <v>1999</v>
      </c>
      <c r="C21" s="1698">
        <f t="shared" ca="1" si="0"/>
        <v>3099743</v>
      </c>
      <c r="D21" s="444">
        <f t="shared" ca="1" si="1"/>
        <v>92990.339670113375</v>
      </c>
      <c r="E21" s="479">
        <f t="shared" ca="1" si="2"/>
        <v>2.9999370809164944E-2</v>
      </c>
      <c r="F21" s="479">
        <f>'Smolt to Adult Survival'!$N23</f>
        <v>3.3723830258834298E-2</v>
      </c>
    </row>
    <row r="22" spans="1:25" x14ac:dyDescent="0.3">
      <c r="A22" t="str">
        <f ca="1">'Smolt to Adult Survival'!A24</f>
        <v>Okanagan - Osoyoos</v>
      </c>
      <c r="B22" s="1460">
        <f ca="1">'Smolt to Adult Survival'!B24</f>
        <v>2000</v>
      </c>
      <c r="C22" s="1698">
        <f t="shared" ca="1" si="0"/>
        <v>281333</v>
      </c>
      <c r="D22" s="444">
        <f t="shared" ca="1" si="1"/>
        <v>17167.268944878469</v>
      </c>
      <c r="E22" s="479">
        <f t="shared" ca="1" si="2"/>
        <v>6.10211704452676E-2</v>
      </c>
      <c r="F22" s="479">
        <f>'Smolt to Adult Survival'!$N24</f>
        <v>4.9303980018330695E-2</v>
      </c>
    </row>
    <row r="23" spans="1:25" x14ac:dyDescent="0.3">
      <c r="A23" t="str">
        <f ca="1">'Smolt to Adult Survival'!A25</f>
        <v>Okanagan - Osoyoos</v>
      </c>
      <c r="B23" s="1460">
        <f ca="1">'Smolt to Adult Survival'!B25</f>
        <v>2001</v>
      </c>
      <c r="C23" s="1698">
        <f t="shared" ca="1" si="0"/>
        <v>1446600</v>
      </c>
      <c r="D23" s="444">
        <f t="shared" ca="1" si="1"/>
        <v>31189.363810113962</v>
      </c>
      <c r="E23" s="479">
        <f t="shared" ca="1" si="2"/>
        <v>2.1560461641168229E-2</v>
      </c>
      <c r="F23" s="479">
        <f>'Smolt to Adult Survival'!$N25</f>
        <v>1.4560805587100595E-2</v>
      </c>
    </row>
    <row r="24" spans="1:25" x14ac:dyDescent="0.3">
      <c r="A24" t="str">
        <f ca="1">'Smolt to Adult Survival'!A26</f>
        <v>Okanagan - Osoyoos</v>
      </c>
      <c r="B24" s="1406">
        <f ca="1">'Smolt to Adult Survival'!B26</f>
        <v>2002</v>
      </c>
      <c r="C24" s="1697">
        <f t="shared" ca="1" si="0"/>
        <v>2927009</v>
      </c>
      <c r="D24" s="444">
        <f t="shared" ca="1" si="1"/>
        <v>91108.416660124509</v>
      </c>
      <c r="E24" s="479">
        <f t="shared" ca="1" si="2"/>
        <v>3.1126797580781101E-2</v>
      </c>
      <c r="F24" s="479">
        <f>'Smolt to Adult Survival'!$N26</f>
        <v>4.2435232745871847E-2</v>
      </c>
    </row>
    <row r="25" spans="1:25" x14ac:dyDescent="0.3">
      <c r="A25" t="str">
        <f ca="1">'Smolt to Adult Survival'!A27</f>
        <v>Okanagan - Osoyoos</v>
      </c>
      <c r="B25" s="1406">
        <f ca="1">'Smolt to Adult Survival'!B27</f>
        <v>2003</v>
      </c>
      <c r="C25" s="1697">
        <f t="shared" ca="1" si="0"/>
        <v>2080978</v>
      </c>
      <c r="D25" s="444">
        <f t="shared" ca="1" si="1"/>
        <v>62733.266068811485</v>
      </c>
      <c r="E25" s="479">
        <f t="shared" ca="1" si="2"/>
        <v>3.0146049630900222E-2</v>
      </c>
      <c r="F25" s="479">
        <f>'Smolt to Adult Survival'!$N27</f>
        <v>3.3556154036956755E-2</v>
      </c>
      <c r="H25" s="2572" t="s">
        <v>434</v>
      </c>
      <c r="I25" s="2572"/>
      <c r="J25" s="2572"/>
      <c r="K25" s="2572"/>
      <c r="L25" s="2572"/>
      <c r="M25" s="2572"/>
      <c r="N25" s="2572"/>
      <c r="O25" s="2572"/>
      <c r="P25" s="2572"/>
      <c r="Q25" s="2572"/>
      <c r="R25" s="2572"/>
      <c r="S25" s="2572"/>
      <c r="T25" s="2572"/>
      <c r="U25" s="2572"/>
      <c r="V25" s="2572"/>
      <c r="W25" s="2572"/>
      <c r="X25" s="2572"/>
      <c r="Y25" s="2572"/>
    </row>
    <row r="26" spans="1:25" x14ac:dyDescent="0.3">
      <c r="A26" t="str">
        <f ca="1">'Smolt to Adult Survival'!A28</f>
        <v>Okanagan - Osoyoos</v>
      </c>
      <c r="B26" s="1406">
        <f ca="1">'Smolt to Adult Survival'!B28</f>
        <v>2004</v>
      </c>
      <c r="C26" s="1697">
        <f t="shared" ca="1" si="0"/>
        <v>627855</v>
      </c>
      <c r="D26" s="444">
        <f t="shared" ca="1" si="1"/>
        <v>27600.509991111154</v>
      </c>
      <c r="E26" s="479">
        <f t="shared" ca="1" si="2"/>
        <v>4.3960006675285143E-2</v>
      </c>
      <c r="F26" s="479">
        <f>'Smolt to Adult Survival'!$N28</f>
        <v>4.7738565716686353E-2</v>
      </c>
      <c r="H26" s="1694"/>
      <c r="I26" s="1694"/>
      <c r="J26" s="1694"/>
      <c r="K26" s="1694"/>
      <c r="L26" s="1694"/>
      <c r="M26" s="1694"/>
      <c r="N26" s="1694"/>
      <c r="O26" s="1694"/>
      <c r="P26" s="1694"/>
      <c r="Q26" s="1694"/>
      <c r="R26" s="1694"/>
      <c r="S26" s="1694"/>
      <c r="T26" s="1694"/>
      <c r="U26" s="1694"/>
      <c r="V26" s="1694"/>
      <c r="W26" s="1694"/>
      <c r="X26" s="1694"/>
      <c r="Y26" s="1694"/>
    </row>
    <row r="27" spans="1:25" ht="15" thickBot="1" x14ac:dyDescent="0.35">
      <c r="A27" t="str">
        <f ca="1">'Smolt to Adult Survival'!A29</f>
        <v>Okanagan - Osoyoos</v>
      </c>
      <c r="B27" s="1406">
        <f ca="1">'Smolt to Adult Survival'!B29</f>
        <v>2005</v>
      </c>
      <c r="C27" s="1697">
        <f t="shared" ca="1" si="0"/>
        <v>735805</v>
      </c>
      <c r="D27" s="444">
        <f t="shared" ca="1" si="1"/>
        <v>12380.849252940803</v>
      </c>
      <c r="E27" s="479">
        <f t="shared" ca="1" si="2"/>
        <v>1.6826264095705794E-2</v>
      </c>
      <c r="F27" s="479">
        <f>'Smolt to Adult Survival'!$N29</f>
        <v>2.0397984558742109E-2</v>
      </c>
      <c r="H27" s="1694" t="s">
        <v>422</v>
      </c>
      <c r="I27" s="1694"/>
      <c r="J27" s="1694"/>
      <c r="K27" s="1694"/>
      <c r="L27" s="1694"/>
      <c r="M27" s="1694"/>
      <c r="N27" s="1694"/>
      <c r="O27" s="1694"/>
      <c r="P27" s="1694"/>
      <c r="Q27" s="1694"/>
      <c r="R27" s="1694"/>
      <c r="S27" s="1694"/>
      <c r="T27" s="1694"/>
      <c r="U27" s="1694"/>
      <c r="V27" s="1694"/>
      <c r="W27" s="1694"/>
      <c r="X27" s="1694"/>
      <c r="Y27" s="1694"/>
    </row>
    <row r="28" spans="1:25" ht="15" thickBot="1" x14ac:dyDescent="0.35">
      <c r="A28" t="str">
        <f ca="1">'Smolt to Adult Survival'!A30</f>
        <v>Okanagan - Osoyoos</v>
      </c>
      <c r="B28" s="1694">
        <f ca="1">'Smolt to Adult Survival'!B30</f>
        <v>2006</v>
      </c>
      <c r="C28" s="1696">
        <f t="shared" ca="1" si="0"/>
        <v>1783500</v>
      </c>
      <c r="D28" s="444">
        <f t="shared" ca="1" si="1"/>
        <v>184173.70354186368</v>
      </c>
      <c r="E28" s="479">
        <f t="shared" ca="1" si="2"/>
        <v>0.10326532298394375</v>
      </c>
      <c r="F28" s="479">
        <f>'Smolt to Adult Survival'!$N30</f>
        <v>0.11217865877846928</v>
      </c>
      <c r="H28" s="2573" t="s">
        <v>432</v>
      </c>
      <c r="I28" s="2574"/>
      <c r="J28" s="2577" t="s">
        <v>53</v>
      </c>
      <c r="K28" s="2578"/>
      <c r="L28" s="2578"/>
      <c r="M28" s="2578"/>
      <c r="N28" s="2579"/>
      <c r="O28" s="2577" t="s">
        <v>55</v>
      </c>
      <c r="P28" s="2578"/>
      <c r="Q28" s="2578"/>
      <c r="R28" s="2578"/>
      <c r="S28" s="2579"/>
      <c r="T28" s="2578" t="s">
        <v>57</v>
      </c>
      <c r="U28" s="2578"/>
      <c r="V28" s="2578"/>
      <c r="W28" s="2578"/>
      <c r="X28" s="2579"/>
      <c r="Y28" s="1694"/>
    </row>
    <row r="29" spans="1:25" x14ac:dyDescent="0.3">
      <c r="A29" t="str">
        <f ca="1">'Smolt to Adult Survival'!A31</f>
        <v>Okanagan - Osoyoos</v>
      </c>
      <c r="B29" s="1694">
        <f ca="1">'Smolt to Adult Survival'!B31</f>
        <v>2007</v>
      </c>
      <c r="C29" s="1696">
        <f t="shared" ca="1" si="0"/>
        <v>2026709</v>
      </c>
      <c r="D29" s="444">
        <f t="shared" ca="1" si="1"/>
        <v>154934.96016959855</v>
      </c>
      <c r="E29" s="479">
        <f t="shared" ca="1" si="2"/>
        <v>7.6446574308200413E-2</v>
      </c>
      <c r="F29" s="479">
        <f>'Smolt to Adult Survival'!$N31</f>
        <v>7.492712185613648E-2</v>
      </c>
      <c r="H29" s="2575"/>
      <c r="I29" s="2576"/>
      <c r="J29" s="488" t="s">
        <v>423</v>
      </c>
      <c r="K29" s="480" t="s">
        <v>424</v>
      </c>
      <c r="L29" s="489" t="s">
        <v>425</v>
      </c>
      <c r="M29" s="493" t="s">
        <v>426</v>
      </c>
      <c r="N29" s="490" t="s">
        <v>427</v>
      </c>
      <c r="O29" s="488" t="s">
        <v>423</v>
      </c>
      <c r="P29" s="480" t="s">
        <v>424</v>
      </c>
      <c r="Q29" s="489" t="s">
        <v>425</v>
      </c>
      <c r="R29" s="493" t="s">
        <v>426</v>
      </c>
      <c r="S29" s="490" t="s">
        <v>427</v>
      </c>
      <c r="T29" s="480" t="s">
        <v>423</v>
      </c>
      <c r="U29" s="480" t="s">
        <v>424</v>
      </c>
      <c r="V29" s="489" t="s">
        <v>425</v>
      </c>
      <c r="W29" s="493" t="s">
        <v>426</v>
      </c>
      <c r="X29" s="490" t="s">
        <v>427</v>
      </c>
      <c r="Y29" s="1694"/>
    </row>
    <row r="30" spans="1:25" x14ac:dyDescent="0.3">
      <c r="A30" t="str">
        <f ca="1">'Smolt to Adult Survival'!A32</f>
        <v>Okanagan - Osoyoos</v>
      </c>
      <c r="B30" s="1694">
        <f ca="1">'Smolt to Adult Survival'!B32</f>
        <v>2008</v>
      </c>
      <c r="C30" s="1696">
        <f t="shared" ca="1" si="0"/>
        <v>2133694</v>
      </c>
      <c r="D30" s="444">
        <f t="shared" ca="1" si="1"/>
        <v>312944.13168489572</v>
      </c>
      <c r="E30" s="479">
        <f t="shared" ca="1" si="2"/>
        <v>0.14666776570815485</v>
      </c>
      <c r="F30" s="479">
        <f>'Smolt to Adult Survival'!$N32</f>
        <v>0.15349159798354994</v>
      </c>
      <c r="H30" s="484" t="s">
        <v>428</v>
      </c>
      <c r="I30" s="986" t="str">
        <f ca="1">$B$7 &amp; "-" &amp; $B$27</f>
        <v>1985-2005</v>
      </c>
      <c r="J30" s="495">
        <f ca="1">COUNT($C$7:$C$27)</f>
        <v>8</v>
      </c>
      <c r="K30" s="522">
        <f ca="1">MIN($C$7:$C$27)</f>
        <v>281333</v>
      </c>
      <c r="L30" s="522">
        <f ca="1">AVERAGE($C$7:$C$27)</f>
        <v>1551061.25</v>
      </c>
      <c r="M30" s="522">
        <f ca="1">MAX($C$7:$C$27)</f>
        <v>3099743</v>
      </c>
      <c r="N30" s="481">
        <f ca="1">_xlfn.STDEV.S($C$7:$C$27)</f>
        <v>1057586.560349925</v>
      </c>
      <c r="O30" s="495">
        <f ca="1">COUNT($D$7:$D$27)</f>
        <v>17</v>
      </c>
      <c r="P30" s="523">
        <f ca="1">MIN($D$7:$D$27)</f>
        <v>383.11646092184372</v>
      </c>
      <c r="Q30" s="522">
        <f ca="1">AVERAGE($D$7:$D$27)</f>
        <v>39330.496649630848</v>
      </c>
      <c r="R30" s="524">
        <f ca="1">MAX($D$7:$D$27)</f>
        <v>126229.20999999999</v>
      </c>
      <c r="S30" s="481">
        <f ca="1">_xlfn.STDEV.S($D$7:$D$27)</f>
        <v>37195.247978096733</v>
      </c>
      <c r="T30" s="494">
        <f ca="1">COUNT($E$7:$E$27)</f>
        <v>8</v>
      </c>
      <c r="U30" s="528">
        <f ca="1">MIN($E$7:$E$27)</f>
        <v>1.6826264095705794E-2</v>
      </c>
      <c r="V30" s="528">
        <f ca="1">AVERAGE($E$7:$E$27)</f>
        <v>3.6273414231861409E-2</v>
      </c>
      <c r="W30" s="528">
        <f ca="1">MAX($E$7:$E$27)</f>
        <v>6.10211704452676E-2</v>
      </c>
      <c r="X30" s="485">
        <f ca="1">_xlfn.STDEV.S($E$7:$E$27)</f>
        <v>1.5771005001138962E-2</v>
      </c>
      <c r="Y30" s="1694"/>
    </row>
    <row r="31" spans="1:25" x14ac:dyDescent="0.3">
      <c r="A31" t="str">
        <f ca="1">'Smolt to Adult Survival'!A33</f>
        <v>Okanagan - Osoyoos</v>
      </c>
      <c r="B31" s="1694">
        <f ca="1">'Smolt to Adult Survival'!B33</f>
        <v>2009</v>
      </c>
      <c r="C31" s="1696">
        <f t="shared" ca="1" si="0"/>
        <v>875327</v>
      </c>
      <c r="D31" s="444">
        <f t="shared" ca="1" si="1"/>
        <v>63248.299193292129</v>
      </c>
      <c r="E31" s="479">
        <f t="shared" ca="1" si="2"/>
        <v>7.2256767120507118E-2</v>
      </c>
      <c r="F31" s="479">
        <f>'Smolt to Adult Survival'!$N33</f>
        <v>0.11988290780528595</v>
      </c>
      <c r="H31" s="486" t="s">
        <v>429</v>
      </c>
      <c r="I31" s="987" t="str">
        <f ca="1">$B$28 &amp; "-" &amp; $B$41</f>
        <v>2006-2019</v>
      </c>
      <c r="J31" s="495">
        <f ca="1">COUNT($C$28:$C$41)</f>
        <v>14</v>
      </c>
      <c r="K31" s="525">
        <f ca="1">MIN($C$28:$C$41)</f>
        <v>812439.5</v>
      </c>
      <c r="L31" s="525">
        <f ca="1">AVERAGE($C$28:$C$41)</f>
        <v>3161116.6071428573</v>
      </c>
      <c r="M31" s="525">
        <f ca="1">MAX($C$28:$C$41)</f>
        <v>7488306</v>
      </c>
      <c r="N31" s="481">
        <f ca="1">_xlfn.STDEV.S($C$28:$C$41)</f>
        <v>2195471.4741170867</v>
      </c>
      <c r="O31" s="495">
        <f ca="1">COUNT($D$28:$D$41)</f>
        <v>14</v>
      </c>
      <c r="P31" s="526">
        <f ca="1">MIN($D$28:$D$41)</f>
        <v>14973.954785909016</v>
      </c>
      <c r="Q31" s="525">
        <f ca="1">AVERAGE($D$28:$D$41)</f>
        <v>167153.12245523441</v>
      </c>
      <c r="R31" s="527">
        <f ca="1">MAX($D$28:$D$41)</f>
        <v>407786.91400662879</v>
      </c>
      <c r="S31" s="481">
        <f ca="1">_xlfn.STDEV.S($D$28:$D$41)</f>
        <v>124064.62644402836</v>
      </c>
      <c r="T31" s="494">
        <f ca="1">COUNT($E$28:$E$41)</f>
        <v>14</v>
      </c>
      <c r="U31" s="529">
        <f ca="1">MIN($E$28:$E$41)</f>
        <v>6.7769373373122877E-3</v>
      </c>
      <c r="V31" s="529">
        <f ca="1">AVERAGE($E$28:$E$41)</f>
        <v>6.361035803008161E-2</v>
      </c>
      <c r="W31" s="529">
        <f ca="1">MAX($E$28:$E$41)</f>
        <v>0.14666776570815485</v>
      </c>
      <c r="X31" s="485">
        <f ca="1">_xlfn.STDEV.S($E$28:$E$41)</f>
        <v>4.1345468688050058E-2</v>
      </c>
      <c r="Y31" s="1694"/>
    </row>
    <row r="32" spans="1:25" ht="15" thickBot="1" x14ac:dyDescent="0.35">
      <c r="A32" t="str">
        <f ca="1">'Smolt to Adult Survival'!A34</f>
        <v>Okanagan - Osoyoos</v>
      </c>
      <c r="B32" s="1694">
        <f ca="1">'Smolt to Adult Survival'!B34</f>
        <v>2010</v>
      </c>
      <c r="C32" s="1696">
        <f t="shared" ca="1" si="0"/>
        <v>7488306</v>
      </c>
      <c r="D32" s="444">
        <f t="shared" ca="1" si="1"/>
        <v>407786.91400662879</v>
      </c>
      <c r="E32" s="479">
        <f t="shared" ca="1" si="2"/>
        <v>5.445649710450251E-2</v>
      </c>
      <c r="F32" s="479">
        <f>'Smolt to Adult Survival'!$N34</f>
        <v>5.0908653571705154E-2</v>
      </c>
      <c r="H32" s="945" t="s">
        <v>430</v>
      </c>
      <c r="I32" s="946"/>
      <c r="J32" s="482"/>
      <c r="K32" s="492">
        <f ca="1">(K31-K30)/K30</f>
        <v>1.8878215495515991</v>
      </c>
      <c r="L32" s="492">
        <f ca="1">(L31-L30)/L30</f>
        <v>1.0380346728040928</v>
      </c>
      <c r="M32" s="492">
        <f ca="1">(M31-M30)/M30</f>
        <v>1.4157828568368409</v>
      </c>
      <c r="N32" s="483"/>
      <c r="O32" s="491"/>
      <c r="P32" s="492">
        <f ca="1">(P31-P30)/P30</f>
        <v>38.084603020917243</v>
      </c>
      <c r="Q32" s="492">
        <f ca="1">(Q31-Q30)/Q30</f>
        <v>3.2499621589905168</v>
      </c>
      <c r="R32" s="492">
        <f ca="1">(R31-R30)/R30</f>
        <v>2.2305273399606071</v>
      </c>
      <c r="S32" s="483"/>
      <c r="T32" s="487"/>
      <c r="U32" s="492">
        <f ca="1">(U31-U30)/U30</f>
        <v>-0.59724052239012348</v>
      </c>
      <c r="V32" s="492">
        <f ca="1">(V31-V30)/V30</f>
        <v>0.75363580675039687</v>
      </c>
      <c r="W32" s="492">
        <f ca="1">(W31-W30)/W30</f>
        <v>1.4035554322857049</v>
      </c>
      <c r="X32" s="483"/>
      <c r="Y32" s="1694"/>
    </row>
    <row r="33" spans="1:25" x14ac:dyDescent="0.3">
      <c r="A33" t="str">
        <f ca="1">'Smolt to Adult Survival'!A35</f>
        <v>Okanagan - Osoyoos</v>
      </c>
      <c r="B33" s="1694">
        <f ca="1">'Smolt to Adult Survival'!B35</f>
        <v>2011</v>
      </c>
      <c r="C33" s="1696">
        <f t="shared" ca="1" si="0"/>
        <v>812439.5</v>
      </c>
      <c r="D33" s="444">
        <f t="shared" ca="1" si="1"/>
        <v>91699.771721635712</v>
      </c>
      <c r="E33" s="479">
        <f t="shared" ca="1" si="2"/>
        <v>0.11286966195222624</v>
      </c>
      <c r="F33" s="479">
        <f>'Smolt to Adult Survival'!$N35</f>
        <v>0.1009832291752924</v>
      </c>
      <c r="H33" s="1695" t="s">
        <v>435</v>
      </c>
      <c r="I33" s="1694"/>
      <c r="J33" s="1694"/>
      <c r="K33" s="1694"/>
      <c r="L33" s="1694"/>
      <c r="M33" s="1694"/>
      <c r="N33" s="1694"/>
      <c r="O33" s="1694"/>
      <c r="P33" s="1694"/>
      <c r="Q33" s="1694"/>
      <c r="R33" s="1694"/>
      <c r="S33" s="1694"/>
      <c r="T33" s="1694"/>
      <c r="U33" s="1694"/>
      <c r="V33" s="1694"/>
      <c r="W33" s="1694"/>
      <c r="X33" s="1694"/>
      <c r="Y33" s="1694"/>
    </row>
    <row r="34" spans="1:25" x14ac:dyDescent="0.3">
      <c r="A34" t="str">
        <f ca="1">'Smolt to Adult Survival'!A36</f>
        <v>Okanagan - Osoyoos</v>
      </c>
      <c r="B34" s="1694">
        <f ca="1">'Smolt to Adult Survival'!B36</f>
        <v>2012</v>
      </c>
      <c r="C34" s="1696">
        <f t="shared" ca="1" si="0"/>
        <v>4435800</v>
      </c>
      <c r="D34" s="444">
        <f t="shared" ca="1" si="1"/>
        <v>380453.87316328625</v>
      </c>
      <c r="E34" s="479">
        <f t="shared" ca="1" si="2"/>
        <v>8.57689420540345E-2</v>
      </c>
      <c r="F34" s="479">
        <f>'Smolt to Adult Survival'!$N36</f>
        <v>7.8080385190453766E-2</v>
      </c>
      <c r="H34" s="1694"/>
      <c r="I34" s="1694"/>
      <c r="J34" s="1694"/>
      <c r="K34" s="1694"/>
      <c r="L34" s="1694"/>
      <c r="M34" s="1694"/>
      <c r="N34" s="1694"/>
      <c r="O34" s="1694"/>
      <c r="P34" s="1694"/>
      <c r="Q34" s="1694"/>
      <c r="R34" s="1694"/>
      <c r="S34" s="1694"/>
      <c r="T34" s="1694"/>
      <c r="U34" s="1694"/>
      <c r="V34" s="1694"/>
      <c r="W34" s="1694"/>
      <c r="X34" s="1694"/>
      <c r="Y34" s="1694"/>
    </row>
    <row r="35" spans="1:25" ht="15" thickBot="1" x14ac:dyDescent="0.35">
      <c r="A35" t="str">
        <f ca="1">'Smolt to Adult Survival'!A37</f>
        <v>Okanagan - Osoyoos</v>
      </c>
      <c r="B35" s="1694">
        <f ca="1">'Smolt to Adult Survival'!B37</f>
        <v>2013</v>
      </c>
      <c r="C35" s="1696">
        <f t="shared" ca="1" si="0"/>
        <v>2603607</v>
      </c>
      <c r="D35" s="444">
        <f t="shared" ca="1" si="1"/>
        <v>202288.35496941817</v>
      </c>
      <c r="E35" s="479">
        <f t="shared" ca="1" si="2"/>
        <v>7.7695425987646435E-2</v>
      </c>
      <c r="F35" s="479">
        <f>'Smolt to Adult Survival'!$N37</f>
        <v>9.5248405954512894E-2</v>
      </c>
      <c r="H35" s="1694" t="s">
        <v>422</v>
      </c>
      <c r="I35" s="1694"/>
      <c r="J35" s="1694"/>
      <c r="K35" s="1694"/>
      <c r="L35" s="1694"/>
      <c r="M35" s="1694"/>
      <c r="N35" s="1694"/>
      <c r="O35" s="1694"/>
      <c r="P35" s="1694"/>
      <c r="Q35" s="1694"/>
      <c r="R35" s="1694"/>
      <c r="S35" s="1694"/>
      <c r="T35" s="1694"/>
      <c r="U35" s="1694"/>
      <c r="V35" s="1694"/>
      <c r="W35" s="1694"/>
      <c r="X35" s="1694"/>
      <c r="Y35" s="1694"/>
    </row>
    <row r="36" spans="1:25" ht="15" thickBot="1" x14ac:dyDescent="0.35">
      <c r="A36" t="str">
        <f ca="1">'Smolt to Adult Survival'!A38</f>
        <v>Okanagan - Osoyoos</v>
      </c>
      <c r="B36" s="1694">
        <f ca="1">'Smolt to Adult Survival'!B38</f>
        <v>2014</v>
      </c>
      <c r="C36" s="1696">
        <f t="shared" ca="1" si="0"/>
        <v>4938991</v>
      </c>
      <c r="D36" s="444">
        <f t="shared" ca="1" si="1"/>
        <v>160981.39925388093</v>
      </c>
      <c r="E36" s="479">
        <f t="shared" ca="1" si="2"/>
        <v>3.2593985138640855E-2</v>
      </c>
      <c r="F36" s="479">
        <f>'Smolt to Adult Survival'!$N38</f>
        <v>3.0218468265459993E-2</v>
      </c>
      <c r="H36" s="2573" t="s">
        <v>432</v>
      </c>
      <c r="I36" s="2574"/>
      <c r="J36" s="2577" t="s">
        <v>53</v>
      </c>
      <c r="K36" s="2578"/>
      <c r="L36" s="2578"/>
      <c r="M36" s="2578"/>
      <c r="N36" s="2579"/>
      <c r="O36" s="2577" t="s">
        <v>55</v>
      </c>
      <c r="P36" s="2578"/>
      <c r="Q36" s="2578"/>
      <c r="R36" s="2578"/>
      <c r="S36" s="2579"/>
      <c r="T36" s="2578" t="s">
        <v>57</v>
      </c>
      <c r="U36" s="2578"/>
      <c r="V36" s="2578"/>
      <c r="W36" s="2578"/>
      <c r="X36" s="2579"/>
      <c r="Y36" s="1694"/>
    </row>
    <row r="37" spans="1:25" x14ac:dyDescent="0.3">
      <c r="A37" t="str">
        <f ca="1">'Smolt to Adult Survival'!A39</f>
        <v>Okanagan - Osoyoos</v>
      </c>
      <c r="B37" s="1694">
        <f ca="1">'Smolt to Adult Survival'!B39</f>
        <v>2015</v>
      </c>
      <c r="C37" s="1696">
        <f t="shared" ca="1" si="0"/>
        <v>2209546</v>
      </c>
      <c r="D37" s="444">
        <f t="shared" ca="1" si="1"/>
        <v>14973.954785909016</v>
      </c>
      <c r="E37" s="479">
        <f t="shared" ca="1" si="2"/>
        <v>6.7769373373122877E-3</v>
      </c>
      <c r="F37" s="479">
        <f>'Smolt to Adult Survival'!$N39</f>
        <v>4.8105785401754333E-3</v>
      </c>
      <c r="H37" s="2575"/>
      <c r="I37" s="2576"/>
      <c r="J37" s="488" t="s">
        <v>423</v>
      </c>
      <c r="K37" s="480" t="s">
        <v>424</v>
      </c>
      <c r="L37" s="489" t="s">
        <v>425</v>
      </c>
      <c r="M37" s="493" t="s">
        <v>426</v>
      </c>
      <c r="N37" s="490" t="s">
        <v>427</v>
      </c>
      <c r="O37" s="488" t="s">
        <v>423</v>
      </c>
      <c r="P37" s="480" t="s">
        <v>424</v>
      </c>
      <c r="Q37" s="489" t="s">
        <v>425</v>
      </c>
      <c r="R37" s="493" t="s">
        <v>426</v>
      </c>
      <c r="S37" s="490" t="s">
        <v>427</v>
      </c>
      <c r="T37" s="480" t="s">
        <v>423</v>
      </c>
      <c r="U37" s="480" t="s">
        <v>424</v>
      </c>
      <c r="V37" s="489" t="s">
        <v>425</v>
      </c>
      <c r="W37" s="493" t="s">
        <v>426</v>
      </c>
      <c r="X37" s="490" t="s">
        <v>427</v>
      </c>
      <c r="Y37" s="1694"/>
    </row>
    <row r="38" spans="1:25" x14ac:dyDescent="0.3">
      <c r="A38" t="str">
        <f ca="1">'Smolt to Adult Survival'!A40</f>
        <v>Okanagan - Osoyoos</v>
      </c>
      <c r="B38" s="1694">
        <f ca="1">'Smolt to Adult Survival'!B40</f>
        <v>2016</v>
      </c>
      <c r="C38" s="1696">
        <f t="shared" ca="1" si="0"/>
        <v>7383151</v>
      </c>
      <c r="D38" s="444">
        <f t="shared" ca="1" si="1"/>
        <v>87673.05484735471</v>
      </c>
      <c r="E38" s="479">
        <f t="shared" ca="1" si="2"/>
        <v>1.1874747631106923E-2</v>
      </c>
      <c r="F38" s="479">
        <f>'Smolt to Adult Survival'!$N40</f>
        <v>1.206128491074215E-2</v>
      </c>
      <c r="H38" s="484" t="s">
        <v>428</v>
      </c>
      <c r="I38" s="986" t="str">
        <f ca="1">$B$20 &amp; "-" &amp; $B$27</f>
        <v>1998-2005</v>
      </c>
      <c r="J38" s="1060">
        <f ca="1">COUNT($C$20:$C$27)</f>
        <v>8</v>
      </c>
      <c r="K38" s="522">
        <f ca="1">MIN($C$20:$C$27)</f>
        <v>281333</v>
      </c>
      <c r="L38" s="522">
        <f ca="1">AVERAGE($C$20:$C$27)</f>
        <v>1551061.25</v>
      </c>
      <c r="M38" s="522">
        <f ca="1">MAX($C$20:$C$27)</f>
        <v>3099743</v>
      </c>
      <c r="N38" s="481">
        <f ca="1">_xlfn.STDEV.S($C$20:$C$27)</f>
        <v>1057586.560349925</v>
      </c>
      <c r="O38" s="1060">
        <f ca="1">COUNT($D$20:$D$27)</f>
        <v>8</v>
      </c>
      <c r="P38" s="523">
        <f ca="1">MIN($D$20:$D$27)</f>
        <v>12380.849252940803</v>
      </c>
      <c r="Q38" s="522">
        <f ca="1">AVERAGE($D$20:$D$27)</f>
        <v>50291.980886006531</v>
      </c>
      <c r="R38" s="524">
        <f ca="1">MAX($D$20:$D$27)</f>
        <v>92990.339670113375</v>
      </c>
      <c r="S38" s="481">
        <f ca="1">_xlfn.STDEV.S($D$20:$D$27)</f>
        <v>32388.174643720635</v>
      </c>
      <c r="T38" s="1060">
        <f ca="1">COUNT($E$20:$E$27)</f>
        <v>8</v>
      </c>
      <c r="U38" s="528">
        <f ca="1">MIN($E$20:$E$27)</f>
        <v>1.6826264095705794E-2</v>
      </c>
      <c r="V38" s="528">
        <f ca="1">AVERAGE($E$20:$E$27)</f>
        <v>3.6273414231861409E-2</v>
      </c>
      <c r="W38" s="528">
        <f ca="1">MAX($E$20:$E$27)</f>
        <v>6.10211704452676E-2</v>
      </c>
      <c r="X38" s="485">
        <f ca="1">_xlfn.STDEV.S($E$20:$E$27)</f>
        <v>1.5771005001138962E-2</v>
      </c>
      <c r="Y38" s="1694"/>
    </row>
    <row r="39" spans="1:25" x14ac:dyDescent="0.3">
      <c r="A39" t="str">
        <f ca="1">'Smolt to Adult Survival'!A41</f>
        <v>Okanagan - Osoyoos</v>
      </c>
      <c r="B39" s="1694">
        <f ca="1">'Smolt to Adult Survival'!B41</f>
        <v>2017</v>
      </c>
      <c r="C39" s="1696">
        <f t="shared" ca="1" si="0"/>
        <v>1885712</v>
      </c>
      <c r="D39" s="444">
        <f t="shared" ca="1" si="1"/>
        <v>18276.319408122064</v>
      </c>
      <c r="E39" s="479">
        <f t="shared" ca="1" si="2"/>
        <v>9.6919993127911712E-3</v>
      </c>
      <c r="F39" s="479">
        <f>'Smolt to Adult Survival'!$N41</f>
        <v>7.1579256306389602E-3</v>
      </c>
      <c r="H39" s="486" t="s">
        <v>429</v>
      </c>
      <c r="I39" s="987" t="str">
        <f ca="1">$B$28 &amp; "-" &amp; $B$41</f>
        <v>2006-2019</v>
      </c>
      <c r="J39" s="495">
        <f ca="1">COUNT($C$28:$C$41)</f>
        <v>14</v>
      </c>
      <c r="K39" s="525">
        <f ca="1">MIN($C$28:$C$41)</f>
        <v>812439.5</v>
      </c>
      <c r="L39" s="525">
        <f ca="1">AVERAGE($C$28:$C$41)</f>
        <v>3161116.6071428573</v>
      </c>
      <c r="M39" s="525">
        <f ca="1">MAX($C$28:$C$41)</f>
        <v>7488306</v>
      </c>
      <c r="N39" s="481">
        <f ca="1">_xlfn.STDEV.S($C$28:$C$41)</f>
        <v>2195471.4741170867</v>
      </c>
      <c r="O39" s="495">
        <f ca="1">COUNT($D$28:$D$41)</f>
        <v>14</v>
      </c>
      <c r="P39" s="526">
        <f ca="1">MIN($D$28:$D$41)</f>
        <v>14973.954785909016</v>
      </c>
      <c r="Q39" s="525">
        <f ca="1">AVERAGE($D$28:$D$41)</f>
        <v>167153.12245523441</v>
      </c>
      <c r="R39" s="527">
        <f ca="1">MAX($D$28:$D$41)</f>
        <v>407786.91400662879</v>
      </c>
      <c r="S39" s="481">
        <f ca="1">_xlfn.STDEV.S($D$28:$D$41)</f>
        <v>124064.62644402836</v>
      </c>
      <c r="T39" s="494">
        <f ca="1">COUNT($E$28:$E$41)</f>
        <v>14</v>
      </c>
      <c r="U39" s="529">
        <f ca="1">MIN($E$28:$E$41)</f>
        <v>6.7769373373122877E-3</v>
      </c>
      <c r="V39" s="529">
        <f ca="1">AVERAGE($E$28:$E$41)</f>
        <v>6.361035803008161E-2</v>
      </c>
      <c r="W39" s="529">
        <f ca="1">MAX($E$28:$E$41)</f>
        <v>0.14666776570815485</v>
      </c>
      <c r="X39" s="485">
        <f ca="1">_xlfn.STDEV.S($E$28:$E$41)</f>
        <v>4.1345468688050058E-2</v>
      </c>
      <c r="Y39" s="1694"/>
    </row>
    <row r="40" spans="1:25" ht="15" thickBot="1" x14ac:dyDescent="0.35">
      <c r="A40" t="str">
        <f ca="1">'Smolt to Adult Survival'!A42</f>
        <v>Okanagan - Osoyoos</v>
      </c>
      <c r="B40" s="1694">
        <f ca="1">'Smolt to Adult Survival'!B42</f>
        <v>2018</v>
      </c>
      <c r="C40" s="1696">
        <f t="shared" ca="1" si="0"/>
        <v>4122796</v>
      </c>
      <c r="D40" s="444">
        <f t="shared" ca="1" si="1"/>
        <v>168370.40175659824</v>
      </c>
      <c r="E40" s="479">
        <f t="shared" ca="1" si="2"/>
        <v>4.0838887433818756E-2</v>
      </c>
      <c r="F40" s="479">
        <f>'Smolt to Adult Survival'!$N42</f>
        <v>7.7963252451873424E-2</v>
      </c>
      <c r="H40" s="945" t="s">
        <v>430</v>
      </c>
      <c r="I40" s="946"/>
      <c r="J40" s="482"/>
      <c r="K40" s="492">
        <f ca="1">(K39-K38)/K38</f>
        <v>1.8878215495515991</v>
      </c>
      <c r="L40" s="492">
        <f ca="1">(L39-L38)/L38</f>
        <v>1.0380346728040928</v>
      </c>
      <c r="M40" s="492">
        <f ca="1">(M39-M38)/M38</f>
        <v>1.4157828568368409</v>
      </c>
      <c r="N40" s="483"/>
      <c r="O40" s="491"/>
      <c r="P40" s="492">
        <f ca="1">(P39-P38)/P38</f>
        <v>0.20944488378713413</v>
      </c>
      <c r="Q40" s="492">
        <f ca="1">(Q39-Q38)/Q38</f>
        <v>2.3236535827473013</v>
      </c>
      <c r="R40" s="492">
        <f ca="1">(R39-R38)/R38</f>
        <v>3.3852610438166773</v>
      </c>
      <c r="S40" s="483"/>
      <c r="T40" s="487"/>
      <c r="U40" s="492">
        <f ca="1">(U39-U38)/U38</f>
        <v>-0.59724052239012348</v>
      </c>
      <c r="V40" s="492">
        <f ca="1">(V39-V38)/V38</f>
        <v>0.75363580675039687</v>
      </c>
      <c r="W40" s="492">
        <f ca="1">(W39-W38)/W38</f>
        <v>1.4035554322857049</v>
      </c>
      <c r="X40" s="483"/>
      <c r="Y40" s="1694"/>
    </row>
    <row r="41" spans="1:25" x14ac:dyDescent="0.3">
      <c r="A41" t="str">
        <f ca="1">'Smolt to Adult Survival'!A43</f>
        <v>Okanagan - Osoyoos</v>
      </c>
      <c r="B41" s="1694">
        <f ca="1">'Smolt to Adult Survival'!B43</f>
        <v>2019</v>
      </c>
      <c r="C41" s="1696">
        <f t="shared" ca="1" si="0"/>
        <v>1556054</v>
      </c>
      <c r="D41" s="444">
        <f t="shared" ca="1" si="1"/>
        <v>92338.575870797882</v>
      </c>
      <c r="E41" s="479">
        <f t="shared" ca="1" si="2"/>
        <v>5.9341498348256479E-2</v>
      </c>
      <c r="F41" s="479">
        <f>'Smolt to Adult Survival'!$N43</f>
        <v>5.2299011063759782E-2</v>
      </c>
      <c r="H41" s="1695" t="s">
        <v>436</v>
      </c>
      <c r="I41" s="1694"/>
      <c r="J41" s="1694"/>
      <c r="K41" s="1694"/>
      <c r="L41" s="1694"/>
      <c r="M41" s="1694"/>
      <c r="N41" s="1694"/>
      <c r="O41" s="1694"/>
      <c r="P41" s="1694"/>
      <c r="Q41" s="1694"/>
      <c r="R41" s="1694"/>
      <c r="S41" s="1694"/>
      <c r="T41" s="1694"/>
      <c r="U41" s="1694"/>
      <c r="V41" s="1694"/>
      <c r="W41" s="1694"/>
      <c r="X41" s="1694"/>
      <c r="Y41" s="1694"/>
    </row>
    <row r="42" spans="1:25" x14ac:dyDescent="0.3">
      <c r="A42" t="str">
        <f ca="1">'Smolt to Adult Survival'!A44</f>
        <v>Okanagan - Osoyoos</v>
      </c>
      <c r="B42">
        <f ca="1">'Smolt to Adult Survival'!B44</f>
        <v>2020</v>
      </c>
      <c r="C42" s="444">
        <f t="shared" ca="1" si="0"/>
        <v>2540161</v>
      </c>
      <c r="D42" s="444">
        <f t="shared" ca="1" si="1"/>
        <v>360322.50489342806</v>
      </c>
      <c r="E42" s="479">
        <f t="shared" ca="1" si="2"/>
        <v>0.14185026259887781</v>
      </c>
      <c r="F42" s="479">
        <f>'Smolt to Adult Survival'!$N44</f>
        <v>0.19379102035998286</v>
      </c>
      <c r="H42" s="1694"/>
      <c r="I42" s="1694"/>
      <c r="J42" s="1694"/>
      <c r="K42" s="1694"/>
      <c r="L42" s="1694"/>
      <c r="M42" s="1694"/>
      <c r="N42" s="1694"/>
      <c r="O42" s="1694"/>
      <c r="P42" s="1694"/>
      <c r="Q42" s="1694"/>
      <c r="R42" s="1694"/>
      <c r="S42" s="1694"/>
      <c r="T42" s="1694"/>
      <c r="U42" s="1694"/>
      <c r="V42" s="1694"/>
      <c r="W42" s="1694"/>
      <c r="X42" s="1694"/>
      <c r="Y42" s="1694"/>
    </row>
    <row r="43" spans="1:25" x14ac:dyDescent="0.3">
      <c r="A43" t="str">
        <f ca="1">'Smolt to Adult Survival'!A45</f>
        <v>Okanagan - Osoyoos</v>
      </c>
      <c r="B43">
        <f ca="1">'Smolt to Adult Survival'!B45</f>
        <v>2021</v>
      </c>
      <c r="C43" s="444">
        <f t="shared" ca="1" si="0"/>
        <v>1464091</v>
      </c>
      <c r="D43" s="444">
        <f t="shared" ca="1" si="1"/>
        <v>110196.18727584067</v>
      </c>
      <c r="E43" s="479">
        <f t="shared" ca="1" si="2"/>
        <v>7.5265941308184175E-2</v>
      </c>
      <c r="F43" s="479"/>
    </row>
    <row r="44" spans="1:25" x14ac:dyDescent="0.3">
      <c r="A44" t="str">
        <f ca="1">'Smolt to Adult Survival'!A46</f>
        <v>Okanagan - Osoyoos</v>
      </c>
      <c r="B44">
        <f ca="1">'Smolt to Adult Survival'!B46</f>
        <v>2022</v>
      </c>
      <c r="C44" s="444">
        <f t="shared" ca="1" si="0"/>
        <v>3673223</v>
      </c>
      <c r="D44" s="444" t="str">
        <f t="shared" ca="1" si="1"/>
        <v/>
      </c>
      <c r="E44" s="479" t="str">
        <f t="shared" ca="1" si="2"/>
        <v/>
      </c>
      <c r="F44" s="479"/>
    </row>
    <row r="45" spans="1:25" x14ac:dyDescent="0.3">
      <c r="A45" t="str">
        <f ca="1">'Smolt to Adult Survival'!A47</f>
        <v>Okanagan - Osoyoos</v>
      </c>
      <c r="B45">
        <f ca="1">'Smolt to Adult Survival'!B47</f>
        <v>2023</v>
      </c>
      <c r="C45" s="444"/>
      <c r="D45" s="444"/>
      <c r="E45" s="479"/>
      <c r="F45" s="479"/>
    </row>
    <row r="46" spans="1:25" x14ac:dyDescent="0.3">
      <c r="A46" t="str">
        <f ca="1">'Smolt to Adult Survival'!A48</f>
        <v/>
      </c>
      <c r="B46" t="str">
        <f ca="1">'Smolt to Adult Survival'!B48</f>
        <v/>
      </c>
      <c r="C46" s="444"/>
      <c r="D46" s="444"/>
      <c r="H46" s="2572" t="s">
        <v>437</v>
      </c>
      <c r="I46" s="2572"/>
      <c r="J46" s="2572"/>
      <c r="K46" s="2572"/>
      <c r="L46" s="2572"/>
      <c r="M46" s="2572"/>
      <c r="N46" s="2572"/>
      <c r="O46" s="2572"/>
      <c r="P46" s="2572"/>
      <c r="Q46" s="2572"/>
      <c r="R46" s="2572"/>
      <c r="S46" s="2572"/>
      <c r="T46" s="2572"/>
      <c r="U46" s="2572"/>
      <c r="V46" s="2572"/>
      <c r="W46" s="2572"/>
      <c r="X46" s="2572"/>
      <c r="Y46" s="2572"/>
    </row>
    <row r="47" spans="1:25" x14ac:dyDescent="0.3">
      <c r="A47" t="str">
        <f ca="1">'Smolt to Adult Survival'!A49</f>
        <v/>
      </c>
      <c r="B47" t="str">
        <f ca="1">'Smolt to Adult Survival'!B49</f>
        <v/>
      </c>
      <c r="C47" s="444"/>
      <c r="D47" s="444"/>
      <c r="H47" s="1694"/>
      <c r="I47" s="1694"/>
      <c r="J47" s="1694"/>
      <c r="K47" s="1694"/>
      <c r="L47" s="1694"/>
      <c r="M47" s="1694"/>
      <c r="N47" s="1694"/>
      <c r="O47" s="1694"/>
      <c r="P47" s="1694"/>
      <c r="Q47" s="1694"/>
      <c r="R47" s="1694"/>
      <c r="S47" s="1694"/>
      <c r="T47" s="1694"/>
      <c r="U47" s="1694"/>
      <c r="V47" s="1694"/>
      <c r="W47" s="1694"/>
      <c r="X47" s="1694"/>
      <c r="Y47" s="1694"/>
    </row>
    <row r="48" spans="1:25" ht="15" thickBot="1" x14ac:dyDescent="0.35">
      <c r="A48" t="str">
        <f ca="1">'Smolt to Adult Survival'!A50</f>
        <v/>
      </c>
      <c r="B48" t="str">
        <f ca="1">'Smolt to Adult Survival'!B50</f>
        <v/>
      </c>
      <c r="H48" s="1702" t="s">
        <v>435</v>
      </c>
      <c r="I48" s="1694"/>
      <c r="J48" s="1694"/>
      <c r="K48" s="1694"/>
      <c r="L48" s="1694"/>
      <c r="M48" s="1694"/>
      <c r="N48" s="1694"/>
      <c r="O48" s="1694"/>
      <c r="P48" s="1694"/>
      <c r="Q48" s="1694"/>
      <c r="R48" s="1694"/>
      <c r="S48" s="1694"/>
      <c r="T48" s="1694"/>
      <c r="U48" s="1694"/>
      <c r="V48" s="1694"/>
      <c r="W48" s="1694"/>
      <c r="X48" s="1694"/>
      <c r="Y48" s="1694"/>
    </row>
    <row r="49" spans="1:25" ht="15" thickBot="1" x14ac:dyDescent="0.35">
      <c r="A49" t="str">
        <f ca="1">'Smolt to Adult Survival'!A51</f>
        <v/>
      </c>
      <c r="B49" t="str">
        <f ca="1">'Smolt to Adult Survival'!B51</f>
        <v/>
      </c>
      <c r="H49" s="2573" t="s">
        <v>432</v>
      </c>
      <c r="I49" s="2574"/>
      <c r="J49" s="2577" t="s">
        <v>53</v>
      </c>
      <c r="K49" s="2578"/>
      <c r="L49" s="2578"/>
      <c r="M49" s="2578"/>
      <c r="N49" s="2579"/>
      <c r="O49" s="2577" t="s">
        <v>55</v>
      </c>
      <c r="P49" s="2578"/>
      <c r="Q49" s="2578"/>
      <c r="R49" s="2578"/>
      <c r="S49" s="2579"/>
      <c r="T49" s="2578" t="s">
        <v>57</v>
      </c>
      <c r="U49" s="2578"/>
      <c r="V49" s="2578"/>
      <c r="W49" s="2578"/>
      <c r="X49" s="2579"/>
      <c r="Y49" s="1694"/>
    </row>
    <row r="50" spans="1:25" x14ac:dyDescent="0.3">
      <c r="H50" s="2575"/>
      <c r="I50" s="2576"/>
      <c r="J50" s="488" t="s">
        <v>423</v>
      </c>
      <c r="K50" s="480" t="s">
        <v>424</v>
      </c>
      <c r="L50" s="489" t="s">
        <v>425</v>
      </c>
      <c r="M50" s="493" t="s">
        <v>426</v>
      </c>
      <c r="N50" s="490" t="s">
        <v>427</v>
      </c>
      <c r="O50" s="488" t="s">
        <v>423</v>
      </c>
      <c r="P50" s="480" t="s">
        <v>424</v>
      </c>
      <c r="Q50" s="489" t="s">
        <v>425</v>
      </c>
      <c r="R50" s="493" t="s">
        <v>426</v>
      </c>
      <c r="S50" s="490" t="s">
        <v>427</v>
      </c>
      <c r="T50" s="480" t="s">
        <v>423</v>
      </c>
      <c r="U50" s="480" t="s">
        <v>424</v>
      </c>
      <c r="V50" s="489" t="s">
        <v>425</v>
      </c>
      <c r="W50" s="493" t="s">
        <v>426</v>
      </c>
      <c r="X50" s="490" t="s">
        <v>427</v>
      </c>
      <c r="Y50" s="1694"/>
    </row>
    <row r="51" spans="1:25" x14ac:dyDescent="0.3">
      <c r="H51" s="484" t="s">
        <v>428</v>
      </c>
      <c r="I51" s="986" t="str">
        <f ca="1">$B$7 &amp; "-" &amp; $B$22</f>
        <v>1985-2000</v>
      </c>
      <c r="J51" s="495">
        <f ca="1">COUNT($C$7:$C$22)</f>
        <v>3</v>
      </c>
      <c r="K51" s="522">
        <f ca="1">MIN($C$7:$C$22)</f>
        <v>281333</v>
      </c>
      <c r="L51" s="522">
        <f ca="1">AVERAGE($C$7:$C$22)</f>
        <v>1530081</v>
      </c>
      <c r="M51" s="522">
        <f ca="1">MAX($C$7:$C$22)</f>
        <v>3099743</v>
      </c>
      <c r="N51" s="481">
        <f ca="1">_xlfn.STDEV.S($C$7:$C$22)</f>
        <v>1436348.8707733925</v>
      </c>
      <c r="O51" s="495">
        <f ca="1">COUNT($D$7:$D$22)</f>
        <v>12</v>
      </c>
      <c r="P51" s="523">
        <f ca="1">MIN($D$7:$D$22)</f>
        <v>383.11646092184372</v>
      </c>
      <c r="Q51" s="522">
        <f ca="1">AVERAGE($D$7:$D$22)</f>
        <v>36967.169771718531</v>
      </c>
      <c r="R51" s="524">
        <f ca="1">MAX($D$7:$D$22)</f>
        <v>126229.20999999999</v>
      </c>
      <c r="S51" s="481">
        <f ca="1">_xlfn.STDEV.S($D$7:$D$22)</f>
        <v>40350.693408962921</v>
      </c>
      <c r="T51" s="494">
        <f ca="1">COUNT($E$7:$E$22)</f>
        <v>3</v>
      </c>
      <c r="U51" s="528">
        <f ca="1">MIN($E$7:$E$22)</f>
        <v>2.9999370809164944E-2</v>
      </c>
      <c r="V51" s="528">
        <f ca="1">AVERAGE($E$7:$E$22)</f>
        <v>4.8855911410350249E-2</v>
      </c>
      <c r="W51" s="528">
        <f ca="1">MAX($E$7:$E$22)</f>
        <v>6.10211704452676E-2</v>
      </c>
      <c r="X51" s="485">
        <f ca="1">_xlfn.STDEV.S($E$7:$E$22)</f>
        <v>1.6558017692795583E-2</v>
      </c>
      <c r="Y51" s="1694"/>
    </row>
    <row r="52" spans="1:25" x14ac:dyDescent="0.3">
      <c r="H52" s="1699" t="s">
        <v>438</v>
      </c>
      <c r="I52" s="1700" t="str">
        <f ca="1">$B$23 &amp; "-" &amp; $B$27</f>
        <v>2001-2005</v>
      </c>
      <c r="J52" s="495">
        <f ca="1">COUNT($C$23:$C$27)</f>
        <v>5</v>
      </c>
      <c r="K52" s="847">
        <f ca="1">MIN($C$23:$C$27)</f>
        <v>627855</v>
      </c>
      <c r="L52" s="847">
        <f ca="1">AVERAGE($C$23:$C$27)</f>
        <v>1563649.4</v>
      </c>
      <c r="M52" s="847">
        <f ca="1">MAX($C$23:$C$27)</f>
        <v>2927009</v>
      </c>
      <c r="N52" s="481">
        <f ca="1">_xlfn.STDEV.S($C$23:$C$27)</f>
        <v>961914.28295524325</v>
      </c>
      <c r="O52" s="495">
        <f ca="1">COUNT($D$23:$D$27)</f>
        <v>5</v>
      </c>
      <c r="P52" s="847">
        <f ca="1">MIN($D$23:$D$27)</f>
        <v>12380.849252940803</v>
      </c>
      <c r="Q52" s="847">
        <f ca="1">AVERAGE($D$23:$D$27)</f>
        <v>45002.481156620379</v>
      </c>
      <c r="R52" s="847">
        <f ca="1">MAX($D$23:$D$27)</f>
        <v>91108.416660124509</v>
      </c>
      <c r="S52" s="481">
        <f ca="1">_xlfn.STDEV.S($D$23:$D$27)</f>
        <v>31614.631508165661</v>
      </c>
      <c r="T52" s="495">
        <f ca="1">COUNT($E$23:$E$27)</f>
        <v>5</v>
      </c>
      <c r="U52" s="1701">
        <f ca="1">MIN($E$23:$E$27)</f>
        <v>1.6826264095705794E-2</v>
      </c>
      <c r="V52" s="1701">
        <f ca="1">AVERAGE($E$23:$E$27)</f>
        <v>2.8723915924768102E-2</v>
      </c>
      <c r="W52" s="1701">
        <f ca="1">MAX($E$23:$E$27)</f>
        <v>4.3960006675285143E-2</v>
      </c>
      <c r="X52" s="485">
        <f ca="1">_xlfn.STDEV.S($E$23:$E$27)</f>
        <v>1.0401970512933203E-2</v>
      </c>
      <c r="Y52" s="1694"/>
    </row>
    <row r="53" spans="1:25" x14ac:dyDescent="0.3">
      <c r="H53" s="486" t="s">
        <v>439</v>
      </c>
      <c r="I53" s="987" t="str">
        <f ca="1">$B$28 &amp; "-" &amp; $B$41</f>
        <v>2006-2019</v>
      </c>
      <c r="J53" s="495">
        <f ca="1">COUNT($C$28:$C$41)</f>
        <v>14</v>
      </c>
      <c r="K53" s="525">
        <f ca="1">MIN($C$28:$C$41)</f>
        <v>812439.5</v>
      </c>
      <c r="L53" s="525">
        <f ca="1">AVERAGE($C$28:$C$41)</f>
        <v>3161116.6071428573</v>
      </c>
      <c r="M53" s="525">
        <f ca="1">MAX($C$28:$C$41)</f>
        <v>7488306</v>
      </c>
      <c r="N53" s="481">
        <f ca="1">_xlfn.STDEV.S($C$28:$C$41)</f>
        <v>2195471.4741170867</v>
      </c>
      <c r="O53" s="495">
        <f ca="1">COUNT($D$28:$D$41)</f>
        <v>14</v>
      </c>
      <c r="P53" s="526">
        <f ca="1">MIN($D$28:$D$41)</f>
        <v>14973.954785909016</v>
      </c>
      <c r="Q53" s="525">
        <f ca="1">AVERAGE($D$28:$D$41)</f>
        <v>167153.12245523441</v>
      </c>
      <c r="R53" s="527">
        <f ca="1">MAX($D$28:$D$41)</f>
        <v>407786.91400662879</v>
      </c>
      <c r="S53" s="481">
        <f ca="1">_xlfn.STDEV.S($D$28:$D$41)</f>
        <v>124064.62644402836</v>
      </c>
      <c r="T53" s="494">
        <f ca="1">COUNT($E$28:$E$41)</f>
        <v>14</v>
      </c>
      <c r="U53" s="529">
        <f ca="1">MIN($E$28:$E$41)</f>
        <v>6.7769373373122877E-3</v>
      </c>
      <c r="V53" s="529">
        <f ca="1">AVERAGE($E$28:$E$41)</f>
        <v>6.361035803008161E-2</v>
      </c>
      <c r="W53" s="529">
        <f ca="1">MAX($E$28:$E$41)</f>
        <v>0.14666776570815485</v>
      </c>
      <c r="X53" s="485">
        <f ca="1">_xlfn.STDEV.S($E$28:$E$41)</f>
        <v>4.1345468688050058E-2</v>
      </c>
      <c r="Y53" s="1694"/>
    </row>
    <row r="54" spans="1:25" ht="15" thickBot="1" x14ac:dyDescent="0.35">
      <c r="H54" s="945" t="s">
        <v>440</v>
      </c>
      <c r="I54" s="946"/>
      <c r="J54" s="482"/>
      <c r="K54" s="492">
        <f ca="1">(K53-K51)/K51</f>
        <v>1.8878215495515991</v>
      </c>
      <c r="L54" s="492">
        <f ca="1">(L53-L51)/L51</f>
        <v>1.0659799103072696</v>
      </c>
      <c r="M54" s="492">
        <f ca="1">(M53-M51)/M51</f>
        <v>1.4157828568368409</v>
      </c>
      <c r="N54" s="483"/>
      <c r="O54" s="491"/>
      <c r="P54" s="492">
        <f ca="1">(P53-P51)/P51</f>
        <v>38.084603020917243</v>
      </c>
      <c r="Q54" s="492">
        <f ca="1">(Q53-Q51)/Q51</f>
        <v>3.5216640464348914</v>
      </c>
      <c r="R54" s="492">
        <f ca="1">(R53-R51)/R51</f>
        <v>2.2305273399606071</v>
      </c>
      <c r="S54" s="483"/>
      <c r="T54" s="487"/>
      <c r="U54" s="492">
        <f ca="1">(U53-U51)/U51</f>
        <v>-0.77409735089370924</v>
      </c>
      <c r="V54" s="492">
        <f ca="1">(V53-V51)/V51</f>
        <v>0.30199920938545</v>
      </c>
      <c r="W54" s="492">
        <f ca="1">(W53-W51)/W51</f>
        <v>1.4035554322857049</v>
      </c>
      <c r="X54" s="483"/>
      <c r="Y54" s="1694"/>
    </row>
    <row r="55" spans="1:25" x14ac:dyDescent="0.3">
      <c r="H55" s="1695"/>
      <c r="I55" s="1694"/>
      <c r="J55" s="1694"/>
      <c r="K55" s="1694"/>
      <c r="L55" s="1694"/>
      <c r="M55" s="1694"/>
      <c r="N55" s="1694"/>
      <c r="O55" s="1694"/>
      <c r="P55" s="1694"/>
      <c r="Q55" s="1694"/>
      <c r="R55" s="1694"/>
      <c r="S55" s="1694"/>
      <c r="T55" s="1694"/>
      <c r="U55" s="1694"/>
      <c r="V55" s="1694"/>
      <c r="W55" s="1694"/>
      <c r="X55" s="1694"/>
      <c r="Y55" s="1694"/>
    </row>
    <row r="56" spans="1:25" x14ac:dyDescent="0.3">
      <c r="H56" s="1694"/>
      <c r="I56" s="1694"/>
      <c r="J56" s="1694"/>
      <c r="K56" s="1694"/>
      <c r="L56" s="1694"/>
      <c r="M56" s="1694"/>
      <c r="N56" s="1694"/>
      <c r="O56" s="1694"/>
      <c r="P56" s="1694"/>
      <c r="Q56" s="1694"/>
      <c r="R56" s="1694"/>
      <c r="S56" s="1694"/>
      <c r="T56" s="1694"/>
      <c r="U56" s="1694"/>
      <c r="V56" s="1694"/>
      <c r="W56" s="1694"/>
      <c r="X56" s="1694"/>
      <c r="Y56" s="1694"/>
    </row>
    <row r="57" spans="1:25" ht="15" thickBot="1" x14ac:dyDescent="0.35">
      <c r="H57" s="1702" t="s">
        <v>441</v>
      </c>
      <c r="I57" s="1694"/>
      <c r="J57" s="1694"/>
      <c r="K57" s="1694"/>
      <c r="L57" s="1694"/>
      <c r="M57" s="1694"/>
      <c r="N57" s="1694"/>
      <c r="O57" s="1694"/>
      <c r="P57" s="1694"/>
      <c r="Q57" s="1694"/>
      <c r="R57" s="1694"/>
      <c r="S57" s="1694"/>
      <c r="T57" s="1694"/>
      <c r="U57" s="1694"/>
      <c r="V57" s="1694"/>
      <c r="W57" s="1694"/>
      <c r="X57" s="1694"/>
      <c r="Y57" s="1694"/>
    </row>
    <row r="58" spans="1:25" ht="15" thickBot="1" x14ac:dyDescent="0.35">
      <c r="H58" s="2573" t="s">
        <v>432</v>
      </c>
      <c r="I58" s="2574"/>
      <c r="J58" s="2577" t="s">
        <v>53</v>
      </c>
      <c r="K58" s="2578"/>
      <c r="L58" s="2578"/>
      <c r="M58" s="2578"/>
      <c r="N58" s="2579"/>
      <c r="O58" s="2577" t="s">
        <v>55</v>
      </c>
      <c r="P58" s="2578"/>
      <c r="Q58" s="2578"/>
      <c r="R58" s="2578"/>
      <c r="S58" s="2579"/>
      <c r="T58" s="2578" t="s">
        <v>57</v>
      </c>
      <c r="U58" s="2578"/>
      <c r="V58" s="2578"/>
      <c r="W58" s="2578"/>
      <c r="X58" s="2579"/>
      <c r="Y58" s="1694"/>
    </row>
    <row r="59" spans="1:25" x14ac:dyDescent="0.3">
      <c r="H59" s="2575"/>
      <c r="I59" s="2576"/>
      <c r="J59" s="488" t="s">
        <v>423</v>
      </c>
      <c r="K59" s="480" t="s">
        <v>424</v>
      </c>
      <c r="L59" s="489" t="s">
        <v>425</v>
      </c>
      <c r="M59" s="493" t="s">
        <v>426</v>
      </c>
      <c r="N59" s="490" t="s">
        <v>427</v>
      </c>
      <c r="O59" s="488" t="s">
        <v>423</v>
      </c>
      <c r="P59" s="480" t="s">
        <v>424</v>
      </c>
      <c r="Q59" s="489" t="s">
        <v>425</v>
      </c>
      <c r="R59" s="493" t="s">
        <v>426</v>
      </c>
      <c r="S59" s="490" t="s">
        <v>427</v>
      </c>
      <c r="T59" s="480" t="s">
        <v>423</v>
      </c>
      <c r="U59" s="480" t="s">
        <v>424</v>
      </c>
      <c r="V59" s="489" t="s">
        <v>425</v>
      </c>
      <c r="W59" s="493" t="s">
        <v>426</v>
      </c>
      <c r="X59" s="490" t="s">
        <v>427</v>
      </c>
      <c r="Y59" s="1694"/>
    </row>
    <row r="60" spans="1:25" x14ac:dyDescent="0.3">
      <c r="H60" s="484" t="s">
        <v>428</v>
      </c>
      <c r="I60" s="986" t="str">
        <f ca="1">$B$20 &amp; "-" &amp; $B$22</f>
        <v>1998-2000</v>
      </c>
      <c r="J60" s="1060">
        <f ca="1">COUNT($C$20:$C$22)</f>
        <v>3</v>
      </c>
      <c r="K60" s="522">
        <f ca="1">MIN($C$20:$C$22)</f>
        <v>281333</v>
      </c>
      <c r="L60" s="522">
        <f ca="1">AVERAGE($C$20:$C$22)</f>
        <v>1530081</v>
      </c>
      <c r="M60" s="522">
        <f ca="1">MAX($C$20:$C$22)</f>
        <v>3099743</v>
      </c>
      <c r="N60" s="481">
        <f ca="1">_xlfn.STDEV.S($C$20:$C$27)</f>
        <v>1057586.560349925</v>
      </c>
      <c r="O60" s="1060">
        <f ca="1">COUNT($D$20:$D$22)</f>
        <v>3</v>
      </c>
      <c r="P60" s="523">
        <f ca="1">MIN($D$20:$D$22)</f>
        <v>17167.268944878469</v>
      </c>
      <c r="Q60" s="522">
        <f ca="1">AVERAGE($D$20:$D$22)</f>
        <v>59107.813768316781</v>
      </c>
      <c r="R60" s="524">
        <f ca="1">MAX($D$20:$D$22)</f>
        <v>92990.339670113375</v>
      </c>
      <c r="S60" s="481">
        <f ca="1">_xlfn.STDEV.S($D$20:$D$22)</f>
        <v>38548.453474259441</v>
      </c>
      <c r="T60" s="1060">
        <f ca="1">COUNT($E$20:$E$22)</f>
        <v>3</v>
      </c>
      <c r="U60" s="528">
        <f ca="1">MIN($E$20:$E$22)</f>
        <v>2.9999370809164944E-2</v>
      </c>
      <c r="V60" s="528">
        <f ca="1">AVERAGE($E$20:$E$22)</f>
        <v>4.8855911410350249E-2</v>
      </c>
      <c r="W60" s="528">
        <f ca="1">MAX($E$20:$E$22)</f>
        <v>6.10211704452676E-2</v>
      </c>
      <c r="X60" s="485">
        <f ca="1">_xlfn.STDEV.S($E$20:$E$22)</f>
        <v>1.6558017692795583E-2</v>
      </c>
      <c r="Y60" s="1694"/>
    </row>
    <row r="61" spans="1:25" x14ac:dyDescent="0.3">
      <c r="H61" s="1699" t="s">
        <v>438</v>
      </c>
      <c r="I61" s="1700" t="str">
        <f ca="1">$B$23 &amp; "-" &amp; $B$27</f>
        <v>2001-2005</v>
      </c>
      <c r="J61" s="495">
        <f ca="1">COUNT($C$23:$C$27)</f>
        <v>5</v>
      </c>
      <c r="K61" s="847">
        <f ca="1">MIN($C$23:$C$27)</f>
        <v>627855</v>
      </c>
      <c r="L61" s="847">
        <f ca="1">AVERAGE($C$23:$C$27)</f>
        <v>1563649.4</v>
      </c>
      <c r="M61" s="847">
        <f ca="1">MAX($C$23:$C$27)</f>
        <v>2927009</v>
      </c>
      <c r="N61" s="481">
        <f ca="1">_xlfn.STDEV.S($C$23:$C$27)</f>
        <v>961914.28295524325</v>
      </c>
      <c r="O61" s="495">
        <f ca="1">COUNT($D$23:$D$27)</f>
        <v>5</v>
      </c>
      <c r="P61" s="847">
        <f ca="1">MIN($D$23:$D$27)</f>
        <v>12380.849252940803</v>
      </c>
      <c r="Q61" s="847">
        <f ca="1">AVERAGE($D$23:$D$27)</f>
        <v>45002.481156620379</v>
      </c>
      <c r="R61" s="847">
        <f ca="1">MAX($D$23:$D$27)</f>
        <v>91108.416660124509</v>
      </c>
      <c r="S61" s="481">
        <f ca="1">_xlfn.STDEV.S($D$23:$D$27)</f>
        <v>31614.631508165661</v>
      </c>
      <c r="T61" s="495">
        <f ca="1">COUNT($E$23:$E$27)</f>
        <v>5</v>
      </c>
      <c r="U61" s="1701">
        <f ca="1">MIN($E$23:$E$27)</f>
        <v>1.6826264095705794E-2</v>
      </c>
      <c r="V61" s="1701">
        <f ca="1">AVERAGE($E$23:$E$27)</f>
        <v>2.8723915924768102E-2</v>
      </c>
      <c r="W61" s="1701">
        <f ca="1">MAX($E$23:$E$27)</f>
        <v>4.3960006675285143E-2</v>
      </c>
      <c r="X61" s="485">
        <f ca="1">_xlfn.STDEV.S($E$23:$E$27)</f>
        <v>1.0401970512933203E-2</v>
      </c>
      <c r="Y61" s="1694"/>
    </row>
    <row r="62" spans="1:25" x14ac:dyDescent="0.3">
      <c r="H62" s="486" t="s">
        <v>429</v>
      </c>
      <c r="I62" s="987" t="str">
        <f ca="1">$B$28 &amp; "-" &amp; $B$41</f>
        <v>2006-2019</v>
      </c>
      <c r="J62" s="495">
        <f ca="1">COUNT($C$28:$C$41)</f>
        <v>14</v>
      </c>
      <c r="K62" s="525">
        <f ca="1">MIN($C$28:$C$41)</f>
        <v>812439.5</v>
      </c>
      <c r="L62" s="525">
        <f ca="1">AVERAGE($C$28:$C$41)</f>
        <v>3161116.6071428573</v>
      </c>
      <c r="M62" s="525">
        <f ca="1">MAX($C$28:$C$41)</f>
        <v>7488306</v>
      </c>
      <c r="N62" s="481">
        <f ca="1">_xlfn.STDEV.S($C$28:$C$41)</f>
        <v>2195471.4741170867</v>
      </c>
      <c r="O62" s="495">
        <f ca="1">COUNT($D$28:$D$41)</f>
        <v>14</v>
      </c>
      <c r="P62" s="526">
        <f ca="1">MIN($D$28:$D$41)</f>
        <v>14973.954785909016</v>
      </c>
      <c r="Q62" s="525">
        <f ca="1">AVERAGE($D$28:$D$41)</f>
        <v>167153.12245523441</v>
      </c>
      <c r="R62" s="527">
        <f ca="1">MAX($D$28:$D$41)</f>
        <v>407786.91400662879</v>
      </c>
      <c r="S62" s="481">
        <f ca="1">_xlfn.STDEV.S($D$28:$D$41)</f>
        <v>124064.62644402836</v>
      </c>
      <c r="T62" s="494">
        <f ca="1">COUNT($E$28:$E$41)</f>
        <v>14</v>
      </c>
      <c r="U62" s="529">
        <f ca="1">MIN($E$28:$E$41)</f>
        <v>6.7769373373122877E-3</v>
      </c>
      <c r="V62" s="529">
        <f ca="1">AVERAGE($E$28:$E$41)</f>
        <v>6.361035803008161E-2</v>
      </c>
      <c r="W62" s="529">
        <f ca="1">MAX($E$28:$E$41)</f>
        <v>0.14666776570815485</v>
      </c>
      <c r="X62" s="485">
        <f ca="1">_xlfn.STDEV.S($E$28:$E$41)</f>
        <v>4.1345468688050058E-2</v>
      </c>
      <c r="Y62" s="1694"/>
    </row>
    <row r="63" spans="1:25" ht="15" thickBot="1" x14ac:dyDescent="0.35">
      <c r="H63" s="945" t="s">
        <v>440</v>
      </c>
      <c r="I63" s="946"/>
      <c r="J63" s="482"/>
      <c r="K63" s="492">
        <f ca="1">(K62-K60)/K60</f>
        <v>1.8878215495515991</v>
      </c>
      <c r="L63" s="492">
        <f ca="1">(L62-L60)/L60</f>
        <v>1.0659799103072696</v>
      </c>
      <c r="M63" s="492">
        <f ca="1">(M62-M60)/M60</f>
        <v>1.4157828568368409</v>
      </c>
      <c r="N63" s="483"/>
      <c r="O63" s="491"/>
      <c r="P63" s="492">
        <f ca="1">(P62-P60)/P60</f>
        <v>-0.12776139093596406</v>
      </c>
      <c r="Q63" s="492">
        <f ca="1">(Q62-Q60)/Q60</f>
        <v>1.827936135659149</v>
      </c>
      <c r="R63" s="492">
        <f ca="1">(R62-R60)/R60</f>
        <v>3.3852610438166773</v>
      </c>
      <c r="S63" s="483"/>
      <c r="T63" s="487"/>
      <c r="U63" s="492">
        <f ca="1">(U62-U60)/U60</f>
        <v>-0.77409735089370924</v>
      </c>
      <c r="V63" s="492">
        <f ca="1">(V62-V60)/V60</f>
        <v>0.30199920938545</v>
      </c>
      <c r="W63" s="492">
        <f ca="1">(W62-W60)/W60</f>
        <v>1.4035554322857049</v>
      </c>
      <c r="X63" s="483"/>
      <c r="Y63" s="1694"/>
    </row>
    <row r="64" spans="1:25" x14ac:dyDescent="0.3">
      <c r="H64" s="1695"/>
      <c r="I64" s="1694"/>
      <c r="J64" s="1694"/>
      <c r="K64" s="1694"/>
      <c r="L64" s="1694"/>
      <c r="M64" s="1694"/>
      <c r="N64" s="1694"/>
      <c r="O64" s="1694"/>
      <c r="P64" s="1694"/>
      <c r="Q64" s="1694"/>
      <c r="R64" s="1694"/>
      <c r="S64" s="1694"/>
      <c r="T64" s="1694"/>
      <c r="U64" s="1694"/>
      <c r="V64" s="1694"/>
      <c r="W64" s="1694"/>
      <c r="X64" s="1694"/>
      <c r="Y64" s="1694"/>
    </row>
    <row r="65" spans="8:25" x14ac:dyDescent="0.3">
      <c r="H65" s="1695" t="s">
        <v>442</v>
      </c>
      <c r="I65" s="1694"/>
      <c r="J65" s="1694"/>
      <c r="K65" s="1694"/>
      <c r="L65" s="1694"/>
      <c r="M65" s="1694"/>
      <c r="N65" s="1694"/>
      <c r="O65" s="1694"/>
      <c r="P65" s="1694"/>
      <c r="Q65" s="1694"/>
      <c r="R65" s="1694"/>
      <c r="S65" s="1694"/>
      <c r="T65" s="1694"/>
      <c r="U65" s="1694"/>
      <c r="V65" s="1694"/>
      <c r="W65" s="1694"/>
      <c r="X65" s="1694"/>
      <c r="Y65" s="1694"/>
    </row>
  </sheetData>
  <autoFilter ref="A1:E49" xr:uid="{210AACC3-1EF7-4439-A1F6-BDB06D082DEA}">
    <filterColumn colId="1">
      <filters blank="1">
        <filter val="1985"/>
        <filter val="1986"/>
        <filter val="1987"/>
        <filter val="1988"/>
        <filter val="1989"/>
        <filter val="1990"/>
        <filter val="1991"/>
        <filter val="1992"/>
        <filter val="1993"/>
        <filter val="1994"/>
        <filter val="1995"/>
        <filter val="1996"/>
        <filter val="1997"/>
        <filter val="1998"/>
        <filter val="1999"/>
        <filter val="2000"/>
        <filter val="2001"/>
        <filter val="2002"/>
        <filter val="2003"/>
        <filter val="2004"/>
        <filter val="2005"/>
        <filter val="2006"/>
        <filter val="2007"/>
        <filter val="2008"/>
        <filter val="2009"/>
        <filter val="2010"/>
        <filter val="2011"/>
        <filter val="2012"/>
        <filter val="2013"/>
        <filter val="2014"/>
        <filter val="2015"/>
        <filter val="2016"/>
        <filter val="2017"/>
        <filter val="2018"/>
        <filter val="2019"/>
        <filter val="2020"/>
        <filter val="2021"/>
        <filter val="2022"/>
      </filters>
    </filterColumn>
  </autoFilter>
  <mergeCells count="26">
    <mergeCell ref="H58:I59"/>
    <mergeCell ref="J58:N58"/>
    <mergeCell ref="O58:S58"/>
    <mergeCell ref="T58:X58"/>
    <mergeCell ref="H46:Y46"/>
    <mergeCell ref="H49:I50"/>
    <mergeCell ref="J49:N49"/>
    <mergeCell ref="O49:S49"/>
    <mergeCell ref="T49:X49"/>
    <mergeCell ref="H15:I16"/>
    <mergeCell ref="J15:N15"/>
    <mergeCell ref="O15:S15"/>
    <mergeCell ref="T15:X15"/>
    <mergeCell ref="H7:I8"/>
    <mergeCell ref="J7:N7"/>
    <mergeCell ref="O7:S7"/>
    <mergeCell ref="T7:X7"/>
    <mergeCell ref="H25:Y25"/>
    <mergeCell ref="H36:I37"/>
    <mergeCell ref="J36:N36"/>
    <mergeCell ref="O36:S36"/>
    <mergeCell ref="T36:X36"/>
    <mergeCell ref="H28:I29"/>
    <mergeCell ref="J28:N28"/>
    <mergeCell ref="O28:S28"/>
    <mergeCell ref="T28:X28"/>
  </mergeCells>
  <phoneticPr fontId="58" type="noConversion"/>
  <conditionalFormatting sqref="E7:F4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F5AF8-9E8B-466D-9FC7-16B35DFEAD81}">
  <sheetPr codeName="Sheet18">
    <tabColor rgb="FFFF0000"/>
  </sheetPr>
  <dimension ref="A1:V48"/>
  <sheetViews>
    <sheetView workbookViewId="0">
      <pane xSplit="1" ySplit="1" topLeftCell="K2" activePane="bottomRight" state="frozen"/>
      <selection pane="topRight" activeCell="C15" sqref="C15"/>
      <selection pane="bottomLeft" activeCell="C15" sqref="C15"/>
      <selection pane="bottomRight" activeCell="T19" sqref="T19"/>
    </sheetView>
  </sheetViews>
  <sheetFormatPr defaultRowHeight="15" customHeight="1" x14ac:dyDescent="0.3"/>
  <cols>
    <col min="1" max="1" width="7.5546875" style="664" customWidth="1"/>
    <col min="2" max="2" width="9.44140625" hidden="1" customWidth="1"/>
    <col min="3" max="3" width="8.44140625" hidden="1" customWidth="1"/>
    <col min="4" max="4" width="9.44140625" hidden="1" customWidth="1"/>
    <col min="5" max="5" width="8" hidden="1" customWidth="1"/>
    <col min="6" max="6" width="6" bestFit="1" customWidth="1"/>
    <col min="7" max="7" width="6.6640625" bestFit="1" customWidth="1"/>
    <col min="13" max="13" width="5" bestFit="1" customWidth="1"/>
    <col min="14" max="14" width="7" bestFit="1" customWidth="1"/>
    <col min="15" max="15" width="14.21875" customWidth="1"/>
    <col min="16" max="16" width="42" customWidth="1"/>
    <col min="17" max="17" width="4.33203125" hidden="1" customWidth="1"/>
    <col min="18" max="18" width="11.44140625" style="861" hidden="1" customWidth="1"/>
    <col min="19" max="19" width="7.6640625" style="815" customWidth="1"/>
    <col min="20" max="20" width="16.33203125" style="815" customWidth="1"/>
    <col min="21" max="22" width="23.44140625" style="815" customWidth="1"/>
  </cols>
  <sheetData>
    <row r="1" spans="1:22" ht="15" customHeight="1" thickBot="1" x14ac:dyDescent="0.4">
      <c r="A1" s="1409" t="s">
        <v>414</v>
      </c>
      <c r="B1" s="1407" t="s">
        <v>443</v>
      </c>
      <c r="C1" s="737" t="s">
        <v>444</v>
      </c>
      <c r="D1" s="737" t="s">
        <v>417</v>
      </c>
      <c r="E1" s="738" t="s">
        <v>418</v>
      </c>
      <c r="F1" s="725" t="s">
        <v>358</v>
      </c>
      <c r="G1" s="714" t="s">
        <v>369</v>
      </c>
      <c r="H1" s="714" t="s">
        <v>370</v>
      </c>
      <c r="I1" s="714" t="s">
        <v>361</v>
      </c>
      <c r="J1" s="714" t="s">
        <v>362</v>
      </c>
      <c r="K1" s="714" t="s">
        <v>371</v>
      </c>
      <c r="L1" s="714" t="s">
        <v>372</v>
      </c>
      <c r="M1" s="715">
        <v>3.1</v>
      </c>
      <c r="N1" s="724" t="s">
        <v>221</v>
      </c>
      <c r="O1" s="776" t="s">
        <v>445</v>
      </c>
      <c r="P1" s="811" t="s">
        <v>446</v>
      </c>
      <c r="R1" s="855" t="s">
        <v>447</v>
      </c>
      <c r="S1" s="842" t="s">
        <v>448</v>
      </c>
      <c r="T1" s="843" t="s">
        <v>449</v>
      </c>
      <c r="U1" s="844" t="s">
        <v>450</v>
      </c>
      <c r="V1" s="845" t="s">
        <v>451</v>
      </c>
    </row>
    <row r="2" spans="1:22" ht="15" customHeight="1" x14ac:dyDescent="0.3">
      <c r="A2" s="1410">
        <v>1980</v>
      </c>
      <c r="B2" s="1408">
        <f>'Sockeye Returns Data'!BW5</f>
        <v>0</v>
      </c>
      <c r="C2" s="778">
        <v>36474.167521682582</v>
      </c>
      <c r="D2" s="735">
        <f>B2-C2</f>
        <v>-36474.167521682582</v>
      </c>
      <c r="E2" s="736">
        <f>D2/C2</f>
        <v>-1</v>
      </c>
      <c r="F2" s="784">
        <v>5.2052052052052052E-2</v>
      </c>
      <c r="G2" s="785">
        <v>0.82582582582582587</v>
      </c>
      <c r="H2" s="785">
        <v>2.3023023023023025E-2</v>
      </c>
      <c r="I2" s="785">
        <v>8.3083083083083084E-2</v>
      </c>
      <c r="J2" s="785">
        <v>1.6016016016016019E-2</v>
      </c>
      <c r="K2" s="785" t="s">
        <v>257</v>
      </c>
      <c r="L2" s="785" t="s">
        <v>257</v>
      </c>
      <c r="M2" s="785" t="s">
        <v>257</v>
      </c>
      <c r="N2" s="786">
        <f>SUM(F2:M2)</f>
        <v>1.0000000000000002</v>
      </c>
      <c r="O2" s="787" t="s">
        <v>452</v>
      </c>
      <c r="P2" s="700" t="s">
        <v>453</v>
      </c>
      <c r="Q2" t="s">
        <v>245</v>
      </c>
      <c r="R2" s="856">
        <v>1980</v>
      </c>
      <c r="S2" s="827"/>
      <c r="T2" s="828"/>
      <c r="U2" s="829" t="s">
        <v>454</v>
      </c>
      <c r="V2" s="830" t="s">
        <v>455</v>
      </c>
    </row>
    <row r="3" spans="1:22" ht="15" customHeight="1" x14ac:dyDescent="0.3">
      <c r="A3" s="791">
        <v>1981</v>
      </c>
      <c r="B3" s="1408">
        <f>'Sockeye Returns Data'!BW6</f>
        <v>0</v>
      </c>
      <c r="C3" s="779">
        <v>40527.66370276871</v>
      </c>
      <c r="D3" s="728">
        <f t="shared" ref="D3:D44" si="0">B3-C3</f>
        <v>-40527.66370276871</v>
      </c>
      <c r="E3" s="730">
        <f t="shared" ref="E3:E43" si="1">D3/C3</f>
        <v>-1</v>
      </c>
      <c r="F3" s="788">
        <v>5.2052052052052052E-2</v>
      </c>
      <c r="G3" s="789">
        <v>0.82582582582582587</v>
      </c>
      <c r="H3" s="789">
        <v>2.3023023023023021E-2</v>
      </c>
      <c r="I3" s="789">
        <v>8.3083083083083084E-2</v>
      </c>
      <c r="J3" s="789">
        <v>1.6016016016016016E-2</v>
      </c>
      <c r="K3" s="789" t="s">
        <v>257</v>
      </c>
      <c r="L3" s="789" t="s">
        <v>257</v>
      </c>
      <c r="M3" s="789" t="s">
        <v>257</v>
      </c>
      <c r="N3" s="790">
        <f t="shared" ref="N3:N44" si="2">SUM(F3:M3)</f>
        <v>1.0000000000000002</v>
      </c>
      <c r="O3" s="791" t="s">
        <v>452</v>
      </c>
      <c r="P3" s="2580" t="s">
        <v>456</v>
      </c>
      <c r="Q3" t="s">
        <v>245</v>
      </c>
      <c r="R3" s="856">
        <v>1981</v>
      </c>
      <c r="S3" s="827"/>
      <c r="T3" s="828"/>
      <c r="U3" s="829" t="s">
        <v>454</v>
      </c>
      <c r="V3" s="831" t="s">
        <v>455</v>
      </c>
    </row>
    <row r="4" spans="1:22" ht="15" customHeight="1" x14ac:dyDescent="0.3">
      <c r="A4" s="791">
        <v>1982</v>
      </c>
      <c r="B4" s="1408">
        <f>'Sockeye Returns Data'!BW7</f>
        <v>0</v>
      </c>
      <c r="C4" s="779">
        <v>27675.632271233906</v>
      </c>
      <c r="D4" s="728">
        <f t="shared" si="0"/>
        <v>-27675.632271233906</v>
      </c>
      <c r="E4" s="730">
        <f t="shared" si="1"/>
        <v>-1</v>
      </c>
      <c r="F4" s="788">
        <v>5.2052052052052052E-2</v>
      </c>
      <c r="G4" s="789">
        <v>0.82582582582582575</v>
      </c>
      <c r="H4" s="789">
        <v>2.3023023023023021E-2</v>
      </c>
      <c r="I4" s="789">
        <v>8.3083083083083084E-2</v>
      </c>
      <c r="J4" s="789">
        <v>1.6016016016016016E-2</v>
      </c>
      <c r="K4" s="789" t="s">
        <v>257</v>
      </c>
      <c r="L4" s="789" t="s">
        <v>257</v>
      </c>
      <c r="M4" s="789" t="s">
        <v>257</v>
      </c>
      <c r="N4" s="790">
        <f t="shared" si="2"/>
        <v>1</v>
      </c>
      <c r="O4" s="791" t="s">
        <v>452</v>
      </c>
      <c r="P4" s="2580"/>
      <c r="R4" s="856">
        <v>1982</v>
      </c>
      <c r="S4" s="827"/>
      <c r="T4" s="828"/>
      <c r="U4" s="829" t="s">
        <v>454</v>
      </c>
      <c r="V4" s="831" t="s">
        <v>455</v>
      </c>
    </row>
    <row r="5" spans="1:22" ht="15" customHeight="1" x14ac:dyDescent="0.3">
      <c r="A5" s="791">
        <v>1983</v>
      </c>
      <c r="B5" s="1408">
        <f>'Sockeye Returns Data'!BW8</f>
        <v>0</v>
      </c>
      <c r="C5" s="779">
        <v>39631.867863682135</v>
      </c>
      <c r="D5" s="728">
        <f t="shared" si="0"/>
        <v>-39631.867863682135</v>
      </c>
      <c r="E5" s="730">
        <f t="shared" si="1"/>
        <v>-1</v>
      </c>
      <c r="F5" s="788">
        <v>5.2052052052052052E-2</v>
      </c>
      <c r="G5" s="789">
        <v>0.82582582582582575</v>
      </c>
      <c r="H5" s="789">
        <v>2.3023023023023021E-2</v>
      </c>
      <c r="I5" s="789">
        <v>8.3083083083083084E-2</v>
      </c>
      <c r="J5" s="789">
        <v>1.6016016016016016E-2</v>
      </c>
      <c r="K5" s="789" t="s">
        <v>257</v>
      </c>
      <c r="L5" s="789" t="s">
        <v>257</v>
      </c>
      <c r="M5" s="789" t="s">
        <v>257</v>
      </c>
      <c r="N5" s="790">
        <f t="shared" si="2"/>
        <v>1</v>
      </c>
      <c r="O5" s="791" t="s">
        <v>452</v>
      </c>
      <c r="P5" s="2580"/>
      <c r="R5" s="856">
        <v>1983</v>
      </c>
      <c r="S5" s="827"/>
      <c r="T5" s="828"/>
      <c r="U5" s="829" t="s">
        <v>454</v>
      </c>
      <c r="V5" s="831" t="s">
        <v>455</v>
      </c>
    </row>
    <row r="6" spans="1:22" ht="15" customHeight="1" x14ac:dyDescent="0.3">
      <c r="A6" s="791">
        <v>1984</v>
      </c>
      <c r="B6" s="1408">
        <f>'Sockeye Returns Data'!BW9</f>
        <v>0</v>
      </c>
      <c r="C6" s="779">
        <v>143626.50705324707</v>
      </c>
      <c r="D6" s="728">
        <f t="shared" si="0"/>
        <v>-143626.50705324707</v>
      </c>
      <c r="E6" s="730">
        <f t="shared" si="1"/>
        <v>-1</v>
      </c>
      <c r="F6" s="788">
        <v>5.2052052052052052E-2</v>
      </c>
      <c r="G6" s="789">
        <v>0.82582582582582587</v>
      </c>
      <c r="H6" s="789">
        <v>2.3023023023023025E-2</v>
      </c>
      <c r="I6" s="789">
        <v>8.3083083083083098E-2</v>
      </c>
      <c r="J6" s="789">
        <v>1.6016016016016019E-2</v>
      </c>
      <c r="K6" s="789" t="s">
        <v>257</v>
      </c>
      <c r="L6" s="789" t="s">
        <v>257</v>
      </c>
      <c r="M6" s="789" t="s">
        <v>257</v>
      </c>
      <c r="N6" s="790">
        <f t="shared" si="2"/>
        <v>1.0000000000000002</v>
      </c>
      <c r="O6" s="791" t="s">
        <v>452</v>
      </c>
      <c r="P6" s="2580"/>
      <c r="R6" s="856">
        <v>1984</v>
      </c>
      <c r="S6" s="827"/>
      <c r="T6" s="828"/>
      <c r="U6" s="829" t="s">
        <v>454</v>
      </c>
      <c r="V6" s="831" t="s">
        <v>455</v>
      </c>
    </row>
    <row r="7" spans="1:22" ht="15" customHeight="1" x14ac:dyDescent="0.3">
      <c r="A7" s="781">
        <v>1985</v>
      </c>
      <c r="B7" s="1408">
        <f>'Sockeye Returns Data'!CG10</f>
        <v>121223</v>
      </c>
      <c r="C7" s="525">
        <v>122462.11159465442</v>
      </c>
      <c r="D7" s="772">
        <f t="shared" si="0"/>
        <v>-1239.111594654416</v>
      </c>
      <c r="E7" s="777">
        <f t="shared" si="1"/>
        <v>-1.0118326219588919E-2</v>
      </c>
      <c r="F7" s="769">
        <v>6.8999999999999992E-2</v>
      </c>
      <c r="G7" s="770">
        <v>0.88</v>
      </c>
      <c r="H7" s="770">
        <v>1.0999999999999999E-2</v>
      </c>
      <c r="I7" s="770">
        <v>6.0000000000000001E-3</v>
      </c>
      <c r="J7" s="770">
        <v>3.4000000000000002E-2</v>
      </c>
      <c r="K7" s="770" t="s">
        <v>257</v>
      </c>
      <c r="L7" s="770" t="s">
        <v>257</v>
      </c>
      <c r="M7" s="770" t="s">
        <v>257</v>
      </c>
      <c r="N7" s="774">
        <f t="shared" si="2"/>
        <v>1</v>
      </c>
      <c r="O7" s="781" t="s">
        <v>457</v>
      </c>
      <c r="R7" s="857">
        <v>1985</v>
      </c>
      <c r="S7" s="832" t="s">
        <v>458</v>
      </c>
      <c r="T7" s="833" t="s">
        <v>459</v>
      </c>
      <c r="U7" s="834" t="s">
        <v>460</v>
      </c>
      <c r="V7" s="835"/>
    </row>
    <row r="8" spans="1:22" ht="15" customHeight="1" x14ac:dyDescent="0.3">
      <c r="A8" s="791">
        <v>1986</v>
      </c>
      <c r="B8" s="1408">
        <f>'Sockeye Returns Data'!CG11</f>
        <v>49135</v>
      </c>
      <c r="C8" s="779">
        <v>51804.298733385855</v>
      </c>
      <c r="D8" s="728">
        <f t="shared" si="0"/>
        <v>-2669.2987333858546</v>
      </c>
      <c r="E8" s="730">
        <f t="shared" si="1"/>
        <v>-5.1526587535207682E-2</v>
      </c>
      <c r="F8" s="788">
        <v>5.2052052052052059E-2</v>
      </c>
      <c r="G8" s="789">
        <v>0.82582582582582587</v>
      </c>
      <c r="H8" s="789">
        <v>2.3023023023023025E-2</v>
      </c>
      <c r="I8" s="789">
        <v>8.3083083083083098E-2</v>
      </c>
      <c r="J8" s="789">
        <v>1.6016016016016016E-2</v>
      </c>
      <c r="K8" s="789" t="s">
        <v>257</v>
      </c>
      <c r="L8" s="789" t="s">
        <v>257</v>
      </c>
      <c r="M8" s="789" t="s">
        <v>257</v>
      </c>
      <c r="N8" s="790">
        <f t="shared" si="2"/>
        <v>1.0000000000000002</v>
      </c>
      <c r="O8" s="791" t="s">
        <v>452</v>
      </c>
      <c r="R8" s="856">
        <v>1986</v>
      </c>
      <c r="S8" s="836" t="s">
        <v>461</v>
      </c>
      <c r="T8" s="837"/>
      <c r="U8" s="829" t="s">
        <v>454</v>
      </c>
      <c r="V8" s="831" t="s">
        <v>455</v>
      </c>
    </row>
    <row r="9" spans="1:22" ht="15" customHeight="1" x14ac:dyDescent="0.3">
      <c r="A9" s="850">
        <v>1987</v>
      </c>
      <c r="B9" s="1408">
        <f>'Sockeye Returns Data'!CG12</f>
        <v>99205</v>
      </c>
      <c r="C9" s="847">
        <v>99373.304487167072</v>
      </c>
      <c r="D9" s="846">
        <f t="shared" si="0"/>
        <v>-168.30448716707178</v>
      </c>
      <c r="E9" s="848">
        <f t="shared" si="1"/>
        <v>-1.6936589563528743E-3</v>
      </c>
      <c r="F9" s="964">
        <v>0.49199999999999999</v>
      </c>
      <c r="G9" s="849">
        <v>0.46000000000000008</v>
      </c>
      <c r="H9" s="849">
        <v>0.01</v>
      </c>
      <c r="I9" s="849">
        <v>2.8000000000000001E-2</v>
      </c>
      <c r="J9" s="849">
        <v>0.01</v>
      </c>
      <c r="K9" s="849" t="s">
        <v>257</v>
      </c>
      <c r="L9" s="849" t="s">
        <v>257</v>
      </c>
      <c r="M9" s="849" t="s">
        <v>257</v>
      </c>
      <c r="N9" s="774">
        <f t="shared" si="2"/>
        <v>1</v>
      </c>
      <c r="O9" s="781" t="s">
        <v>457</v>
      </c>
      <c r="P9" s="700"/>
      <c r="R9" s="858">
        <v>1987</v>
      </c>
      <c r="S9" s="836" t="s">
        <v>458</v>
      </c>
      <c r="T9" s="837" t="s">
        <v>459</v>
      </c>
      <c r="U9" s="838" t="s">
        <v>462</v>
      </c>
      <c r="V9" s="835" t="s">
        <v>463</v>
      </c>
    </row>
    <row r="10" spans="1:22" ht="15" customHeight="1" x14ac:dyDescent="0.3">
      <c r="A10" s="781">
        <v>1988</v>
      </c>
      <c r="B10" s="1408">
        <f>'Sockeye Returns Data'!CG13</f>
        <v>78388</v>
      </c>
      <c r="C10" s="525">
        <v>82406.806597104747</v>
      </c>
      <c r="D10" s="772">
        <f t="shared" si="0"/>
        <v>-4018.8065971047472</v>
      </c>
      <c r="E10" s="777">
        <f t="shared" si="1"/>
        <v>-4.8767896282561965E-2</v>
      </c>
      <c r="F10" s="769">
        <v>2E-3</v>
      </c>
      <c r="G10" s="770">
        <v>0.96899999999999986</v>
      </c>
      <c r="H10" s="770">
        <v>0.01</v>
      </c>
      <c r="I10" s="770">
        <v>1.2999999999999999E-2</v>
      </c>
      <c r="J10" s="770">
        <v>6.0000000000000001E-3</v>
      </c>
      <c r="K10" s="770" t="s">
        <v>257</v>
      </c>
      <c r="L10" s="770" t="s">
        <v>257</v>
      </c>
      <c r="M10" s="770" t="s">
        <v>257</v>
      </c>
      <c r="N10" s="774">
        <f t="shared" si="2"/>
        <v>0.99999999999999989</v>
      </c>
      <c r="O10" s="781" t="s">
        <v>457</v>
      </c>
      <c r="R10" s="859">
        <v>1988</v>
      </c>
      <c r="S10" s="836" t="s">
        <v>458</v>
      </c>
      <c r="T10" s="837" t="s">
        <v>464</v>
      </c>
      <c r="U10" s="838"/>
      <c r="V10" s="835"/>
    </row>
    <row r="11" spans="1:22" ht="15" customHeight="1" x14ac:dyDescent="0.3">
      <c r="A11" s="781">
        <v>1989</v>
      </c>
      <c r="B11" s="1408">
        <f>'Sockeye Returns Data'!BW14</f>
        <v>0</v>
      </c>
      <c r="C11" s="525">
        <v>24071.11515744618</v>
      </c>
      <c r="D11" s="772">
        <f t="shared" si="0"/>
        <v>-24071.11515744618</v>
      </c>
      <c r="E11" s="777">
        <f t="shared" si="1"/>
        <v>-1</v>
      </c>
      <c r="F11" s="769">
        <v>3.0030030030030037E-2</v>
      </c>
      <c r="G11" s="770">
        <v>0.93193193193193213</v>
      </c>
      <c r="H11" s="770">
        <v>6.0060060060060077E-3</v>
      </c>
      <c r="I11" s="770">
        <v>2.7027027027027029E-2</v>
      </c>
      <c r="J11" s="770">
        <v>5.0050050050050058E-3</v>
      </c>
      <c r="K11" s="770" t="s">
        <v>257</v>
      </c>
      <c r="L11" s="770" t="s">
        <v>257</v>
      </c>
      <c r="M11" s="770" t="s">
        <v>257</v>
      </c>
      <c r="N11" s="774">
        <f t="shared" si="2"/>
        <v>1.0000000000000002</v>
      </c>
      <c r="O11" s="781" t="s">
        <v>457</v>
      </c>
      <c r="R11" s="859">
        <v>1989</v>
      </c>
      <c r="S11" s="836" t="s">
        <v>458</v>
      </c>
      <c r="T11" s="837" t="s">
        <v>465</v>
      </c>
      <c r="U11" s="838"/>
      <c r="V11" s="835"/>
    </row>
    <row r="12" spans="1:22" ht="15" customHeight="1" x14ac:dyDescent="0.3">
      <c r="A12" s="775">
        <v>1990</v>
      </c>
      <c r="B12" s="1408">
        <f>'Sockeye Returns Data'!BW15</f>
        <v>0</v>
      </c>
      <c r="C12" s="779">
        <v>10628.613606811994</v>
      </c>
      <c r="D12" s="728">
        <f t="shared" si="0"/>
        <v>-10628.613606811994</v>
      </c>
      <c r="E12" s="730">
        <f t="shared" si="1"/>
        <v>-1</v>
      </c>
      <c r="F12" s="741">
        <v>0.45200000000000001</v>
      </c>
      <c r="G12" s="783">
        <v>0.26200000000000001</v>
      </c>
      <c r="H12" s="783">
        <v>1.9E-2</v>
      </c>
      <c r="I12" s="783">
        <v>0.22600000000000001</v>
      </c>
      <c r="J12" s="783">
        <v>3.5000000000000003E-2</v>
      </c>
      <c r="K12" s="783" t="s">
        <v>257</v>
      </c>
      <c r="L12" s="783">
        <v>6.0000000000000001E-3</v>
      </c>
      <c r="M12" s="783" t="s">
        <v>257</v>
      </c>
      <c r="N12" s="773">
        <f t="shared" si="2"/>
        <v>1</v>
      </c>
      <c r="O12" s="775" t="s">
        <v>466</v>
      </c>
      <c r="P12" s="700" t="s">
        <v>467</v>
      </c>
      <c r="R12" s="860">
        <v>1990</v>
      </c>
      <c r="S12" s="836" t="s">
        <v>458</v>
      </c>
      <c r="T12" s="837" t="s">
        <v>468</v>
      </c>
      <c r="U12" s="838" t="s">
        <v>469</v>
      </c>
      <c r="V12" s="835" t="s">
        <v>463</v>
      </c>
    </row>
    <row r="13" spans="1:22" ht="15" customHeight="1" x14ac:dyDescent="0.3">
      <c r="A13" s="775">
        <v>1991</v>
      </c>
      <c r="B13" s="1408">
        <f>'Sockeye Returns Data'!BW16</f>
        <v>0</v>
      </c>
      <c r="C13" s="779">
        <v>40611.658678258478</v>
      </c>
      <c r="D13" s="728">
        <f t="shared" si="0"/>
        <v>-40611.658678258478</v>
      </c>
      <c r="E13" s="730">
        <f t="shared" si="1"/>
        <v>-1</v>
      </c>
      <c r="F13" s="782">
        <v>0.154</v>
      </c>
      <c r="G13" s="783">
        <v>0.76</v>
      </c>
      <c r="H13" s="783">
        <v>6.7000000000000004E-2</v>
      </c>
      <c r="I13" s="783">
        <v>1.4999999999999998E-2</v>
      </c>
      <c r="J13" s="783">
        <v>1E-3</v>
      </c>
      <c r="K13" s="783" t="s">
        <v>257</v>
      </c>
      <c r="L13" s="783">
        <v>3.0000000000000001E-3</v>
      </c>
      <c r="M13" s="783" t="s">
        <v>257</v>
      </c>
      <c r="N13" s="773">
        <f t="shared" si="2"/>
        <v>1</v>
      </c>
      <c r="O13" s="775" t="s">
        <v>466</v>
      </c>
      <c r="R13" s="859">
        <v>1991</v>
      </c>
      <c r="S13" s="836" t="s">
        <v>458</v>
      </c>
      <c r="T13" s="839" t="s">
        <v>470</v>
      </c>
      <c r="U13" s="838"/>
      <c r="V13" s="835"/>
    </row>
    <row r="14" spans="1:22" ht="15" customHeight="1" x14ac:dyDescent="0.3">
      <c r="A14" s="775">
        <v>1992</v>
      </c>
      <c r="B14" s="1408">
        <f>'Sockeye Returns Data'!BW17</f>
        <v>0</v>
      </c>
      <c r="C14" s="779">
        <v>61939.16181374951</v>
      </c>
      <c r="D14" s="728">
        <f t="shared" si="0"/>
        <v>-61939.16181374951</v>
      </c>
      <c r="E14" s="730">
        <f t="shared" si="1"/>
        <v>-1</v>
      </c>
      <c r="F14" s="782">
        <v>0.16900000000000001</v>
      </c>
      <c r="G14" s="783">
        <v>0.7330000000000001</v>
      </c>
      <c r="H14" s="783">
        <v>7.0000000000000021E-2</v>
      </c>
      <c r="I14" s="783">
        <v>1.4000000000000002E-2</v>
      </c>
      <c r="J14" s="783">
        <v>1.4000000000000002E-2</v>
      </c>
      <c r="K14" s="783" t="s">
        <v>257</v>
      </c>
      <c r="L14" s="783" t="s">
        <v>257</v>
      </c>
      <c r="M14" s="783" t="s">
        <v>257</v>
      </c>
      <c r="N14" s="773">
        <f t="shared" si="2"/>
        <v>1.0000000000000002</v>
      </c>
      <c r="O14" s="775" t="s">
        <v>466</v>
      </c>
      <c r="R14" s="859">
        <v>1992</v>
      </c>
      <c r="S14" s="836" t="s">
        <v>458</v>
      </c>
      <c r="T14" s="839" t="s">
        <v>471</v>
      </c>
      <c r="U14" s="838"/>
      <c r="V14" s="835"/>
    </row>
    <row r="15" spans="1:22" ht="15" customHeight="1" x14ac:dyDescent="0.3">
      <c r="A15" s="775">
        <v>1993</v>
      </c>
      <c r="B15" s="1408">
        <f>'Sockeye Returns Data'!BW18</f>
        <v>0</v>
      </c>
      <c r="C15" s="779">
        <v>43643.856427217499</v>
      </c>
      <c r="D15" s="728">
        <f t="shared" si="0"/>
        <v>-43643.856427217499</v>
      </c>
      <c r="E15" s="730">
        <f t="shared" si="1"/>
        <v>-1</v>
      </c>
      <c r="F15" s="782" t="s">
        <v>257</v>
      </c>
      <c r="G15" s="783">
        <v>0.8861138861138862</v>
      </c>
      <c r="H15" s="783">
        <v>1.9980019980019984E-3</v>
      </c>
      <c r="I15" s="783">
        <v>5.2947052947052951E-2</v>
      </c>
      <c r="J15" s="783">
        <v>5.6943056943056958E-2</v>
      </c>
      <c r="K15" s="783" t="s">
        <v>257</v>
      </c>
      <c r="L15" s="783">
        <v>1.9980019980019984E-3</v>
      </c>
      <c r="M15" s="783" t="s">
        <v>257</v>
      </c>
      <c r="N15" s="773">
        <f t="shared" si="2"/>
        <v>1</v>
      </c>
      <c r="O15" s="775" t="s">
        <v>466</v>
      </c>
      <c r="R15" s="859">
        <v>1993</v>
      </c>
      <c r="S15" s="836" t="s">
        <v>458</v>
      </c>
      <c r="T15" s="839" t="s">
        <v>472</v>
      </c>
      <c r="U15" s="838"/>
      <c r="V15" s="835"/>
    </row>
    <row r="16" spans="1:22" ht="15" customHeight="1" x14ac:dyDescent="0.3">
      <c r="A16" s="775">
        <v>1994</v>
      </c>
      <c r="B16" s="1408">
        <f>'Sockeye Returns Data'!BW19</f>
        <v>2202</v>
      </c>
      <c r="C16" s="779">
        <v>2324.2862752595647</v>
      </c>
      <c r="D16" s="728">
        <f t="shared" si="0"/>
        <v>-122.28627525956472</v>
      </c>
      <c r="E16" s="730">
        <f t="shared" si="1"/>
        <v>-5.2612398292421356E-2</v>
      </c>
      <c r="F16" s="782">
        <v>0.14299999999999999</v>
      </c>
      <c r="G16" s="783">
        <v>0.126</v>
      </c>
      <c r="H16" s="783">
        <v>1.6E-2</v>
      </c>
      <c r="I16" s="783">
        <v>0.69799999999999995</v>
      </c>
      <c r="J16" s="783">
        <v>1.7000000000000001E-2</v>
      </c>
      <c r="K16" s="783" t="s">
        <v>257</v>
      </c>
      <c r="L16" s="783" t="s">
        <v>257</v>
      </c>
      <c r="M16" s="783" t="s">
        <v>257</v>
      </c>
      <c r="N16" s="773">
        <f t="shared" si="2"/>
        <v>1</v>
      </c>
      <c r="O16" s="775" t="s">
        <v>466</v>
      </c>
      <c r="R16" s="858">
        <v>1994</v>
      </c>
      <c r="S16" s="836" t="s">
        <v>458</v>
      </c>
      <c r="T16" s="839" t="s">
        <v>473</v>
      </c>
      <c r="U16" s="838" t="s">
        <v>474</v>
      </c>
      <c r="V16" s="835"/>
    </row>
    <row r="17" spans="1:22" ht="15" customHeight="1" x14ac:dyDescent="0.3">
      <c r="A17" s="775">
        <v>1995</v>
      </c>
      <c r="B17" s="1408">
        <f>'Sockeye Returns Data'!BW20</f>
        <v>5238</v>
      </c>
      <c r="C17" s="779">
        <v>6434.2195124672835</v>
      </c>
      <c r="D17" s="728">
        <f t="shared" si="0"/>
        <v>-1196.2195124672835</v>
      </c>
      <c r="E17" s="730">
        <f t="shared" si="1"/>
        <v>-0.18591524739705031</v>
      </c>
      <c r="F17" s="741">
        <v>0.41382765531062121</v>
      </c>
      <c r="G17" s="783">
        <v>0.51503006012024055</v>
      </c>
      <c r="H17" s="783">
        <v>5.8116232464929862E-2</v>
      </c>
      <c r="I17" s="783">
        <v>1.3026052104208416E-2</v>
      </c>
      <c r="J17" s="783" t="s">
        <v>257</v>
      </c>
      <c r="K17" s="783" t="s">
        <v>257</v>
      </c>
      <c r="L17" s="783" t="s">
        <v>257</v>
      </c>
      <c r="M17" s="783" t="s">
        <v>257</v>
      </c>
      <c r="N17" s="773">
        <f t="shared" si="2"/>
        <v>0.99999999999999989</v>
      </c>
      <c r="O17" s="775" t="s">
        <v>466</v>
      </c>
      <c r="P17" s="700" t="s">
        <v>467</v>
      </c>
      <c r="R17" s="858">
        <v>1995</v>
      </c>
      <c r="S17" s="836" t="s">
        <v>458</v>
      </c>
      <c r="T17" s="839" t="s">
        <v>473</v>
      </c>
      <c r="U17" s="838" t="s">
        <v>474</v>
      </c>
      <c r="V17" s="835" t="s">
        <v>463</v>
      </c>
    </row>
    <row r="18" spans="1:22" ht="15" customHeight="1" x14ac:dyDescent="0.3">
      <c r="A18" s="775">
        <v>1996</v>
      </c>
      <c r="B18" s="1408">
        <f>'Sockeye Returns Data'!BW21</f>
        <v>23160</v>
      </c>
      <c r="C18" s="779">
        <v>23353.298996278289</v>
      </c>
      <c r="D18" s="728">
        <f t="shared" si="0"/>
        <v>-193.29899627828854</v>
      </c>
      <c r="E18" s="730">
        <f t="shared" si="1"/>
        <v>-8.2771601694944155E-3</v>
      </c>
      <c r="F18" s="782">
        <v>7.5999999999999984E-2</v>
      </c>
      <c r="G18" s="783">
        <v>0.85899999999999987</v>
      </c>
      <c r="H18" s="783" t="s">
        <v>257</v>
      </c>
      <c r="I18" s="783">
        <v>3.7999999999999992E-2</v>
      </c>
      <c r="J18" s="783">
        <v>2.6999999999999996E-2</v>
      </c>
      <c r="K18" s="783" t="s">
        <v>257</v>
      </c>
      <c r="L18" s="783" t="s">
        <v>257</v>
      </c>
      <c r="M18" s="783" t="s">
        <v>257</v>
      </c>
      <c r="N18" s="773">
        <f t="shared" si="2"/>
        <v>0.99999999999999989</v>
      </c>
      <c r="O18" s="775" t="s">
        <v>466</v>
      </c>
      <c r="R18" s="859">
        <v>1996</v>
      </c>
      <c r="S18" s="836" t="s">
        <v>458</v>
      </c>
      <c r="T18" s="839" t="s">
        <v>473</v>
      </c>
      <c r="U18" s="838"/>
      <c r="V18" s="835"/>
    </row>
    <row r="19" spans="1:22" ht="15" customHeight="1" x14ac:dyDescent="0.3">
      <c r="A19" s="775">
        <v>1997</v>
      </c>
      <c r="B19" s="1408">
        <f>'Sockeye Returns Data'!BW22</f>
        <v>36095</v>
      </c>
      <c r="C19" s="779">
        <v>35841.569404908347</v>
      </c>
      <c r="D19" s="728">
        <f t="shared" si="0"/>
        <v>253.43059509165323</v>
      </c>
      <c r="E19" s="730">
        <f t="shared" si="1"/>
        <v>7.0708565305443076E-3</v>
      </c>
      <c r="F19" s="782" t="s">
        <v>257</v>
      </c>
      <c r="G19" s="783">
        <v>0.95700000000000007</v>
      </c>
      <c r="H19" s="783">
        <v>8.9999999999999993E-3</v>
      </c>
      <c r="I19" s="783">
        <v>3.4000000000000002E-2</v>
      </c>
      <c r="J19" s="783" t="s">
        <v>257</v>
      </c>
      <c r="K19" s="783" t="s">
        <v>257</v>
      </c>
      <c r="L19" s="783" t="s">
        <v>257</v>
      </c>
      <c r="M19" s="783" t="s">
        <v>257</v>
      </c>
      <c r="N19" s="773">
        <f t="shared" si="2"/>
        <v>1</v>
      </c>
      <c r="O19" s="775" t="s">
        <v>466</v>
      </c>
      <c r="R19" s="858">
        <v>1997</v>
      </c>
      <c r="S19" s="836" t="s">
        <v>458</v>
      </c>
      <c r="T19" s="839" t="s">
        <v>473</v>
      </c>
      <c r="U19" s="838" t="s">
        <v>474</v>
      </c>
      <c r="V19" s="835"/>
    </row>
    <row r="20" spans="1:22" ht="15" customHeight="1" x14ac:dyDescent="0.3">
      <c r="A20" s="775">
        <v>1998</v>
      </c>
      <c r="B20" s="1408">
        <f>'Sockeye Returns Data'!BW23</f>
        <v>7705</v>
      </c>
      <c r="C20" s="779">
        <v>6548.2230325454384</v>
      </c>
      <c r="D20" s="728">
        <f t="shared" si="0"/>
        <v>1156.7769674545616</v>
      </c>
      <c r="E20" s="730">
        <f t="shared" si="1"/>
        <v>0.17665509584894162</v>
      </c>
      <c r="F20" s="782">
        <v>5.2999999999999999E-2</v>
      </c>
      <c r="G20" s="783">
        <v>0.78900000000000003</v>
      </c>
      <c r="H20" s="783" t="s">
        <v>257</v>
      </c>
      <c r="I20" s="783">
        <v>0.158</v>
      </c>
      <c r="J20" s="783" t="s">
        <v>257</v>
      </c>
      <c r="K20" s="783" t="s">
        <v>257</v>
      </c>
      <c r="L20" s="783" t="s">
        <v>257</v>
      </c>
      <c r="M20" s="783" t="s">
        <v>257</v>
      </c>
      <c r="N20" s="773">
        <f t="shared" si="2"/>
        <v>1</v>
      </c>
      <c r="O20" s="775" t="s">
        <v>466</v>
      </c>
      <c r="R20" s="859">
        <v>1998</v>
      </c>
      <c r="S20" s="836" t="s">
        <v>458</v>
      </c>
      <c r="T20" s="839" t="s">
        <v>473</v>
      </c>
      <c r="U20" s="838"/>
      <c r="V20" s="835"/>
    </row>
    <row r="21" spans="1:22" ht="15" customHeight="1" x14ac:dyDescent="0.3">
      <c r="A21" s="775">
        <v>1999</v>
      </c>
      <c r="B21" s="1408">
        <f>'Sockeye Returns Data'!BW24</f>
        <v>16715</v>
      </c>
      <c r="C21" s="779">
        <v>14263.477575094448</v>
      </c>
      <c r="D21" s="728">
        <f t="shared" si="0"/>
        <v>2451.5224249055518</v>
      </c>
      <c r="E21" s="730">
        <f t="shared" si="1"/>
        <v>0.1718741037729937</v>
      </c>
      <c r="F21" s="782">
        <v>0.1138861138861139</v>
      </c>
      <c r="G21" s="783">
        <v>0.84815184815184819</v>
      </c>
      <c r="H21" s="783">
        <v>3.7962037962037967E-2</v>
      </c>
      <c r="I21" s="783" t="s">
        <v>257</v>
      </c>
      <c r="J21" s="783" t="s">
        <v>257</v>
      </c>
      <c r="K21" s="783" t="s">
        <v>257</v>
      </c>
      <c r="L21" s="783" t="s">
        <v>257</v>
      </c>
      <c r="M21" s="783" t="s">
        <v>257</v>
      </c>
      <c r="N21" s="773">
        <f t="shared" si="2"/>
        <v>1</v>
      </c>
      <c r="O21" s="775" t="s">
        <v>466</v>
      </c>
      <c r="R21" s="859">
        <v>1999</v>
      </c>
      <c r="S21" s="836" t="s">
        <v>458</v>
      </c>
      <c r="T21" s="839" t="s">
        <v>473</v>
      </c>
      <c r="U21" s="838"/>
      <c r="V21" s="835"/>
    </row>
    <row r="22" spans="1:22" ht="15" customHeight="1" x14ac:dyDescent="0.3">
      <c r="A22" s="775">
        <v>2000</v>
      </c>
      <c r="B22" s="1408">
        <f>'Sockeye Returns Data'!BW25</f>
        <v>73866</v>
      </c>
      <c r="C22" s="779">
        <v>77438.414717812862</v>
      </c>
      <c r="D22" s="728">
        <f t="shared" si="0"/>
        <v>-3572.4147178128624</v>
      </c>
      <c r="E22" s="730">
        <f t="shared" si="1"/>
        <v>-4.6132332781227678E-2</v>
      </c>
      <c r="F22" s="782">
        <v>0.12999999999999998</v>
      </c>
      <c r="G22" s="1405">
        <v>0.83999999999999975</v>
      </c>
      <c r="H22" s="783">
        <v>9.9999999999999985E-3</v>
      </c>
      <c r="I22" s="783">
        <v>9.9999999999999985E-3</v>
      </c>
      <c r="J22" s="783">
        <v>9.9999999999999985E-3</v>
      </c>
      <c r="K22" s="783" t="s">
        <v>257</v>
      </c>
      <c r="L22" s="783" t="s">
        <v>257</v>
      </c>
      <c r="M22" s="783" t="s">
        <v>257</v>
      </c>
      <c r="N22" s="773">
        <f t="shared" si="2"/>
        <v>0.99999999999999978</v>
      </c>
      <c r="O22" s="850" t="s">
        <v>475</v>
      </c>
      <c r="P22" s="2332" t="s">
        <v>476</v>
      </c>
      <c r="R22" s="859">
        <v>2000</v>
      </c>
      <c r="S22" s="2332" t="s">
        <v>458</v>
      </c>
      <c r="T22" s="839" t="s">
        <v>473</v>
      </c>
      <c r="U22" s="838"/>
      <c r="V22" s="835" t="s">
        <v>477</v>
      </c>
    </row>
    <row r="23" spans="1:22" ht="15" customHeight="1" x14ac:dyDescent="0.3">
      <c r="A23" s="775">
        <v>2001</v>
      </c>
      <c r="B23" s="1408">
        <f>'Sockeye Returns Data'!BW26</f>
        <v>83707</v>
      </c>
      <c r="C23" s="779">
        <v>92984.268861313278</v>
      </c>
      <c r="D23" s="728">
        <f t="shared" si="0"/>
        <v>-9277.2688613132777</v>
      </c>
      <c r="E23" s="730">
        <f t="shared" si="1"/>
        <v>-9.977245586724344E-2</v>
      </c>
      <c r="F23" s="782">
        <v>3.3000660013200261E-2</v>
      </c>
      <c r="G23" s="783">
        <v>0.94401888037760728</v>
      </c>
      <c r="H23" s="783">
        <v>4.9000980019600388E-4</v>
      </c>
      <c r="I23" s="783">
        <v>2.2000440008800172E-2</v>
      </c>
      <c r="J23" s="783">
        <v>4.9000980019600388E-4</v>
      </c>
      <c r="K23" s="783" t="s">
        <v>257</v>
      </c>
      <c r="L23" s="783" t="s">
        <v>257</v>
      </c>
      <c r="M23" s="783" t="s">
        <v>257</v>
      </c>
      <c r="N23" s="773">
        <f t="shared" si="2"/>
        <v>0.99999999999999967</v>
      </c>
      <c r="O23" s="781" t="s">
        <v>475</v>
      </c>
      <c r="R23" s="859">
        <v>2001</v>
      </c>
      <c r="S23" s="840" t="s">
        <v>461</v>
      </c>
      <c r="T23" s="839" t="s">
        <v>478</v>
      </c>
      <c r="U23" s="838" t="s">
        <v>479</v>
      </c>
      <c r="V23" s="835" t="s">
        <v>477</v>
      </c>
    </row>
    <row r="24" spans="1:22" ht="15" customHeight="1" x14ac:dyDescent="0.3">
      <c r="A24" s="775">
        <v>2002</v>
      </c>
      <c r="B24" s="1408">
        <f>'Sockeye Returns Data'!BW27</f>
        <v>14406</v>
      </c>
      <c r="C24" s="780">
        <v>13083.795990567603</v>
      </c>
      <c r="D24" s="728">
        <f t="shared" si="0"/>
        <v>1322.2040094323966</v>
      </c>
      <c r="E24" s="730">
        <f t="shared" si="1"/>
        <v>0.10105660546722087</v>
      </c>
      <c r="F24" s="782">
        <v>0.02</v>
      </c>
      <c r="G24" s="1405">
        <v>0.497</v>
      </c>
      <c r="H24" s="783">
        <v>1.2999999999999999E-2</v>
      </c>
      <c r="I24" s="783">
        <v>0.14799999999999999</v>
      </c>
      <c r="J24" s="783">
        <v>0.221</v>
      </c>
      <c r="K24" s="783" t="s">
        <v>257</v>
      </c>
      <c r="L24" s="783">
        <v>0.10100000000000001</v>
      </c>
      <c r="M24" s="783" t="s">
        <v>257</v>
      </c>
      <c r="N24" s="773">
        <f t="shared" si="2"/>
        <v>1</v>
      </c>
      <c r="O24" s="850" t="s">
        <v>475</v>
      </c>
      <c r="P24" s="1406" t="s">
        <v>480</v>
      </c>
      <c r="R24" s="859">
        <v>2002</v>
      </c>
      <c r="S24" s="1406" t="s">
        <v>458</v>
      </c>
      <c r="T24" s="1406" t="s">
        <v>481</v>
      </c>
      <c r="U24" s="1406" t="s">
        <v>482</v>
      </c>
      <c r="V24" s="1406" t="s">
        <v>481</v>
      </c>
    </row>
    <row r="25" spans="1:22" ht="15" customHeight="1" x14ac:dyDescent="0.3">
      <c r="A25" s="775">
        <v>2003</v>
      </c>
      <c r="B25" s="1408">
        <f>'Sockeye Returns Data'!BW28</f>
        <v>34992</v>
      </c>
      <c r="C25" s="780">
        <v>35428.057045333961</v>
      </c>
      <c r="D25" s="728">
        <f t="shared" si="0"/>
        <v>-436.05704533396056</v>
      </c>
      <c r="E25" s="730">
        <f t="shared" si="1"/>
        <v>-1.2308240465345848E-2</v>
      </c>
      <c r="F25" s="782">
        <v>5.5319148936170209E-2</v>
      </c>
      <c r="G25" s="783">
        <v>0.82978723404255317</v>
      </c>
      <c r="H25" s="783">
        <v>0</v>
      </c>
      <c r="I25" s="783">
        <v>0.1148936170212766</v>
      </c>
      <c r="J25" s="783">
        <v>0</v>
      </c>
      <c r="K25" s="783">
        <v>0</v>
      </c>
      <c r="L25" s="783"/>
      <c r="M25" s="783"/>
      <c r="N25" s="773">
        <f t="shared" si="2"/>
        <v>1</v>
      </c>
      <c r="O25" s="781" t="s">
        <v>475</v>
      </c>
      <c r="P25" t="s">
        <v>483</v>
      </c>
      <c r="R25" s="859">
        <v>2003</v>
      </c>
      <c r="S25" s="840" t="s">
        <v>461</v>
      </c>
      <c r="T25" s="839" t="s">
        <v>478</v>
      </c>
      <c r="U25" s="838" t="s">
        <v>479</v>
      </c>
      <c r="V25" s="839" t="s">
        <v>484</v>
      </c>
    </row>
    <row r="26" spans="1:22" ht="15" customHeight="1" x14ac:dyDescent="0.3">
      <c r="A26" s="775">
        <v>2004</v>
      </c>
      <c r="B26" s="1408">
        <f>'Sockeye Returns Data'!BW29</f>
        <v>91547</v>
      </c>
      <c r="C26" s="779">
        <v>104692.22761449308</v>
      </c>
      <c r="D26" s="728">
        <f t="shared" si="0"/>
        <v>-13145.22761449308</v>
      </c>
      <c r="E26" s="730">
        <f t="shared" si="1"/>
        <v>-0.12556068309958587</v>
      </c>
      <c r="F26" s="782">
        <v>2.6476578411405296E-2</v>
      </c>
      <c r="G26" s="783">
        <v>0.95315682281059066</v>
      </c>
      <c r="H26" s="783">
        <v>0</v>
      </c>
      <c r="I26" s="783">
        <v>1.8329938900203666E-2</v>
      </c>
      <c r="J26" s="783">
        <v>2.0366598778004071E-3</v>
      </c>
      <c r="K26" s="783">
        <v>0</v>
      </c>
      <c r="L26" s="783" t="s">
        <v>257</v>
      </c>
      <c r="M26" s="783"/>
      <c r="N26" s="773">
        <f t="shared" si="2"/>
        <v>1</v>
      </c>
      <c r="O26" s="781" t="s">
        <v>475</v>
      </c>
      <c r="P26" t="s">
        <v>485</v>
      </c>
      <c r="R26" s="859">
        <v>2004</v>
      </c>
      <c r="S26" s="840" t="s">
        <v>461</v>
      </c>
      <c r="T26" s="839" t="s">
        <v>478</v>
      </c>
      <c r="U26" s="838" t="s">
        <v>479</v>
      </c>
      <c r="V26" s="839" t="s">
        <v>486</v>
      </c>
    </row>
    <row r="27" spans="1:22" ht="15" customHeight="1" x14ac:dyDescent="0.3">
      <c r="A27" s="775">
        <v>2005</v>
      </c>
      <c r="B27" s="1408">
        <f>'Sockeye Returns Data'!BW30</f>
        <v>59170</v>
      </c>
      <c r="C27" s="779">
        <v>68612.905328998226</v>
      </c>
      <c r="D27" s="728">
        <f t="shared" si="0"/>
        <v>-9442.9053289982257</v>
      </c>
      <c r="E27" s="730">
        <f t="shared" si="1"/>
        <v>-0.13762579042119824</v>
      </c>
      <c r="F27" s="782">
        <v>3.6496350364963502E-3</v>
      </c>
      <c r="G27" s="1405">
        <v>0.96350364963503654</v>
      </c>
      <c r="H27" s="783">
        <v>0</v>
      </c>
      <c r="I27" s="783">
        <v>2.9197080291970802E-2</v>
      </c>
      <c r="J27" s="783">
        <v>3.6496350364963502E-3</v>
      </c>
      <c r="K27" s="783">
        <v>0</v>
      </c>
      <c r="L27" s="783"/>
      <c r="M27" s="783" t="s">
        <v>257</v>
      </c>
      <c r="N27" s="773">
        <f t="shared" si="2"/>
        <v>1</v>
      </c>
      <c r="O27" s="781" t="s">
        <v>475</v>
      </c>
      <c r="P27" t="s">
        <v>487</v>
      </c>
      <c r="R27" s="859">
        <v>2005</v>
      </c>
      <c r="S27" s="840" t="s">
        <v>461</v>
      </c>
      <c r="T27" s="839" t="s">
        <v>478</v>
      </c>
      <c r="U27" s="838" t="s">
        <v>479</v>
      </c>
      <c r="V27" s="839" t="s">
        <v>488</v>
      </c>
    </row>
    <row r="28" spans="1:22" ht="15" customHeight="1" x14ac:dyDescent="0.3">
      <c r="A28" s="775">
        <v>2006</v>
      </c>
      <c r="B28" s="1408">
        <f>'Sockeye Returns Data'!BW31</f>
        <v>27616</v>
      </c>
      <c r="C28" s="779">
        <v>26454.776046145224</v>
      </c>
      <c r="D28" s="728">
        <f t="shared" si="0"/>
        <v>1161.2239538547765</v>
      </c>
      <c r="E28" s="730">
        <f t="shared" si="1"/>
        <v>4.3894680938868905E-2</v>
      </c>
      <c r="F28" s="2333">
        <v>2.3809523809523812E-3</v>
      </c>
      <c r="G28" s="2333">
        <v>0.8833333333333333</v>
      </c>
      <c r="H28" s="2333" t="s">
        <v>257</v>
      </c>
      <c r="I28" s="2333">
        <v>0.10952380952380952</v>
      </c>
      <c r="J28" s="2333">
        <v>4.7619047619047623E-3</v>
      </c>
      <c r="K28" s="2333" t="s">
        <v>257</v>
      </c>
      <c r="L28" s="2333" t="s">
        <v>257</v>
      </c>
      <c r="M28" s="2333" t="s">
        <v>257</v>
      </c>
      <c r="N28" s="2333">
        <f t="shared" si="2"/>
        <v>1</v>
      </c>
      <c r="O28" s="850" t="s">
        <v>489</v>
      </c>
      <c r="P28" s="700" t="s">
        <v>490</v>
      </c>
      <c r="R28" s="859">
        <v>2006</v>
      </c>
      <c r="S28" s="840" t="s">
        <v>461</v>
      </c>
      <c r="T28" s="839" t="s">
        <v>473</v>
      </c>
      <c r="U28" s="838"/>
      <c r="V28" s="835" t="s">
        <v>477</v>
      </c>
    </row>
    <row r="29" spans="1:22" ht="15" customHeight="1" x14ac:dyDescent="0.3">
      <c r="A29" s="775">
        <v>2007</v>
      </c>
      <c r="B29" s="1408">
        <f>'Sockeye Returns Data'!BW32</f>
        <v>19662.388732394367</v>
      </c>
      <c r="C29" s="779">
        <v>26745.682484121891</v>
      </c>
      <c r="D29" s="728">
        <f t="shared" si="0"/>
        <v>-7083.2937517275241</v>
      </c>
      <c r="E29" s="730">
        <f t="shared" si="1"/>
        <v>-0.2648387737322711</v>
      </c>
      <c r="F29" s="782">
        <v>0.24629080118694363</v>
      </c>
      <c r="G29" s="783">
        <v>0.52225519287833833</v>
      </c>
      <c r="H29" s="783">
        <v>7.418397626112759E-2</v>
      </c>
      <c r="I29" s="783">
        <v>0.14540059347181009</v>
      </c>
      <c r="J29" s="783">
        <v>8.9020771513353119E-3</v>
      </c>
      <c r="K29" s="783">
        <v>2.967359050445104E-3</v>
      </c>
      <c r="L29" s="783" t="s">
        <v>257</v>
      </c>
      <c r="M29" s="783" t="s">
        <v>257</v>
      </c>
      <c r="N29" s="773">
        <f t="shared" si="2"/>
        <v>1</v>
      </c>
      <c r="O29" s="781" t="s">
        <v>475</v>
      </c>
      <c r="R29" s="859">
        <v>2007</v>
      </c>
      <c r="S29" s="840" t="s">
        <v>461</v>
      </c>
      <c r="T29" s="839" t="s">
        <v>478</v>
      </c>
      <c r="U29" s="838" t="s">
        <v>479</v>
      </c>
      <c r="V29" s="835" t="s">
        <v>477</v>
      </c>
    </row>
    <row r="30" spans="1:22" ht="15" customHeight="1" x14ac:dyDescent="0.3">
      <c r="A30" s="775">
        <v>2008</v>
      </c>
      <c r="B30" s="1408">
        <f>'Sockeye Returns Data'!CG33</f>
        <v>178894</v>
      </c>
      <c r="C30" s="779">
        <v>201815.24535141748</v>
      </c>
      <c r="D30" s="728">
        <f t="shared" si="0"/>
        <v>-22921.245351417485</v>
      </c>
      <c r="E30" s="730">
        <f t="shared" si="1"/>
        <v>-0.11357539075655611</v>
      </c>
      <c r="F30" s="782">
        <v>3.9748953974895397E-2</v>
      </c>
      <c r="G30" s="783">
        <v>0.94560669456066948</v>
      </c>
      <c r="H30" s="783">
        <v>0</v>
      </c>
      <c r="I30" s="783">
        <v>1.0460251046025104E-2</v>
      </c>
      <c r="J30" s="783">
        <v>4.1841004184100415E-3</v>
      </c>
      <c r="K30" s="783">
        <v>0</v>
      </c>
      <c r="L30" s="783" t="s">
        <v>257</v>
      </c>
      <c r="M30" s="783" t="s">
        <v>257</v>
      </c>
      <c r="N30" s="773">
        <f t="shared" si="2"/>
        <v>1</v>
      </c>
      <c r="O30" s="781" t="s">
        <v>475</v>
      </c>
      <c r="R30" s="859">
        <v>2008</v>
      </c>
      <c r="S30" s="840" t="s">
        <v>461</v>
      </c>
      <c r="T30" s="839" t="s">
        <v>478</v>
      </c>
      <c r="U30" s="838" t="s">
        <v>479</v>
      </c>
      <c r="V30" s="835" t="s">
        <v>477</v>
      </c>
    </row>
    <row r="31" spans="1:22" ht="15" customHeight="1" x14ac:dyDescent="0.3">
      <c r="A31" s="775">
        <v>2009</v>
      </c>
      <c r="B31" s="1408">
        <f>'Sockeye Returns Data'!CG34</f>
        <v>135329</v>
      </c>
      <c r="C31" s="779">
        <v>166153.32351273371</v>
      </c>
      <c r="D31" s="728">
        <f t="shared" si="0"/>
        <v>-30824.32351273371</v>
      </c>
      <c r="E31" s="730">
        <f t="shared" si="1"/>
        <v>-0.18551734543168127</v>
      </c>
      <c r="F31" s="782">
        <v>2.3529411764705882E-2</v>
      </c>
      <c r="G31" s="783">
        <v>0.87941176470588234</v>
      </c>
      <c r="H31" s="783">
        <v>0</v>
      </c>
      <c r="I31" s="783">
        <v>5.8823529411764705E-2</v>
      </c>
      <c r="J31" s="783">
        <v>3.8235294117647062E-2</v>
      </c>
      <c r="K31" s="783">
        <v>0</v>
      </c>
      <c r="L31" s="783" t="s">
        <v>257</v>
      </c>
      <c r="M31" s="783" t="s">
        <v>257</v>
      </c>
      <c r="N31" s="773">
        <f t="shared" si="2"/>
        <v>1</v>
      </c>
      <c r="O31" s="781" t="s">
        <v>475</v>
      </c>
      <c r="R31" s="859">
        <v>2009</v>
      </c>
      <c r="S31" s="840" t="s">
        <v>461</v>
      </c>
      <c r="T31" s="839" t="s">
        <v>478</v>
      </c>
      <c r="U31" s="838" t="s">
        <v>479</v>
      </c>
      <c r="V31" s="835" t="s">
        <v>477</v>
      </c>
    </row>
    <row r="32" spans="1:22" ht="15" customHeight="1" x14ac:dyDescent="0.3">
      <c r="A32" s="775">
        <v>2010</v>
      </c>
      <c r="B32" s="1408">
        <f>'Sockeye Returns Data'!CG35</f>
        <v>342215</v>
      </c>
      <c r="C32" s="779">
        <v>370657.18455286621</v>
      </c>
      <c r="D32" s="728">
        <f t="shared" si="0"/>
        <v>-28442.184552866209</v>
      </c>
      <c r="E32" s="730">
        <f t="shared" si="1"/>
        <v>-7.6734475246113973E-2</v>
      </c>
      <c r="F32" s="782">
        <v>6.5789473684210523E-3</v>
      </c>
      <c r="G32" s="783">
        <v>0.89144736842105265</v>
      </c>
      <c r="H32" s="783">
        <v>2.6315789473684209E-2</v>
      </c>
      <c r="I32" s="783">
        <v>6.9078947368421059E-2</v>
      </c>
      <c r="J32" s="783">
        <v>6.5789473684210523E-3</v>
      </c>
      <c r="K32" s="783">
        <v>0</v>
      </c>
      <c r="L32" s="783" t="s">
        <v>257</v>
      </c>
      <c r="M32" s="783" t="s">
        <v>257</v>
      </c>
      <c r="N32" s="773">
        <f t="shared" si="2"/>
        <v>0.99999999999999989</v>
      </c>
      <c r="O32" s="781" t="s">
        <v>475</v>
      </c>
      <c r="R32" s="859">
        <v>2010</v>
      </c>
      <c r="S32" s="840" t="s">
        <v>461</v>
      </c>
      <c r="T32" s="839" t="s">
        <v>478</v>
      </c>
      <c r="U32" s="838" t="s">
        <v>479</v>
      </c>
      <c r="V32" s="835" t="s">
        <v>477</v>
      </c>
    </row>
    <row r="33" spans="1:22" ht="15" customHeight="1" x14ac:dyDescent="0.3">
      <c r="A33" s="775">
        <v>2011</v>
      </c>
      <c r="B33" s="1779">
        <f>'Sockeye Returns Data'!CG36</f>
        <v>59581</v>
      </c>
      <c r="C33" s="779">
        <v>152248.04419374981</v>
      </c>
      <c r="D33" s="728">
        <f t="shared" si="0"/>
        <v>-92667.044193749811</v>
      </c>
      <c r="E33" s="730">
        <f t="shared" si="1"/>
        <v>-0.60865835541258162</v>
      </c>
      <c r="F33" s="782">
        <v>0.15300546448087432</v>
      </c>
      <c r="G33" s="1405">
        <v>0.80327868852459017</v>
      </c>
      <c r="H33" s="783">
        <v>2.7322404371584699E-3</v>
      </c>
      <c r="I33" s="783">
        <v>4.0983606557377046E-2</v>
      </c>
      <c r="J33" s="783">
        <v>0</v>
      </c>
      <c r="K33" s="783">
        <v>0</v>
      </c>
      <c r="L33" s="783" t="s">
        <v>257</v>
      </c>
      <c r="M33" s="783" t="s">
        <v>257</v>
      </c>
      <c r="N33" s="773">
        <f t="shared" si="2"/>
        <v>1</v>
      </c>
      <c r="O33" s="781" t="s">
        <v>475</v>
      </c>
      <c r="P33" t="s">
        <v>491</v>
      </c>
      <c r="R33" s="859">
        <v>2011</v>
      </c>
      <c r="S33" s="840" t="s">
        <v>461</v>
      </c>
      <c r="T33" s="839" t="s">
        <v>478</v>
      </c>
      <c r="U33" s="838" t="s">
        <v>479</v>
      </c>
      <c r="V33" s="835" t="s">
        <v>477</v>
      </c>
    </row>
    <row r="34" spans="1:22" ht="15" customHeight="1" x14ac:dyDescent="0.3">
      <c r="A34" s="775">
        <v>2012</v>
      </c>
      <c r="B34" s="1408">
        <f>'Sockeye Returns Data'!CG37</f>
        <v>403813</v>
      </c>
      <c r="C34" s="779">
        <v>431531.57140277157</v>
      </c>
      <c r="D34" s="728">
        <f t="shared" si="0"/>
        <v>-27718.571402771573</v>
      </c>
      <c r="E34" s="730">
        <f t="shared" si="1"/>
        <v>-6.4233009215681106E-2</v>
      </c>
      <c r="F34" s="782">
        <v>2.5575447570332483E-3</v>
      </c>
      <c r="G34" s="783">
        <v>0.97698209718670082</v>
      </c>
      <c r="H34" s="783">
        <v>7.6726342710997444E-3</v>
      </c>
      <c r="I34" s="783">
        <v>1.0230179028132993E-2</v>
      </c>
      <c r="J34" s="783">
        <v>2.5575447570332483E-3</v>
      </c>
      <c r="K34" s="783">
        <v>0</v>
      </c>
      <c r="L34" s="783" t="s">
        <v>257</v>
      </c>
      <c r="M34" s="783" t="s">
        <v>257</v>
      </c>
      <c r="N34" s="773">
        <f t="shared" si="2"/>
        <v>1</v>
      </c>
      <c r="O34" s="781" t="s">
        <v>475</v>
      </c>
      <c r="R34" s="859">
        <v>2012</v>
      </c>
      <c r="S34" s="840" t="s">
        <v>461</v>
      </c>
      <c r="T34" s="839" t="s">
        <v>478</v>
      </c>
      <c r="U34" s="838" t="s">
        <v>479</v>
      </c>
      <c r="V34" s="835" t="s">
        <v>477</v>
      </c>
    </row>
    <row r="35" spans="1:22" ht="15" customHeight="1" x14ac:dyDescent="0.3">
      <c r="A35" s="775">
        <v>2013</v>
      </c>
      <c r="B35" s="1408">
        <f>'Sockeye Returns Data'!CG38</f>
        <v>98428</v>
      </c>
      <c r="C35" s="779">
        <f>165847.317886381-VLOOKUP($A35,Skaha_Returns_PenChannel,2)</f>
        <v>159007.317886381</v>
      </c>
      <c r="D35" s="728">
        <f t="shared" si="0"/>
        <v>-60579.317886381003</v>
      </c>
      <c r="E35" s="730">
        <f t="shared" si="1"/>
        <v>-0.38098446468777036</v>
      </c>
      <c r="F35" s="782">
        <v>0.18025751072961374</v>
      </c>
      <c r="G35" s="783">
        <v>0.66094420600858372</v>
      </c>
      <c r="H35" s="783">
        <v>3.0042918454935622E-2</v>
      </c>
      <c r="I35" s="783">
        <v>3.0042918454935622E-2</v>
      </c>
      <c r="J35" s="783">
        <v>9.8712446351931327E-2</v>
      </c>
      <c r="K35" s="783">
        <v>0</v>
      </c>
      <c r="L35" s="783" t="s">
        <v>257</v>
      </c>
      <c r="M35" s="783" t="s">
        <v>257</v>
      </c>
      <c r="N35" s="773">
        <f t="shared" si="2"/>
        <v>1</v>
      </c>
      <c r="O35" s="781" t="s">
        <v>475</v>
      </c>
      <c r="R35" s="859">
        <v>2013</v>
      </c>
      <c r="S35" s="840" t="s">
        <v>461</v>
      </c>
      <c r="T35" s="839" t="s">
        <v>478</v>
      </c>
      <c r="U35" s="838" t="s">
        <v>479</v>
      </c>
      <c r="V35" s="839" t="s">
        <v>492</v>
      </c>
    </row>
    <row r="36" spans="1:22" ht="15" customHeight="1" x14ac:dyDescent="0.3">
      <c r="A36" s="775">
        <v>2014</v>
      </c>
      <c r="B36" s="1408">
        <f>'Sockeye Returns Data'!CG39</f>
        <v>392143</v>
      </c>
      <c r="C36" s="779">
        <f>593212.766645996-VLOOKUP($A36,Skaha_Returns_PenChannel,2)</f>
        <v>572296.76664599602</v>
      </c>
      <c r="D36" s="728">
        <f t="shared" si="0"/>
        <v>-180153.76664599602</v>
      </c>
      <c r="E36" s="730">
        <f t="shared" si="1"/>
        <v>-0.31479081683757482</v>
      </c>
      <c r="F36" s="782">
        <v>6.9930069930069935E-2</v>
      </c>
      <c r="G36" s="783">
        <v>0.8951048951048951</v>
      </c>
      <c r="H36" s="783">
        <v>0</v>
      </c>
      <c r="I36" s="783">
        <v>3.2634032634032632E-2</v>
      </c>
      <c r="J36" s="783">
        <v>2.331002331002331E-3</v>
      </c>
      <c r="K36" s="783">
        <v>0</v>
      </c>
      <c r="L36" s="783" t="s">
        <v>257</v>
      </c>
      <c r="M36" s="783" t="s">
        <v>257</v>
      </c>
      <c r="N36" s="773">
        <f t="shared" si="2"/>
        <v>1</v>
      </c>
      <c r="O36" s="781" t="s">
        <v>475</v>
      </c>
      <c r="R36" s="859">
        <v>2014</v>
      </c>
      <c r="S36" s="840" t="s">
        <v>461</v>
      </c>
      <c r="T36" s="839" t="s">
        <v>478</v>
      </c>
      <c r="U36" s="838" t="s">
        <v>479</v>
      </c>
      <c r="V36" s="835" t="s">
        <v>477</v>
      </c>
    </row>
    <row r="37" spans="1:22" ht="15" customHeight="1" x14ac:dyDescent="0.3">
      <c r="A37" s="775">
        <v>2015</v>
      </c>
      <c r="B37" s="1408">
        <f>'Sockeye Returns Data'!CG40</f>
        <v>180118</v>
      </c>
      <c r="C37" s="779">
        <f>314719.566546902-VLOOKUP($A37,Skaha_Returns_PenChannel,2)</f>
        <v>313087.566546902</v>
      </c>
      <c r="D37" s="728">
        <f t="shared" si="0"/>
        <v>-132969.566546902</v>
      </c>
      <c r="E37" s="730">
        <f t="shared" si="1"/>
        <v>-0.42470407884109485</v>
      </c>
      <c r="F37" s="782">
        <v>0</v>
      </c>
      <c r="G37" s="783">
        <v>0.93913043478260871</v>
      </c>
      <c r="H37" s="783">
        <v>8.6956521739130436E-3</v>
      </c>
      <c r="I37" s="783">
        <v>4.3478260869565216E-2</v>
      </c>
      <c r="J37" s="783">
        <v>8.6956521739130436E-3</v>
      </c>
      <c r="K37" s="783">
        <v>0</v>
      </c>
      <c r="L37" s="783" t="s">
        <v>257</v>
      </c>
      <c r="M37" s="783" t="s">
        <v>257</v>
      </c>
      <c r="N37" s="773">
        <f t="shared" si="2"/>
        <v>0.99999999999999989</v>
      </c>
      <c r="O37" s="781" t="s">
        <v>475</v>
      </c>
      <c r="P37" t="s">
        <v>493</v>
      </c>
      <c r="R37" s="859">
        <v>2015</v>
      </c>
      <c r="S37" s="840" t="s">
        <v>461</v>
      </c>
      <c r="T37" s="839" t="s">
        <v>478</v>
      </c>
      <c r="U37" s="838" t="s">
        <v>479</v>
      </c>
      <c r="V37" s="835" t="s">
        <v>477</v>
      </c>
    </row>
    <row r="38" spans="1:22" ht="15" customHeight="1" x14ac:dyDescent="0.3">
      <c r="A38" s="775">
        <v>2016</v>
      </c>
      <c r="B38" s="1408">
        <f>'Sockeye Returns Data'!CG41</f>
        <v>163322</v>
      </c>
      <c r="C38" s="779">
        <f>276403.912731553-VLOOKUP($A38,Skaha_Returns_PenChannel,2)</f>
        <v>272387.91273155302</v>
      </c>
      <c r="D38" s="728">
        <f t="shared" si="0"/>
        <v>-109065.91273155302</v>
      </c>
      <c r="E38" s="730">
        <f t="shared" si="1"/>
        <v>-0.40040658059243972</v>
      </c>
      <c r="F38" s="782">
        <v>1.015228426395939E-2</v>
      </c>
      <c r="G38" s="783">
        <v>0.95685279187817263</v>
      </c>
      <c r="H38" s="783">
        <v>2.5380710659898475E-3</v>
      </c>
      <c r="I38" s="783">
        <v>2.5380710659898477E-2</v>
      </c>
      <c r="J38" s="783">
        <v>5.076142131979695E-3</v>
      </c>
      <c r="K38" s="783">
        <v>0</v>
      </c>
      <c r="L38" s="783" t="s">
        <v>257</v>
      </c>
      <c r="M38" s="783" t="s">
        <v>257</v>
      </c>
      <c r="N38" s="773">
        <f t="shared" si="2"/>
        <v>1</v>
      </c>
      <c r="O38" s="781" t="s">
        <v>475</v>
      </c>
      <c r="R38" s="859">
        <v>2016</v>
      </c>
      <c r="S38" s="840" t="s">
        <v>461</v>
      </c>
      <c r="T38" s="839" t="s">
        <v>478</v>
      </c>
      <c r="U38" s="838" t="s">
        <v>479</v>
      </c>
      <c r="V38" s="835" t="s">
        <v>477</v>
      </c>
    </row>
    <row r="39" spans="1:22" ht="15" customHeight="1" x14ac:dyDescent="0.3">
      <c r="A39" s="775">
        <v>2017</v>
      </c>
      <c r="B39" s="1408">
        <f>'Sockeye Returns Data'!CG42</f>
        <v>15680</v>
      </c>
      <c r="C39" s="779">
        <f>55256.5489936825-VLOOKUP($A39,Skaha_Returns_PenChannel,2)</f>
        <v>49656.548993682503</v>
      </c>
      <c r="D39" s="728">
        <f t="shared" si="0"/>
        <v>-33976.548993682503</v>
      </c>
      <c r="E39" s="730">
        <f t="shared" si="1"/>
        <v>-0.68423097622037987</v>
      </c>
      <c r="F39" s="782">
        <v>8.3993660855784469E-2</v>
      </c>
      <c r="G39" s="783">
        <v>0.74960380348652933</v>
      </c>
      <c r="H39" s="783">
        <v>1.5847860538827259E-2</v>
      </c>
      <c r="I39" s="783">
        <v>0.1473851030110935</v>
      </c>
      <c r="J39" s="783">
        <v>3.1695721077654518E-3</v>
      </c>
      <c r="K39" s="783">
        <v>0</v>
      </c>
      <c r="L39" s="783" t="s">
        <v>257</v>
      </c>
      <c r="M39" s="783" t="s">
        <v>257</v>
      </c>
      <c r="N39" s="773">
        <f t="shared" si="2"/>
        <v>1</v>
      </c>
      <c r="O39" s="781" t="s">
        <v>475</v>
      </c>
      <c r="R39" s="859">
        <v>2017</v>
      </c>
      <c r="S39" s="840" t="s">
        <v>461</v>
      </c>
      <c r="T39" s="839" t="s">
        <v>478</v>
      </c>
      <c r="U39" s="838" t="s">
        <v>479</v>
      </c>
      <c r="V39" s="835" t="s">
        <v>477</v>
      </c>
    </row>
    <row r="40" spans="1:22" ht="15" customHeight="1" x14ac:dyDescent="0.3">
      <c r="A40" s="775">
        <v>2018</v>
      </c>
      <c r="B40" s="1408">
        <f>'Sockeye Returns Data'!CG43</f>
        <v>79516</v>
      </c>
      <c r="C40" s="779">
        <f>204616.460601876-VLOOKUP($A40,Skaha_Returns_PenChannel,2)</f>
        <v>181116.460601876</v>
      </c>
      <c r="D40" s="728">
        <f t="shared" si="0"/>
        <v>-101600.460601876</v>
      </c>
      <c r="E40" s="730">
        <f t="shared" si="1"/>
        <v>-0.5609675689566983</v>
      </c>
      <c r="F40" s="782">
        <v>1.9723865877712033E-3</v>
      </c>
      <c r="G40" s="783">
        <v>0.97633136094674555</v>
      </c>
      <c r="H40" s="783">
        <v>5.9171597633136093E-3</v>
      </c>
      <c r="I40" s="783">
        <v>1.3806706114398421E-2</v>
      </c>
      <c r="J40" s="783">
        <v>1.9723865877712033E-3</v>
      </c>
      <c r="K40" s="783">
        <v>0</v>
      </c>
      <c r="L40" s="783" t="s">
        <v>257</v>
      </c>
      <c r="M40" s="783" t="s">
        <v>257</v>
      </c>
      <c r="N40" s="773">
        <f t="shared" si="2"/>
        <v>1</v>
      </c>
      <c r="O40" s="781" t="s">
        <v>475</v>
      </c>
      <c r="R40" s="859">
        <v>2018</v>
      </c>
      <c r="S40" s="840" t="s">
        <v>461</v>
      </c>
      <c r="T40" s="839" t="s">
        <v>478</v>
      </c>
      <c r="U40" s="835" t="s">
        <v>479</v>
      </c>
      <c r="V40" s="835" t="s">
        <v>477</v>
      </c>
    </row>
    <row r="41" spans="1:22" ht="15" customHeight="1" x14ac:dyDescent="0.3">
      <c r="A41" s="775">
        <v>2019</v>
      </c>
      <c r="B41" s="1408">
        <f>'Sockeye Returns Data'!CG44</f>
        <v>27804</v>
      </c>
      <c r="C41" s="779">
        <f>60959.0217140145-VLOOKUP($A41,Skaha_Returns_PenChannel,2)</f>
        <v>58371.021714014503</v>
      </c>
      <c r="D41" s="728">
        <f t="shared" si="0"/>
        <v>-30567.021714014503</v>
      </c>
      <c r="E41" s="730">
        <f t="shared" si="1"/>
        <v>-0.52366775184741299</v>
      </c>
      <c r="F41" s="782">
        <v>0.16715542521994134</v>
      </c>
      <c r="G41" s="783">
        <v>0.52492668621700878</v>
      </c>
      <c r="H41" s="783">
        <v>5.8651026392961877E-3</v>
      </c>
      <c r="I41" s="783">
        <v>0.29912023460410558</v>
      </c>
      <c r="J41" s="783">
        <v>2.9325513196480938E-3</v>
      </c>
      <c r="K41" s="783">
        <v>0</v>
      </c>
      <c r="L41" s="783" t="s">
        <v>257</v>
      </c>
      <c r="M41" s="783" t="s">
        <v>257</v>
      </c>
      <c r="N41" s="773">
        <f t="shared" si="2"/>
        <v>1</v>
      </c>
      <c r="O41" s="781" t="s">
        <v>475</v>
      </c>
      <c r="R41" s="859">
        <v>2019</v>
      </c>
      <c r="S41" s="840" t="s">
        <v>461</v>
      </c>
      <c r="T41" s="839" t="s">
        <v>478</v>
      </c>
      <c r="U41" s="838" t="s">
        <v>479</v>
      </c>
      <c r="V41" s="835" t="s">
        <v>477</v>
      </c>
    </row>
    <row r="42" spans="1:22" ht="15" customHeight="1" x14ac:dyDescent="0.3">
      <c r="A42" s="775">
        <v>2020</v>
      </c>
      <c r="B42" s="1408">
        <f>'Sockeye Returns Data'!CG45</f>
        <v>165132</v>
      </c>
      <c r="C42" s="847">
        <f>297055.828993795-VLOOKUP($A42,Skaha_Returns_PenChannel,2)</f>
        <v>297055.82899379497</v>
      </c>
      <c r="D42" s="846">
        <f t="shared" si="0"/>
        <v>-131923.82899379497</v>
      </c>
      <c r="E42" s="848">
        <f t="shared" si="1"/>
        <v>-0.44410449524136641</v>
      </c>
      <c r="F42" s="782">
        <v>1.0999999999999999E-2</v>
      </c>
      <c r="G42" s="783">
        <v>0.97099999999999997</v>
      </c>
      <c r="H42" s="783">
        <v>0</v>
      </c>
      <c r="I42" s="783">
        <v>1.7999999999999999E-2</v>
      </c>
      <c r="J42" s="783">
        <v>0</v>
      </c>
      <c r="K42" s="783">
        <v>0</v>
      </c>
      <c r="L42" s="783" t="s">
        <v>257</v>
      </c>
      <c r="M42" s="783" t="s">
        <v>257</v>
      </c>
      <c r="N42" s="773">
        <f t="shared" si="2"/>
        <v>1</v>
      </c>
      <c r="O42" s="2163" t="s">
        <v>494</v>
      </c>
      <c r="P42" t="s">
        <v>495</v>
      </c>
      <c r="R42" s="859">
        <v>2020</v>
      </c>
      <c r="S42" s="840" t="s">
        <v>461</v>
      </c>
      <c r="T42" s="839" t="s">
        <v>478</v>
      </c>
      <c r="U42" s="838" t="s">
        <v>479</v>
      </c>
      <c r="V42" s="2161" t="s">
        <v>496</v>
      </c>
    </row>
    <row r="43" spans="1:22" ht="15" customHeight="1" x14ac:dyDescent="0.3">
      <c r="A43" s="775">
        <v>2021</v>
      </c>
      <c r="B43" s="1408">
        <f>'Sockeye Returns Data'!CG46</f>
        <v>56431</v>
      </c>
      <c r="C43" s="847">
        <f>110834.914670909-VLOOKUP($A43,Skaha_Returns_PenChannel,2)</f>
        <v>110834.914670909</v>
      </c>
      <c r="D43" s="846">
        <f t="shared" si="0"/>
        <v>-54403.914670908998</v>
      </c>
      <c r="E43" s="848">
        <f t="shared" si="1"/>
        <v>-0.49085538462717354</v>
      </c>
      <c r="F43" s="782">
        <v>0.17799999999999999</v>
      </c>
      <c r="G43" s="783">
        <v>0.76500000000000001</v>
      </c>
      <c r="H43" s="783">
        <v>0</v>
      </c>
      <c r="I43" s="783">
        <v>5.7000000000000002E-2</v>
      </c>
      <c r="J43" s="783">
        <v>0</v>
      </c>
      <c r="K43" s="783">
        <v>0</v>
      </c>
      <c r="L43" s="783" t="s">
        <v>257</v>
      </c>
      <c r="M43" s="783" t="s">
        <v>257</v>
      </c>
      <c r="N43" s="773">
        <f t="shared" si="2"/>
        <v>1</v>
      </c>
      <c r="O43" s="2163" t="s">
        <v>494</v>
      </c>
      <c r="P43" t="s">
        <v>497</v>
      </c>
      <c r="R43" s="859">
        <v>2021</v>
      </c>
      <c r="S43" s="840" t="s">
        <v>461</v>
      </c>
      <c r="T43" s="839" t="s">
        <v>478</v>
      </c>
      <c r="U43" s="838" t="s">
        <v>479</v>
      </c>
      <c r="V43" s="2161" t="s">
        <v>496</v>
      </c>
    </row>
    <row r="44" spans="1:22" ht="15" customHeight="1" thickBot="1" x14ac:dyDescent="0.35">
      <c r="A44" s="944">
        <v>2022</v>
      </c>
      <c r="B44" s="1408">
        <f>'Sockeye Returns Data'!BW47</f>
        <v>394603.40725664911</v>
      </c>
      <c r="C44" s="851">
        <f>537299-VLOOKUP($A44,Skaha_Returns_PenChannel,2)</f>
        <v>497299</v>
      </c>
      <c r="D44" s="852">
        <f t="shared" si="0"/>
        <v>-102695.59274335089</v>
      </c>
      <c r="E44" s="853"/>
      <c r="F44" s="782">
        <v>1.9E-2</v>
      </c>
      <c r="G44" s="783">
        <v>0.86099999999999999</v>
      </c>
      <c r="H44" s="783">
        <v>8.0000000000000002E-3</v>
      </c>
      <c r="I44" s="783">
        <v>0.12</v>
      </c>
      <c r="J44" s="783"/>
      <c r="K44" s="783" t="s">
        <v>257</v>
      </c>
      <c r="L44" s="783" t="s">
        <v>257</v>
      </c>
      <c r="M44" s="783" t="s">
        <v>257</v>
      </c>
      <c r="N44" s="773">
        <f t="shared" si="2"/>
        <v>1.008</v>
      </c>
      <c r="O44" s="2163" t="s">
        <v>494</v>
      </c>
      <c r="P44" t="s">
        <v>498</v>
      </c>
      <c r="R44" s="859">
        <v>2022</v>
      </c>
      <c r="S44" s="840" t="s">
        <v>461</v>
      </c>
      <c r="T44" s="841" t="s">
        <v>478</v>
      </c>
      <c r="U44" s="838" t="s">
        <v>479</v>
      </c>
      <c r="V44" s="2162" t="s">
        <v>496</v>
      </c>
    </row>
    <row r="45" spans="1:22" ht="15" customHeight="1" thickBot="1" x14ac:dyDescent="0.35">
      <c r="A45" s="944">
        <v>2023</v>
      </c>
      <c r="B45" s="1408">
        <f>'Sockeye Returns Data'!BW48</f>
        <v>109627.63797347041</v>
      </c>
      <c r="C45" s="851">
        <f>537299-VLOOKUP($A45,Skaha_Returns_PenChannel,2)</f>
        <v>497299</v>
      </c>
      <c r="D45" s="852">
        <f>B45-C45</f>
        <v>-387671.36202652962</v>
      </c>
      <c r="E45" s="853"/>
      <c r="F45" s="782">
        <v>8.8999999999999996E-2</v>
      </c>
      <c r="G45" s="783">
        <v>0.81200000000000006</v>
      </c>
      <c r="H45" s="783">
        <v>3.0000000000000001E-3</v>
      </c>
      <c r="I45" s="783">
        <v>9.6000000000000002E-2</v>
      </c>
      <c r="J45" s="783">
        <v>0</v>
      </c>
      <c r="K45" s="783" t="s">
        <v>257</v>
      </c>
      <c r="L45" s="783" t="s">
        <v>257</v>
      </c>
      <c r="M45" s="783" t="s">
        <v>257</v>
      </c>
      <c r="N45" s="773">
        <f>SUM(F45:M45)</f>
        <v>1</v>
      </c>
      <c r="O45" s="2163" t="s">
        <v>494</v>
      </c>
      <c r="P45" t="s">
        <v>499</v>
      </c>
      <c r="R45" s="859">
        <v>2023</v>
      </c>
      <c r="S45" s="840" t="s">
        <v>461</v>
      </c>
      <c r="T45" s="841" t="s">
        <v>478</v>
      </c>
      <c r="U45" s="838" t="s">
        <v>479</v>
      </c>
      <c r="V45" s="2162" t="s">
        <v>496</v>
      </c>
    </row>
    <row r="48" spans="1:22" ht="15" customHeight="1" x14ac:dyDescent="0.3">
      <c r="H48" s="854"/>
    </row>
  </sheetData>
  <autoFilter ref="A1:E44" xr:uid="{576EBFD0-76FD-48E5-AF87-D5EA4B27BF0F}"/>
  <mergeCells count="1">
    <mergeCell ref="P3:P6"/>
  </mergeCells>
  <phoneticPr fontId="58" type="noConversion"/>
  <conditionalFormatting sqref="B2:C45">
    <cfRule type="colorScale" priority="1">
      <colorScale>
        <cfvo type="min"/>
        <cfvo type="percentile" val="50"/>
        <cfvo type="max"/>
        <color rgb="FFF8696B"/>
        <color rgb="FFFFEB84"/>
        <color rgb="FF63BE7B"/>
      </colorScale>
    </cfRule>
  </conditionalFormatting>
  <conditionalFormatting sqref="D2:D43">
    <cfRule type="colorScale" priority="3">
      <colorScale>
        <cfvo type="min"/>
        <cfvo type="percentile" val="50"/>
        <cfvo type="max"/>
        <color rgb="FFF8696B"/>
        <color rgb="FFFFEB84"/>
        <color rgb="FF63BE7B"/>
      </colorScale>
    </cfRule>
  </conditionalFormatting>
  <conditionalFormatting sqref="E2:E43">
    <cfRule type="colorScale" priority="2">
      <colorScale>
        <cfvo type="min"/>
        <cfvo type="percentile" val="50"/>
        <cfvo type="max"/>
        <color rgb="FFF8696B"/>
        <color rgb="FFFFEB84"/>
        <color rgb="FF63BE7B"/>
      </colorScale>
    </cfRule>
  </conditionalFormatting>
  <pageMargins left="0.7" right="0.7" top="0.75" bottom="0.75" header="0.3" footer="0.3"/>
  <pageSetup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9EE6BA-42D7-4FEB-9C3A-1F82D030CC07}">
  <sheetPr codeName="Sheet9"/>
  <dimension ref="A1:I38"/>
  <sheetViews>
    <sheetView workbookViewId="0">
      <selection activeCell="D3" sqref="D3"/>
    </sheetView>
  </sheetViews>
  <sheetFormatPr defaultRowHeight="14.4" x14ac:dyDescent="0.3"/>
  <cols>
    <col min="1" max="3" width="11.33203125" customWidth="1"/>
  </cols>
  <sheetData>
    <row r="1" spans="1:9" ht="24" customHeight="1" x14ac:dyDescent="0.3">
      <c r="A1" s="2557" t="s">
        <v>500</v>
      </c>
      <c r="B1" s="2584" t="s">
        <v>210</v>
      </c>
      <c r="C1" s="2586" t="s">
        <v>501</v>
      </c>
      <c r="D1" s="2581" t="s">
        <v>502</v>
      </c>
      <c r="E1" s="2582" t="s">
        <v>503</v>
      </c>
      <c r="F1" s="2581" t="s">
        <v>393</v>
      </c>
      <c r="G1" s="2582" t="s">
        <v>504</v>
      </c>
      <c r="I1" t="s">
        <v>505</v>
      </c>
    </row>
    <row r="2" spans="1:9" ht="24" customHeight="1" thickBot="1" x14ac:dyDescent="0.35">
      <c r="A2" s="2558"/>
      <c r="B2" s="2585"/>
      <c r="C2" s="2587"/>
      <c r="D2" s="2454"/>
      <c r="E2" s="2583"/>
      <c r="F2" s="2454"/>
      <c r="G2" s="2583"/>
    </row>
    <row r="3" spans="1:9" ht="14.7" customHeight="1" x14ac:dyDescent="0.3">
      <c r="A3" t="s">
        <v>243</v>
      </c>
      <c r="B3">
        <v>1985</v>
      </c>
      <c r="C3" s="444">
        <v>1862581.902</v>
      </c>
      <c r="D3" s="444">
        <v>43322.532713027773</v>
      </c>
      <c r="E3" s="512">
        <v>2.3259397434555216E-2</v>
      </c>
      <c r="F3" s="448">
        <v>49037.546372544442</v>
      </c>
      <c r="G3" s="449">
        <v>2.632772621697279E-2</v>
      </c>
    </row>
    <row r="4" spans="1:9" x14ac:dyDescent="0.3">
      <c r="A4" t="s">
        <v>243</v>
      </c>
      <c r="B4">
        <v>1986</v>
      </c>
      <c r="C4" s="444">
        <v>2420214.3059999999</v>
      </c>
      <c r="D4" s="444">
        <v>109721.73783678295</v>
      </c>
      <c r="E4" s="512">
        <v>4.5335546345945346E-2</v>
      </c>
      <c r="F4" s="448">
        <v>124204.3860786443</v>
      </c>
      <c r="G4" s="449">
        <v>5.1319581811712631E-2</v>
      </c>
    </row>
    <row r="5" spans="1:9" x14ac:dyDescent="0.3">
      <c r="A5" t="s">
        <v>243</v>
      </c>
      <c r="B5">
        <v>1987</v>
      </c>
      <c r="C5" s="444">
        <v>1310921.2320000001</v>
      </c>
      <c r="D5" s="444">
        <v>21839.309252422143</v>
      </c>
      <c r="E5" s="512">
        <v>1.6659512958763445E-2</v>
      </c>
      <c r="F5" s="378">
        <v>24700.564783817583</v>
      </c>
      <c r="G5" s="341">
        <v>1.8842142594741026E-2</v>
      </c>
    </row>
    <row r="6" spans="1:9" x14ac:dyDescent="0.3">
      <c r="A6" t="s">
        <v>243</v>
      </c>
      <c r="B6">
        <v>1988</v>
      </c>
      <c r="C6" s="444">
        <v>530427.83799999999</v>
      </c>
      <c r="D6" s="444">
        <v>3888.0000732112444</v>
      </c>
      <c r="E6" s="512">
        <v>7.3299321692298592E-3</v>
      </c>
      <c r="F6" s="378">
        <v>4400.387879416503</v>
      </c>
      <c r="G6" s="340">
        <v>8.2959218279499564E-3</v>
      </c>
    </row>
    <row r="7" spans="1:9" x14ac:dyDescent="0.3">
      <c r="A7" t="s">
        <v>243</v>
      </c>
      <c r="B7">
        <v>1989</v>
      </c>
      <c r="C7" s="444">
        <v>731366.70200000005</v>
      </c>
      <c r="D7" s="444">
        <v>30527.274679216971</v>
      </c>
      <c r="E7" s="512">
        <v>4.1740039019737829E-2</v>
      </c>
      <c r="F7" s="378">
        <v>34556.87493687361</v>
      </c>
      <c r="G7" s="341">
        <v>4.7249724170343219E-2</v>
      </c>
    </row>
    <row r="8" spans="1:9" x14ac:dyDescent="0.3">
      <c r="A8" t="s">
        <v>243</v>
      </c>
      <c r="B8">
        <v>1990</v>
      </c>
      <c r="C8" s="444">
        <v>315960.77400000003</v>
      </c>
      <c r="D8" s="444">
        <v>48501.848482911286</v>
      </c>
      <c r="E8" s="512">
        <v>0.15350591742413974</v>
      </c>
      <c r="F8" s="378">
        <v>54906.419445586442</v>
      </c>
      <c r="G8" s="341">
        <v>0.17377606324507369</v>
      </c>
    </row>
    <row r="9" spans="1:9" x14ac:dyDescent="0.3">
      <c r="A9" t="s">
        <v>243</v>
      </c>
      <c r="B9">
        <v>1991</v>
      </c>
      <c r="C9" s="444">
        <v>485056.83199999999</v>
      </c>
      <c r="D9" s="444">
        <v>49065.908287143844</v>
      </c>
      <c r="E9" s="512">
        <v>0.10115496793403343</v>
      </c>
      <c r="F9" s="333">
        <v>55582.547326624168</v>
      </c>
      <c r="G9" s="341">
        <v>0.11458976280664812</v>
      </c>
    </row>
    <row r="10" spans="1:9" x14ac:dyDescent="0.3">
      <c r="A10" t="s">
        <v>243</v>
      </c>
      <c r="B10">
        <v>1992</v>
      </c>
      <c r="C10" s="444">
        <v>177380.47</v>
      </c>
      <c r="D10" s="444">
        <v>411.31249901824526</v>
      </c>
      <c r="E10" s="512">
        <v>2.3188150252293573E-3</v>
      </c>
      <c r="F10" s="333">
        <v>465.53921930971723</v>
      </c>
      <c r="G10" s="341">
        <v>2.6245235414570568E-3</v>
      </c>
    </row>
    <row r="11" spans="1:9" x14ac:dyDescent="0.3">
      <c r="A11" t="s">
        <v>243</v>
      </c>
      <c r="B11">
        <v>1993</v>
      </c>
      <c r="C11" s="444">
        <v>1479534.14</v>
      </c>
      <c r="D11" s="444">
        <v>3645.125593487634</v>
      </c>
      <c r="E11" s="512">
        <v>2.4636981972498682E-3</v>
      </c>
      <c r="F11" s="333">
        <v>4120.3060751993589</v>
      </c>
      <c r="G11" s="341">
        <v>2.784867184747328E-3</v>
      </c>
    </row>
    <row r="12" spans="1:9" x14ac:dyDescent="0.3">
      <c r="A12" t="s">
        <v>243</v>
      </c>
      <c r="B12">
        <v>1994</v>
      </c>
      <c r="C12" s="444">
        <v>694473.36800000002</v>
      </c>
      <c r="D12" s="444">
        <v>19876.541355619949</v>
      </c>
      <c r="E12" s="512">
        <v>2.8621027488587508E-2</v>
      </c>
      <c r="F12" s="333">
        <v>22494.768663760049</v>
      </c>
      <c r="G12" s="341">
        <v>3.2391117788349875E-2</v>
      </c>
    </row>
    <row r="13" spans="1:9" x14ac:dyDescent="0.3">
      <c r="A13" t="s">
        <v>243</v>
      </c>
      <c r="B13">
        <v>1995</v>
      </c>
      <c r="C13" s="444">
        <v>979216.21</v>
      </c>
      <c r="D13" s="444">
        <v>30828.842873952919</v>
      </c>
      <c r="E13" s="512">
        <v>3.1483182732394636E-2</v>
      </c>
      <c r="F13" s="333">
        <v>34761.092851429115</v>
      </c>
      <c r="G13" s="341">
        <v>3.5498894418250201E-2</v>
      </c>
    </row>
    <row r="14" spans="1:9" x14ac:dyDescent="0.3">
      <c r="A14" t="s">
        <v>243</v>
      </c>
      <c r="B14">
        <v>1996</v>
      </c>
      <c r="C14" s="444">
        <v>140210.13</v>
      </c>
      <c r="D14" s="444">
        <v>5481.0093678845178</v>
      </c>
      <c r="E14" s="512">
        <v>3.9091393524023674E-2</v>
      </c>
      <c r="F14" s="333">
        <v>5519.5842790799425</v>
      </c>
      <c r="G14" s="341">
        <v>3.9366515665308507E-2</v>
      </c>
    </row>
    <row r="15" spans="1:9" x14ac:dyDescent="0.3">
      <c r="A15" t="s">
        <v>243</v>
      </c>
      <c r="B15">
        <v>1997</v>
      </c>
      <c r="C15" s="444">
        <v>379994.25400000002</v>
      </c>
      <c r="D15" s="444">
        <v>12005.266908481181</v>
      </c>
      <c r="E15" s="512">
        <v>3.1593285377628844E-2</v>
      </c>
      <c r="F15" s="333">
        <v>12016.412514199601</v>
      </c>
      <c r="G15" s="341">
        <v>3.1622616362508474E-2</v>
      </c>
    </row>
    <row r="16" spans="1:9" x14ac:dyDescent="0.3">
      <c r="A16" t="s">
        <v>243</v>
      </c>
      <c r="B16">
        <v>1998</v>
      </c>
      <c r="C16" s="444">
        <v>1209167</v>
      </c>
      <c r="D16" s="444">
        <v>66238.856681959907</v>
      </c>
      <c r="E16" s="512">
        <v>5.4780569335716164E-2</v>
      </c>
      <c r="F16" s="333">
        <v>66240.873902233187</v>
      </c>
      <c r="G16" s="341">
        <v>5.4782237608397504E-2</v>
      </c>
    </row>
    <row r="17" spans="1:7" x14ac:dyDescent="0.3">
      <c r="A17" t="s">
        <v>243</v>
      </c>
      <c r="B17">
        <v>1999</v>
      </c>
      <c r="C17" s="444">
        <v>3099743</v>
      </c>
      <c r="D17" s="444">
        <v>90773.533096657018</v>
      </c>
      <c r="E17" s="512">
        <v>2.9284212625581223E-2</v>
      </c>
      <c r="F17" s="333">
        <v>92448.136808080191</v>
      </c>
      <c r="G17" s="341">
        <v>2.9824452158801616E-2</v>
      </c>
    </row>
    <row r="18" spans="1:7" x14ac:dyDescent="0.3">
      <c r="A18" t="s">
        <v>243</v>
      </c>
      <c r="B18">
        <v>2000</v>
      </c>
      <c r="C18" s="444">
        <v>281333</v>
      </c>
      <c r="D18" s="444">
        <v>12005.073246854503</v>
      </c>
      <c r="E18" s="512">
        <v>4.2672111863359445E-2</v>
      </c>
      <c r="F18" s="333">
        <v>12049.94561980284</v>
      </c>
      <c r="G18" s="341">
        <v>4.2831611008316978E-2</v>
      </c>
    </row>
    <row r="19" spans="1:7" x14ac:dyDescent="0.3">
      <c r="A19" t="s">
        <v>243</v>
      </c>
      <c r="B19">
        <v>2001</v>
      </c>
      <c r="C19" s="444">
        <v>1446600</v>
      </c>
      <c r="D19" s="444">
        <v>19912.056591689725</v>
      </c>
      <c r="E19" s="513">
        <v>1.3764728737515363E-2</v>
      </c>
      <c r="F19" s="333">
        <v>16622.037586407274</v>
      </c>
      <c r="G19" s="470">
        <v>1.1490417244855021E-2</v>
      </c>
    </row>
    <row r="20" spans="1:7" x14ac:dyDescent="0.3">
      <c r="A20" t="s">
        <v>243</v>
      </c>
      <c r="B20">
        <v>2002</v>
      </c>
      <c r="C20" s="444">
        <v>2927009</v>
      </c>
      <c r="D20" s="444">
        <v>107855.99048533605</v>
      </c>
      <c r="E20" s="512">
        <v>3.6848533942101323E-2</v>
      </c>
      <c r="F20" s="333">
        <v>106864.90952893894</v>
      </c>
      <c r="G20" s="341">
        <v>3.6509935408103954E-2</v>
      </c>
    </row>
    <row r="21" spans="1:7" x14ac:dyDescent="0.3">
      <c r="A21" t="s">
        <v>243</v>
      </c>
      <c r="B21">
        <v>2003</v>
      </c>
      <c r="C21" s="444">
        <v>2080978</v>
      </c>
      <c r="D21" s="444">
        <v>62386.995670271557</v>
      </c>
      <c r="E21" s="512">
        <v>2.9979651716775264E-2</v>
      </c>
      <c r="F21" s="333">
        <v>62446.490751800593</v>
      </c>
      <c r="G21" s="341">
        <v>3.0008241678576415E-2</v>
      </c>
    </row>
    <row r="22" spans="1:7" x14ac:dyDescent="0.3">
      <c r="A22" t="s">
        <v>243</v>
      </c>
      <c r="B22">
        <v>2004</v>
      </c>
      <c r="C22" s="444">
        <v>627855</v>
      </c>
      <c r="D22" s="444">
        <v>26039.65461597922</v>
      </c>
      <c r="E22" s="512">
        <v>4.1473994180151817E-2</v>
      </c>
      <c r="F22" s="333">
        <v>26041.946542730446</v>
      </c>
      <c r="G22" s="341">
        <v>4.1477644587891223E-2</v>
      </c>
    </row>
    <row r="23" spans="1:7" x14ac:dyDescent="0.3">
      <c r="A23" t="s">
        <v>243</v>
      </c>
      <c r="B23">
        <v>2005</v>
      </c>
      <c r="C23" s="444">
        <v>735805</v>
      </c>
      <c r="D23" s="444">
        <v>14067.455922063551</v>
      </c>
      <c r="E23" s="512">
        <v>1.9118456550395214E-2</v>
      </c>
      <c r="F23" s="333">
        <v>14067.455922063551</v>
      </c>
      <c r="G23" s="341">
        <v>1.9118456550395214E-2</v>
      </c>
    </row>
    <row r="24" spans="1:7" x14ac:dyDescent="0.3">
      <c r="A24" t="s">
        <v>243</v>
      </c>
      <c r="B24">
        <v>2006</v>
      </c>
      <c r="C24" s="444">
        <v>1783500</v>
      </c>
      <c r="D24" s="444">
        <v>189012.20700374336</v>
      </c>
      <c r="E24" s="512">
        <v>0.10597824895079527</v>
      </c>
      <c r="F24" s="333">
        <v>189012.20700374336</v>
      </c>
      <c r="G24" s="341">
        <v>0.10597824895079527</v>
      </c>
    </row>
    <row r="25" spans="1:7" x14ac:dyDescent="0.3">
      <c r="A25" t="s">
        <v>243</v>
      </c>
      <c r="B25">
        <v>2007</v>
      </c>
      <c r="C25" s="444">
        <v>2026709</v>
      </c>
      <c r="D25" s="444">
        <v>169288.27976202028</v>
      </c>
      <c r="E25" s="512">
        <v>8.3528656438600843E-2</v>
      </c>
      <c r="F25" s="333">
        <v>169283.90374214994</v>
      </c>
      <c r="G25" s="341">
        <v>8.3526497263371274E-2</v>
      </c>
    </row>
    <row r="26" spans="1:7" x14ac:dyDescent="0.3">
      <c r="A26" t="s">
        <v>243</v>
      </c>
      <c r="B26">
        <v>2008</v>
      </c>
      <c r="C26" s="444">
        <v>2133694</v>
      </c>
      <c r="D26" s="444">
        <v>319827.82070317888</v>
      </c>
      <c r="E26" s="512">
        <v>0.14989394950877627</v>
      </c>
      <c r="F26" s="333">
        <v>319774.68988652661</v>
      </c>
      <c r="G26" s="341">
        <v>0.14986904864827225</v>
      </c>
    </row>
    <row r="27" spans="1:7" x14ac:dyDescent="0.3">
      <c r="A27" t="s">
        <v>243</v>
      </c>
      <c r="B27">
        <v>2009</v>
      </c>
      <c r="C27" s="444">
        <v>875327</v>
      </c>
      <c r="D27" s="444">
        <v>112296.86593772291</v>
      </c>
      <c r="E27" s="512">
        <v>0.12829133105424934</v>
      </c>
      <c r="F27" s="333">
        <v>112296.28635392216</v>
      </c>
      <c r="G27" s="341">
        <v>0.12829066892021171</v>
      </c>
    </row>
    <row r="28" spans="1:7" x14ac:dyDescent="0.3">
      <c r="A28" t="s">
        <v>243</v>
      </c>
      <c r="B28">
        <v>2010</v>
      </c>
      <c r="C28" s="444">
        <v>7488306</v>
      </c>
      <c r="D28" s="444">
        <v>443124.78133622988</v>
      </c>
      <c r="E28" s="512">
        <v>5.917557072804315E-2</v>
      </c>
      <c r="F28" s="333">
        <v>442680.38987207116</v>
      </c>
      <c r="G28" s="341">
        <v>5.9116226002525959E-2</v>
      </c>
    </row>
    <row r="29" spans="1:7" x14ac:dyDescent="0.3">
      <c r="A29" t="s">
        <v>243</v>
      </c>
      <c r="B29">
        <v>2011</v>
      </c>
      <c r="C29" s="444">
        <v>929531</v>
      </c>
      <c r="D29" s="444">
        <v>137291.87662291367</v>
      </c>
      <c r="E29" s="512">
        <v>0.14770015913714946</v>
      </c>
      <c r="F29" s="333">
        <v>124462.92839489631</v>
      </c>
      <c r="G29" s="341">
        <v>0.13389863102456648</v>
      </c>
    </row>
    <row r="30" spans="1:7" s="514" customFormat="1" x14ac:dyDescent="0.3">
      <c r="A30" s="514" t="s">
        <v>243</v>
      </c>
      <c r="B30" s="514">
        <v>2012</v>
      </c>
      <c r="C30" s="515">
        <v>4435800</v>
      </c>
      <c r="D30" s="515">
        <v>519871.59415617655</v>
      </c>
      <c r="E30" s="516">
        <v>0.11719906085850952</v>
      </c>
      <c r="F30" s="517">
        <v>516532.62148500269</v>
      </c>
      <c r="G30" s="518">
        <v>0.11644632794197274</v>
      </c>
    </row>
    <row r="31" spans="1:7" x14ac:dyDescent="0.3">
      <c r="A31" t="s">
        <v>243</v>
      </c>
      <c r="B31">
        <v>2013</v>
      </c>
      <c r="C31" s="444">
        <v>2898435</v>
      </c>
      <c r="D31" s="444">
        <v>412842.79026956437</v>
      </c>
      <c r="E31" s="512">
        <v>0.14243644941824274</v>
      </c>
      <c r="F31" s="333">
        <v>412490.71682260424</v>
      </c>
      <c r="G31" s="341">
        <v>0.14231497922934419</v>
      </c>
    </row>
    <row r="32" spans="1:7" x14ac:dyDescent="0.3">
      <c r="A32" t="s">
        <v>243</v>
      </c>
      <c r="B32">
        <v>2014</v>
      </c>
      <c r="C32" s="444">
        <v>5002124</v>
      </c>
      <c r="D32" s="444">
        <v>248395.31689877357</v>
      </c>
      <c r="E32" s="512">
        <v>4.9657968674661719E-2</v>
      </c>
      <c r="F32" s="333">
        <v>248400.48143557095</v>
      </c>
      <c r="G32" s="341">
        <v>4.9659001143428465E-2</v>
      </c>
    </row>
    <row r="33" spans="1:7" x14ac:dyDescent="0.3">
      <c r="A33" t="s">
        <v>243</v>
      </c>
      <c r="B33">
        <v>2015</v>
      </c>
      <c r="C33" s="444">
        <v>2209546</v>
      </c>
      <c r="D33" s="444">
        <v>46242.874778949139</v>
      </c>
      <c r="E33" s="512">
        <v>2.0928677103327624E-2</v>
      </c>
      <c r="F33" s="333">
        <v>46242.158083180897</v>
      </c>
      <c r="G33" s="341">
        <v>2.0928352739965992E-2</v>
      </c>
    </row>
    <row r="34" spans="1:7" x14ac:dyDescent="0.3">
      <c r="A34" t="s">
        <v>243</v>
      </c>
      <c r="B34">
        <v>2016</v>
      </c>
      <c r="C34" s="444">
        <v>7383151</v>
      </c>
      <c r="D34" s="444">
        <v>200525.81239455636</v>
      </c>
      <c r="E34" s="512">
        <v>2.7159922964403189E-2</v>
      </c>
      <c r="F34" s="333">
        <v>200489.4104860459</v>
      </c>
      <c r="G34" s="341">
        <v>2.7154992561583245E-2</v>
      </c>
    </row>
    <row r="35" spans="1:7" x14ac:dyDescent="0.3">
      <c r="A35" t="s">
        <v>243</v>
      </c>
      <c r="B35">
        <v>2017</v>
      </c>
      <c r="C35" s="444">
        <v>1885712</v>
      </c>
      <c r="D35" s="444">
        <v>30927.178701274381</v>
      </c>
      <c r="E35" s="512">
        <v>1.640079646376243E-2</v>
      </c>
      <c r="F35" s="333">
        <v>30927.572186354275</v>
      </c>
      <c r="G35" s="341">
        <v>1.6401005130345606E-2</v>
      </c>
    </row>
    <row r="36" spans="1:7" x14ac:dyDescent="0.3">
      <c r="A36" t="s">
        <v>243</v>
      </c>
      <c r="B36">
        <v>2018</v>
      </c>
      <c r="C36" s="444">
        <v>4122796</v>
      </c>
      <c r="D36" s="444">
        <v>297007.93187965243</v>
      </c>
      <c r="E36" s="512">
        <v>7.204041429157601E-2</v>
      </c>
      <c r="F36" s="333">
        <v>297008.13375995029</v>
      </c>
      <c r="G36" s="341">
        <v>7.2040463258417411E-2</v>
      </c>
    </row>
    <row r="37" spans="1:7" x14ac:dyDescent="0.3">
      <c r="A37" t="s">
        <v>243</v>
      </c>
      <c r="B37">
        <v>2019</v>
      </c>
      <c r="C37" s="444">
        <v>912588</v>
      </c>
      <c r="D37" s="444">
        <v>79631.887807613923</v>
      </c>
      <c r="E37" s="512">
        <v>8.725940710113865E-2</v>
      </c>
      <c r="F37" s="333">
        <v>79631.887807613923</v>
      </c>
      <c r="G37" s="341">
        <v>8.725940710113865E-2</v>
      </c>
    </row>
    <row r="38" spans="1:7" x14ac:dyDescent="0.3">
      <c r="A38" t="s">
        <v>243</v>
      </c>
      <c r="B38">
        <v>2020</v>
      </c>
    </row>
  </sheetData>
  <mergeCells count="7">
    <mergeCell ref="F1:F2"/>
    <mergeCell ref="G1:G2"/>
    <mergeCell ref="A1:A2"/>
    <mergeCell ref="B1:B2"/>
    <mergeCell ref="C1:C2"/>
    <mergeCell ref="D1:D2"/>
    <mergeCell ref="E1:E2"/>
  </mergeCells>
  <conditionalFormatting sqref="F3:F37">
    <cfRule type="dataBar" priority="2">
      <dataBar>
        <cfvo type="min"/>
        <cfvo type="max"/>
        <color rgb="FFFF555A"/>
      </dataBar>
      <extLst>
        <ext xmlns:x14="http://schemas.microsoft.com/office/spreadsheetml/2009/9/main" uri="{B025F937-C7B1-47D3-B67F-A62EFF666E3E}">
          <x14:id>{451EDEC3-B0F6-474B-BEF9-567062F77727}</x14:id>
        </ext>
      </extLst>
    </cfRule>
  </conditionalFormatting>
  <conditionalFormatting sqref="G3:G37">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dataBar" id="{451EDEC3-B0F6-474B-BEF9-567062F77727}">
            <x14:dataBar minLength="0" maxLength="100" border="1" negativeBarBorderColorSameAsPositive="0">
              <x14:cfvo type="autoMin"/>
              <x14:cfvo type="autoMax"/>
              <x14:borderColor rgb="FFFF555A"/>
              <x14:negativeFillColor rgb="FFFF0000"/>
              <x14:negativeBorderColor rgb="FFFF0000"/>
              <x14:axisColor rgb="FF000000"/>
            </x14:dataBar>
          </x14:cfRule>
          <xm:sqref>F3:F37</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99B109-89AF-4628-A436-E10FB92266C0}">
  <sheetPr codeName="Sheet17"/>
  <dimension ref="A1:N15"/>
  <sheetViews>
    <sheetView workbookViewId="0">
      <selection activeCell="C3" sqref="C3"/>
    </sheetView>
  </sheetViews>
  <sheetFormatPr defaultRowHeight="14.4" x14ac:dyDescent="0.3"/>
  <cols>
    <col min="1" max="3" width="12" customWidth="1"/>
    <col min="4" max="5" width="0" hidden="1" customWidth="1"/>
    <col min="6" max="6" width="12" customWidth="1"/>
    <col min="7" max="7" width="14.5546875" customWidth="1"/>
    <col min="8" max="8" width="10.6640625" style="664" customWidth="1"/>
    <col min="9" max="9" width="11.6640625" bestFit="1" customWidth="1"/>
    <col min="10" max="10" width="11.6640625" customWidth="1"/>
    <col min="11" max="11" width="8.6640625" bestFit="1" customWidth="1"/>
    <col min="12" max="12" width="11.6640625" customWidth="1"/>
    <col min="13" max="13" width="9" customWidth="1"/>
    <col min="15" max="15" width="13.33203125" bestFit="1" customWidth="1"/>
  </cols>
  <sheetData>
    <row r="1" spans="1:14" ht="46.95" customHeight="1" x14ac:dyDescent="0.3">
      <c r="A1" s="2557" t="s">
        <v>13</v>
      </c>
      <c r="B1" s="2588" t="s">
        <v>210</v>
      </c>
      <c r="C1" s="2590" t="s">
        <v>392</v>
      </c>
      <c r="D1" s="2592" t="s">
        <v>393</v>
      </c>
      <c r="E1" s="2594" t="s">
        <v>506</v>
      </c>
      <c r="F1" s="2602" t="s">
        <v>399</v>
      </c>
      <c r="G1" s="2600" t="s">
        <v>507</v>
      </c>
      <c r="H1" s="2557" t="s">
        <v>508</v>
      </c>
      <c r="I1" s="2602" t="s">
        <v>509</v>
      </c>
      <c r="J1" s="2602" t="s">
        <v>510</v>
      </c>
      <c r="K1" s="2602" t="s">
        <v>511</v>
      </c>
      <c r="L1" s="2602" t="s">
        <v>512</v>
      </c>
      <c r="M1" s="2604" t="s">
        <v>511</v>
      </c>
    </row>
    <row r="2" spans="1:14" ht="46.95" customHeight="1" thickBot="1" x14ac:dyDescent="0.35">
      <c r="A2" s="2558"/>
      <c r="B2" s="2589"/>
      <c r="C2" s="2591"/>
      <c r="D2" s="2593"/>
      <c r="E2" s="2595"/>
      <c r="F2" s="2603"/>
      <c r="G2" s="2601"/>
      <c r="H2" s="2558"/>
      <c r="I2" s="2603"/>
      <c r="J2" s="2603"/>
      <c r="K2" s="2603"/>
      <c r="L2" s="2603"/>
      <c r="M2" s="2605"/>
    </row>
    <row r="3" spans="1:14" ht="58.2" thickBot="1" x14ac:dyDescent="0.35">
      <c r="A3" s="913" t="s">
        <v>243</v>
      </c>
      <c r="B3" s="914">
        <v>2019</v>
      </c>
      <c r="C3" s="932">
        <f>VLOOKUP(B3,Smolt_Abundance,5)</f>
        <v>1556054</v>
      </c>
      <c r="D3" s="929">
        <v>91420.560052883011</v>
      </c>
      <c r="E3" s="915">
        <v>0.10017725419672734</v>
      </c>
      <c r="F3" s="916" t="s">
        <v>513</v>
      </c>
      <c r="G3" s="991" t="s">
        <v>514</v>
      </c>
      <c r="H3" s="995" t="s">
        <v>515</v>
      </c>
      <c r="I3" s="917">
        <f>0</f>
        <v>0</v>
      </c>
      <c r="J3" s="926">
        <f ca="1">AVERAGEIF(NOAA_OCI_MeanRanks,"&gt;=15",'Smolt to Adult Survival'!$E$22:$E$45)</f>
        <v>2.9639853460735228E-2</v>
      </c>
      <c r="K3" s="918">
        <f ca="1">J3*I3*C3</f>
        <v>0</v>
      </c>
      <c r="L3" s="926">
        <f ca="1">AVERAGEIF('Smolt to Adult Survival'!$M$30:$M$45,"&gt;=15",'Smolt to Adult Survival'!$E$30:$E$45)</f>
        <v>2.4055833553621543E-2</v>
      </c>
      <c r="M3" s="923">
        <f ca="1">L3*I3*C3</f>
        <v>0</v>
      </c>
    </row>
    <row r="4" spans="1:14" ht="58.2" thickBot="1" x14ac:dyDescent="0.35">
      <c r="A4" s="450" t="s">
        <v>243</v>
      </c>
      <c r="B4" s="906">
        <v>2020</v>
      </c>
      <c r="C4" s="933">
        <f>VLOOKUP(B4,Smolt_Abundance,5)</f>
        <v>2540161</v>
      </c>
      <c r="D4" s="930">
        <v>557876.03585206589</v>
      </c>
      <c r="E4" s="907">
        <v>0.21962231364549958</v>
      </c>
      <c r="F4" s="908" t="s">
        <v>516</v>
      </c>
      <c r="G4" s="992" t="s">
        <v>517</v>
      </c>
      <c r="H4" s="996" t="s">
        <v>518</v>
      </c>
      <c r="I4" s="909">
        <f>'Adult Returns Data'!J69</f>
        <v>7.1777643921627582E-2</v>
      </c>
      <c r="J4" s="927">
        <f ca="1">AVERAGEIF(NOAA_OCI_MeanRanks,"&gt;=10",'Smolt to Adult Survival'!$E$22:$E$45)</f>
        <v>5.0391532846431164E-2</v>
      </c>
      <c r="K4" s="910">
        <f ca="1">J4*I4*C4</f>
        <v>9187.7255080086998</v>
      </c>
      <c r="L4" s="927">
        <f ca="1">AVERAGEIF('Smolt to Adult Survival'!$M$30:$M$45,"&gt;=10",'Smolt to Adult Survival'!$E$30:$E$45)</f>
        <v>5.5399407210723457E-2</v>
      </c>
      <c r="M4" s="924">
        <f ca="1">L4*I4*C4</f>
        <v>10100.795074237816</v>
      </c>
    </row>
    <row r="5" spans="1:14" ht="58.2" thickBot="1" x14ac:dyDescent="0.35">
      <c r="A5" s="450" t="s">
        <v>243</v>
      </c>
      <c r="B5" s="906">
        <v>2021</v>
      </c>
      <c r="C5" s="933">
        <f>VLOOKUP(B5,Smolt_Abundance,5)</f>
        <v>1464091</v>
      </c>
      <c r="D5" s="930" t="s">
        <v>257</v>
      </c>
      <c r="E5" s="907" t="s">
        <v>257</v>
      </c>
      <c r="F5" s="911" t="s">
        <v>519</v>
      </c>
      <c r="G5" s="993" t="s">
        <v>520</v>
      </c>
      <c r="H5" s="997" t="s">
        <v>521</v>
      </c>
      <c r="I5" s="909">
        <f>'Adult Returns Data'!I69</f>
        <v>0.84698222527411882</v>
      </c>
      <c r="J5" s="928">
        <f ca="1">AVERAGEIF(NOAA_OCI_MeanRanks,"&lt;10",'Smolt to Adult Survival'!$E$22:$E$45)</f>
        <v>7.1330615276292017E-2</v>
      </c>
      <c r="K5" s="912">
        <f ca="1">J5*I5*C5</f>
        <v>88454.175242537283</v>
      </c>
      <c r="L5" s="928">
        <f ca="1">AVERAGEIF('Smolt to Adult Survival'!$M$30:$M$45,"&lt;10",'Smolt to Adult Survival'!$E$30:$E$45)</f>
        <v>9.9653547402049236E-2</v>
      </c>
      <c r="M5" s="925">
        <f ca="1">L5*I5*C5</f>
        <v>123576.28363779309</v>
      </c>
    </row>
    <row r="6" spans="1:14" ht="115.8" thickBot="1" x14ac:dyDescent="0.35">
      <c r="A6" s="934" t="s">
        <v>243</v>
      </c>
      <c r="B6" s="935">
        <v>2022</v>
      </c>
      <c r="C6" s="936">
        <f>VLOOKUP(B6,Smolt_Abundance,5)</f>
        <v>3673223</v>
      </c>
      <c r="D6" s="931" t="s">
        <v>257</v>
      </c>
      <c r="E6" s="919" t="s">
        <v>257</v>
      </c>
      <c r="F6" s="920" t="s">
        <v>516</v>
      </c>
      <c r="G6" s="994" t="s">
        <v>522</v>
      </c>
      <c r="H6" s="996" t="s">
        <v>523</v>
      </c>
      <c r="I6" s="909">
        <f>'Adult Returns Data'!H69</f>
        <v>8.1240130804253519E-2</v>
      </c>
      <c r="J6" s="927">
        <f ca="1">AVERAGEIF(NOAA_OCI_MeanRanks,"&gt;=10",'Smolt to Adult Survival'!$E$22:$E$45)</f>
        <v>5.0391532846431164E-2</v>
      </c>
      <c r="K6" s="910">
        <f ca="1">J6*I6*C6</f>
        <v>15037.494386768367</v>
      </c>
      <c r="L6" s="927">
        <f ca="1">AVERAGEIF('Smolt to Adult Survival'!$M$30:$M$45,"&gt;=10",'Smolt to Adult Survival'!$E$30:$E$45)</f>
        <v>5.5399407210723457E-2</v>
      </c>
      <c r="M6" s="924">
        <f ca="1">L6*I6*C6</f>
        <v>16531.909785327131</v>
      </c>
    </row>
    <row r="7" spans="1:14" ht="37.950000000000003" customHeight="1" thickBot="1" x14ac:dyDescent="0.35">
      <c r="A7" s="921" t="s">
        <v>243</v>
      </c>
      <c r="B7" s="922">
        <v>2023</v>
      </c>
      <c r="C7" s="2598"/>
      <c r="D7" s="2599"/>
      <c r="E7" s="2599"/>
      <c r="F7" s="2599"/>
      <c r="G7" s="2599"/>
      <c r="H7" s="2599"/>
      <c r="I7" s="2599"/>
      <c r="J7" s="2599"/>
      <c r="K7" s="1065">
        <f ca="1">SUM(K3:K6)</f>
        <v>112679.39513731435</v>
      </c>
      <c r="L7" s="937" t="s">
        <v>524</v>
      </c>
      <c r="M7" s="938">
        <f ca="1">SUM(M3:M6)</f>
        <v>150208.98849735802</v>
      </c>
      <c r="N7" s="2039" t="s">
        <v>525</v>
      </c>
    </row>
    <row r="8" spans="1:14" ht="15" thickBot="1" x14ac:dyDescent="0.35">
      <c r="I8" s="1062"/>
      <c r="J8" s="1063" t="s">
        <v>526</v>
      </c>
      <c r="K8" s="1064">
        <v>0.15</v>
      </c>
      <c r="L8" s="1062" t="s">
        <v>527</v>
      </c>
    </row>
    <row r="9" spans="1:14" x14ac:dyDescent="0.3">
      <c r="A9" s="1002" t="s">
        <v>528</v>
      </c>
      <c r="B9" s="316" t="s">
        <v>529</v>
      </c>
      <c r="C9" s="1004">
        <v>187400</v>
      </c>
      <c r="J9" s="2048" t="s">
        <v>530</v>
      </c>
      <c r="K9" s="2049">
        <f ca="1">$K$7-$K$7*$K$8</f>
        <v>95777.485866717194</v>
      </c>
      <c r="M9" s="2040">
        <f ca="1">$M$7-$M$7*$K$8</f>
        <v>127677.64022275431</v>
      </c>
      <c r="N9" s="2596" t="s">
        <v>525</v>
      </c>
    </row>
    <row r="10" spans="1:14" ht="15" thickBot="1" x14ac:dyDescent="0.35">
      <c r="B10" t="s">
        <v>531</v>
      </c>
      <c r="C10" s="713">
        <v>44300</v>
      </c>
      <c r="J10" s="2050" t="s">
        <v>532</v>
      </c>
      <c r="K10" s="2051">
        <f ca="1">$K$7+$K$7*$K$8</f>
        <v>129581.30440791151</v>
      </c>
      <c r="M10" s="2041">
        <f ca="1">$M$7+$M$7*$K$8</f>
        <v>172740.33677196171</v>
      </c>
      <c r="N10" s="2597"/>
    </row>
    <row r="11" spans="1:14" x14ac:dyDescent="0.3">
      <c r="B11" t="s">
        <v>533</v>
      </c>
      <c r="C11" s="713">
        <v>2600</v>
      </c>
    </row>
    <row r="12" spans="1:14" x14ac:dyDescent="0.3">
      <c r="B12" t="s">
        <v>343</v>
      </c>
      <c r="C12" s="713">
        <v>200</v>
      </c>
    </row>
    <row r="13" spans="1:14" x14ac:dyDescent="0.3">
      <c r="B13" t="s">
        <v>221</v>
      </c>
      <c r="C13" s="713">
        <f>SUM(C9:C12)</f>
        <v>234500</v>
      </c>
    </row>
    <row r="14" spans="1:14" x14ac:dyDescent="0.3">
      <c r="A14" t="s">
        <v>534</v>
      </c>
      <c r="B14" s="1003" t="s">
        <v>535</v>
      </c>
      <c r="C14" s="664"/>
    </row>
    <row r="15" spans="1:14" x14ac:dyDescent="0.3">
      <c r="B15" t="s">
        <v>536</v>
      </c>
      <c r="C15" s="442">
        <v>44942</v>
      </c>
    </row>
  </sheetData>
  <sortState xmlns:xlrd2="http://schemas.microsoft.com/office/spreadsheetml/2017/richdata2" ref="A3:M6">
    <sortCondition ref="B3:B6"/>
  </sortState>
  <mergeCells count="15">
    <mergeCell ref="N9:N10"/>
    <mergeCell ref="C7:J7"/>
    <mergeCell ref="G1:G2"/>
    <mergeCell ref="H1:H2"/>
    <mergeCell ref="I1:I2"/>
    <mergeCell ref="J1:J2"/>
    <mergeCell ref="K1:K2"/>
    <mergeCell ref="L1:L2"/>
    <mergeCell ref="M1:M2"/>
    <mergeCell ref="F1:F2"/>
    <mergeCell ref="A1:A2"/>
    <mergeCell ref="B1:B2"/>
    <mergeCell ref="C1:C2"/>
    <mergeCell ref="D1:D2"/>
    <mergeCell ref="E1:E2"/>
  </mergeCells>
  <conditionalFormatting sqref="D3:D6">
    <cfRule type="dataBar" priority="5">
      <dataBar>
        <cfvo type="min"/>
        <cfvo type="max"/>
        <color rgb="FFFF555A"/>
      </dataBar>
      <extLst>
        <ext xmlns:x14="http://schemas.microsoft.com/office/spreadsheetml/2009/9/main" uri="{B025F937-C7B1-47D3-B67F-A62EFF666E3E}">
          <x14:id>{89F9FBCB-5E97-4329-8C25-7E6059CE66C8}</x14:id>
        </ext>
      </extLst>
    </cfRule>
  </conditionalFormatting>
  <conditionalFormatting sqref="E3:E6">
    <cfRule type="colorScale" priority="3">
      <colorScale>
        <cfvo type="min"/>
        <cfvo type="percentile" val="50"/>
        <cfvo type="max"/>
        <color rgb="FFF8696B"/>
        <color rgb="FFFFEB84"/>
        <color rgb="FF63BE7B"/>
      </colorScale>
    </cfRule>
  </conditionalFormatting>
  <hyperlinks>
    <hyperlink ref="B14" r:id="rId1" display="https://wdfw.wa.gov/sites/default/files/2022-12/2023-spring-summer-forecasts.pdf" xr:uid="{3330898C-2F6D-4757-B5E3-B7584F47803B}"/>
  </hyperlinks>
  <pageMargins left="0.7" right="0.7" top="0.75" bottom="0.75" header="0.3" footer="0.3"/>
  <legacyDrawing r:id="rId2"/>
  <extLst>
    <ext xmlns:x14="http://schemas.microsoft.com/office/spreadsheetml/2009/9/main" uri="{78C0D931-6437-407d-A8EE-F0AAD7539E65}">
      <x14:conditionalFormattings>
        <x14:conditionalFormatting xmlns:xm="http://schemas.microsoft.com/office/excel/2006/main">
          <x14:cfRule type="dataBar" id="{89F9FBCB-5E97-4329-8C25-7E6059CE66C8}">
            <x14:dataBar minLength="0" maxLength="100" border="1" negativeBarBorderColorSameAsPositive="0">
              <x14:cfvo type="autoMin"/>
              <x14:cfvo type="autoMax"/>
              <x14:borderColor rgb="FFFF555A"/>
              <x14:negativeFillColor rgb="FFFF0000"/>
              <x14:negativeBorderColor rgb="FFFF0000"/>
              <x14:axisColor rgb="FF000000"/>
            </x14:dataBar>
          </x14:cfRule>
          <xm:sqref>D3:D6</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B0440C-CF43-487A-870D-EAECF5D0EE37}">
  <sheetPr codeName="Sheet12" filterMode="1">
    <tabColor rgb="FF0070C0"/>
  </sheetPr>
  <dimension ref="A1:AN254"/>
  <sheetViews>
    <sheetView zoomScaleNormal="100" workbookViewId="0">
      <pane xSplit="5" ySplit="1" topLeftCell="T79" activePane="bottomRight" state="frozen"/>
      <selection pane="topRight" activeCell="C15" sqref="C15"/>
      <selection pane="bottomLeft" activeCell="C15" sqref="C15"/>
      <selection pane="bottomRight" activeCell="AI244" sqref="AI244"/>
    </sheetView>
  </sheetViews>
  <sheetFormatPr defaultColWidth="8.6640625" defaultRowHeight="13.2" x14ac:dyDescent="0.25"/>
  <cols>
    <col min="1" max="1" width="16.5546875" style="559" bestFit="1" customWidth="1"/>
    <col min="2" max="2" width="12.44140625" style="557" hidden="1" customWidth="1"/>
    <col min="3" max="3" width="9.5546875" style="557" customWidth="1"/>
    <col min="4" max="5" width="9.5546875" style="557" hidden="1" customWidth="1"/>
    <col min="6" max="6" width="11.109375" style="557" hidden="1" customWidth="1"/>
    <col min="7" max="8" width="13.33203125" style="648" hidden="1" customWidth="1"/>
    <col min="9" max="9" width="13.33203125" style="650" hidden="1" customWidth="1"/>
    <col min="10" max="10" width="15.5546875" style="572" hidden="1" customWidth="1"/>
    <col min="11" max="11" width="14.6640625" style="651" hidden="1" customWidth="1"/>
    <col min="12" max="12" width="15.88671875" style="572" hidden="1" customWidth="1"/>
    <col min="13" max="13" width="13.88671875" style="572" hidden="1" customWidth="1"/>
    <col min="14" max="14" width="15.88671875" style="572" hidden="1" customWidth="1"/>
    <col min="15" max="15" width="15.44140625" style="572" hidden="1" customWidth="1"/>
    <col min="16" max="16" width="19.6640625" style="599" hidden="1" customWidth="1"/>
    <col min="17" max="17" width="17" style="599" hidden="1" customWidth="1"/>
    <col min="18" max="18" width="13.33203125" style="599" hidden="1" customWidth="1"/>
    <col min="19" max="19" width="15.33203125" style="559" hidden="1" customWidth="1"/>
    <col min="20" max="20" width="9.109375" style="557" bestFit="1" customWidth="1"/>
    <col min="21" max="21" width="8.6640625" style="559" customWidth="1"/>
    <col min="22" max="22" width="7.33203125" style="559" customWidth="1"/>
    <col min="23" max="23" width="15.109375" style="648" bestFit="1" customWidth="1"/>
    <col min="24" max="24" width="19.6640625" style="648" hidden="1" customWidth="1"/>
    <col min="25" max="25" width="14.109375" style="648" bestFit="1" customWidth="1"/>
    <col min="26" max="26" width="14.6640625" style="648" bestFit="1" customWidth="1"/>
    <col min="27" max="27" width="14.6640625" style="2327" customWidth="1"/>
    <col min="28" max="30" width="23.109375" style="648" hidden="1" customWidth="1"/>
    <col min="31" max="31" width="15.33203125" style="648" hidden="1" customWidth="1"/>
    <col min="32" max="32" width="16.5546875" style="572" hidden="1" customWidth="1"/>
    <col min="33" max="33" width="14.44140625" style="572" hidden="1" customWidth="1"/>
    <col min="34" max="34" width="12.109375" style="572" hidden="1" customWidth="1"/>
    <col min="35" max="35" width="66.77734375" style="559" customWidth="1"/>
    <col min="36" max="36" width="12.33203125" style="557" bestFit="1" customWidth="1"/>
    <col min="37" max="16384" width="8.6640625" style="559"/>
  </cols>
  <sheetData>
    <row r="1" spans="1:37" ht="53.4" thickBot="1" x14ac:dyDescent="0.3">
      <c r="A1" s="536" t="s">
        <v>13</v>
      </c>
      <c r="B1" s="537" t="s">
        <v>537</v>
      </c>
      <c r="C1" s="538" t="s">
        <v>538</v>
      </c>
      <c r="D1" s="539" t="s">
        <v>539</v>
      </c>
      <c r="E1" s="540" t="s">
        <v>540</v>
      </c>
      <c r="F1" s="541" t="s">
        <v>541</v>
      </c>
      <c r="G1" s="541" t="s">
        <v>542</v>
      </c>
      <c r="H1" s="541" t="s">
        <v>543</v>
      </c>
      <c r="I1" s="542" t="s">
        <v>544</v>
      </c>
      <c r="J1" s="542" t="s">
        <v>545</v>
      </c>
      <c r="K1" s="543" t="s">
        <v>546</v>
      </c>
      <c r="L1" s="544" t="s">
        <v>547</v>
      </c>
      <c r="M1" s="544" t="s">
        <v>548</v>
      </c>
      <c r="N1" s="544" t="s">
        <v>549</v>
      </c>
      <c r="O1" s="545" t="s">
        <v>550</v>
      </c>
      <c r="P1" s="545" t="s">
        <v>551</v>
      </c>
      <c r="Q1" s="545" t="s">
        <v>552</v>
      </c>
      <c r="R1" s="545" t="s">
        <v>553</v>
      </c>
      <c r="S1" s="546" t="s">
        <v>554</v>
      </c>
      <c r="T1" s="547" t="s">
        <v>357</v>
      </c>
      <c r="U1" s="548" t="s">
        <v>555</v>
      </c>
      <c r="V1" s="2165" t="s">
        <v>556</v>
      </c>
      <c r="W1" s="2164" t="s">
        <v>557</v>
      </c>
      <c r="X1" s="549" t="s">
        <v>558</v>
      </c>
      <c r="Y1" s="550" t="s">
        <v>559</v>
      </c>
      <c r="Z1" s="551" t="s">
        <v>560</v>
      </c>
      <c r="AA1" s="2323" t="s">
        <v>1328</v>
      </c>
      <c r="AB1" s="552" t="s">
        <v>561</v>
      </c>
      <c r="AC1" s="553" t="s">
        <v>562</v>
      </c>
      <c r="AD1" s="553" t="s">
        <v>563</v>
      </c>
      <c r="AE1" s="554" t="s">
        <v>564</v>
      </c>
      <c r="AF1" s="553" t="s">
        <v>565</v>
      </c>
      <c r="AG1" s="553" t="s">
        <v>566</v>
      </c>
      <c r="AH1" s="555" t="s">
        <v>567</v>
      </c>
      <c r="AI1" s="556" t="s">
        <v>450</v>
      </c>
      <c r="AK1" s="558"/>
    </row>
    <row r="2" spans="1:37" ht="14.4" hidden="1" x14ac:dyDescent="0.3">
      <c r="A2" s="560" t="s">
        <v>568</v>
      </c>
      <c r="B2" s="557" t="str">
        <f t="shared" ref="B2:B26" si="0">LEFT(C2,3)*10 &amp; "s"</f>
        <v>1980s</v>
      </c>
      <c r="C2" s="561">
        <v>1980</v>
      </c>
      <c r="D2" s="562">
        <f t="shared" ref="D2:D62" si="1">C2-U2</f>
        <v>1977</v>
      </c>
      <c r="E2" s="563">
        <f t="shared" ref="E2:E62" si="2">C2-(T2-INT(T2))*10</f>
        <v>1979</v>
      </c>
      <c r="F2" s="564">
        <f t="shared" ref="F2:F65" si="3">VLOOKUP($C2,SockeyeReturnsData,2)</f>
        <v>58886</v>
      </c>
      <c r="G2" s="565">
        <f t="shared" ref="G2:G65" si="4">VLOOKUP($C2,SockeyeReturnsData,3)</f>
        <v>61175.897733999991</v>
      </c>
      <c r="H2" s="565">
        <f t="shared" ref="H2:H65" si="5">VLOOKUP($C2,SockeyeReturnsData,5)</f>
        <v>61171.897733999991</v>
      </c>
      <c r="I2" s="565">
        <f t="shared" ref="I2:I65" si="6">VLOOKUP($C2,SockeyeReturnsData,12)</f>
        <v>30080.635999999999</v>
      </c>
      <c r="J2" s="2123">
        <f t="shared" ref="J2:J65" si="7">VLOOKUP($C2,SockeyeReturnsData,18)</f>
        <v>0.57125616727120798</v>
      </c>
      <c r="K2" s="566">
        <f t="shared" ref="K2:K65" si="8">VLOOKUP($C2,SockeyeReturnsData,30)</f>
        <v>39084.094549759997</v>
      </c>
      <c r="L2" s="567">
        <f>J2*G2</f>
        <v>34947.108868900214</v>
      </c>
      <c r="M2" s="568"/>
      <c r="N2" s="568"/>
      <c r="O2" s="569">
        <f t="shared" ref="O2:O65" si="9">VLOOKUP($C2,SockeyeReturnsData,6)/G2</f>
        <v>1.7490548396240722E-3</v>
      </c>
      <c r="P2" s="570">
        <f t="shared" ref="P2:P65" si="10">VLOOKUP($C2,SockeyeReturnsData,18)</f>
        <v>0.57125616727120798</v>
      </c>
      <c r="Q2" s="571">
        <f t="shared" ref="Q2:Q65" si="11">VLOOKUP($C2,SockeyeReturnsData,20)</f>
        <v>0</v>
      </c>
      <c r="R2" s="572">
        <f t="shared" ref="R2:R65" si="12">VLOOKUP($C2,SockeyeReturnsData,19)</f>
        <v>0</v>
      </c>
      <c r="S2" s="573">
        <f t="shared" ref="S2:S65" si="13">VLOOKUP($C2,SockeyeReturnsData,24)</f>
        <v>0</v>
      </c>
      <c r="T2" s="574">
        <v>1.1000000000000001</v>
      </c>
      <c r="U2" s="557">
        <f t="shared" ref="U2:U65" si="14">INT(T2) + (T2-INT(T2))*10 + 1</f>
        <v>3.0000000000000009</v>
      </c>
      <c r="V2" s="575">
        <f t="shared" ref="V2:V65" si="15">INT(T2)</f>
        <v>1</v>
      </c>
      <c r="W2" s="2330"/>
      <c r="X2" s="559"/>
      <c r="Y2" s="576">
        <v>5.1999999999999998E-2</v>
      </c>
      <c r="Z2" s="2328">
        <f t="shared" ref="Z2:Z26" si="16">K2*Y2</f>
        <v>2032.3729165875197</v>
      </c>
      <c r="AA2" s="2329" t="s">
        <v>1329</v>
      </c>
      <c r="AB2" s="578"/>
      <c r="AC2" s="578"/>
      <c r="AD2" s="578"/>
      <c r="AE2" s="578"/>
      <c r="AF2" s="578"/>
      <c r="AG2" s="578"/>
      <c r="AH2" s="579"/>
      <c r="AI2" s="556" t="s">
        <v>569</v>
      </c>
      <c r="AK2" s="558"/>
    </row>
    <row r="3" spans="1:37" ht="14.4" hidden="1" x14ac:dyDescent="0.3">
      <c r="A3" s="560" t="s">
        <v>568</v>
      </c>
      <c r="B3" s="557" t="str">
        <f t="shared" si="0"/>
        <v>1980s</v>
      </c>
      <c r="C3" s="561">
        <v>1980</v>
      </c>
      <c r="D3" s="562">
        <f t="shared" si="1"/>
        <v>1976</v>
      </c>
      <c r="E3" s="563">
        <f t="shared" si="2"/>
        <v>1978</v>
      </c>
      <c r="F3" s="580">
        <f t="shared" si="3"/>
        <v>58886</v>
      </c>
      <c r="G3" s="570">
        <f t="shared" si="4"/>
        <v>61175.897733999991</v>
      </c>
      <c r="H3" s="570">
        <f t="shared" si="5"/>
        <v>61171.897733999991</v>
      </c>
      <c r="I3" s="570">
        <f t="shared" si="6"/>
        <v>30080.635999999999</v>
      </c>
      <c r="J3" s="2124">
        <f t="shared" si="7"/>
        <v>0.57125616727120798</v>
      </c>
      <c r="K3" s="581">
        <f t="shared" si="8"/>
        <v>39084.094549759997</v>
      </c>
      <c r="L3" s="567">
        <f t="shared" ref="L3:L66" si="17">J3*G3</f>
        <v>34947.108868900214</v>
      </c>
      <c r="M3" s="568"/>
      <c r="N3" s="568"/>
      <c r="O3" s="569">
        <f t="shared" si="9"/>
        <v>1.7490548396240722E-3</v>
      </c>
      <c r="P3" s="570">
        <f t="shared" si="10"/>
        <v>0.57125616727120798</v>
      </c>
      <c r="Q3" s="571">
        <f t="shared" si="11"/>
        <v>0</v>
      </c>
      <c r="R3" s="572">
        <f t="shared" si="12"/>
        <v>0</v>
      </c>
      <c r="S3" s="573">
        <f t="shared" si="13"/>
        <v>0</v>
      </c>
      <c r="T3" s="574">
        <v>1.2</v>
      </c>
      <c r="U3" s="557">
        <f t="shared" si="14"/>
        <v>3.9999999999999996</v>
      </c>
      <c r="V3" s="575">
        <f t="shared" si="15"/>
        <v>1</v>
      </c>
      <c r="W3" s="2331"/>
      <c r="X3" s="559"/>
      <c r="Y3" s="582">
        <v>0.82499999999999996</v>
      </c>
      <c r="Z3" s="2328">
        <f t="shared" si="16"/>
        <v>32244.378003551996</v>
      </c>
      <c r="AA3" s="2329" t="s">
        <v>1329</v>
      </c>
      <c r="AB3" s="578"/>
      <c r="AC3" s="578"/>
      <c r="AD3" s="578"/>
      <c r="AE3" s="578"/>
      <c r="AF3" s="578"/>
      <c r="AG3" s="578"/>
      <c r="AH3" s="579"/>
      <c r="AI3" s="556" t="s">
        <v>569</v>
      </c>
      <c r="AK3" s="558"/>
    </row>
    <row r="4" spans="1:37" ht="14.4" hidden="1" x14ac:dyDescent="0.3">
      <c r="A4" s="560" t="s">
        <v>568</v>
      </c>
      <c r="B4" s="557" t="str">
        <f t="shared" si="0"/>
        <v>1980s</v>
      </c>
      <c r="C4" s="561">
        <v>1980</v>
      </c>
      <c r="D4" s="562">
        <f t="shared" si="1"/>
        <v>1975</v>
      </c>
      <c r="E4" s="563">
        <f t="shared" si="2"/>
        <v>1977</v>
      </c>
      <c r="F4" s="580">
        <f t="shared" si="3"/>
        <v>58886</v>
      </c>
      <c r="G4" s="570">
        <f t="shared" si="4"/>
        <v>61175.897733999991</v>
      </c>
      <c r="H4" s="570">
        <f t="shared" si="5"/>
        <v>61171.897733999991</v>
      </c>
      <c r="I4" s="570">
        <f t="shared" si="6"/>
        <v>30080.635999999999</v>
      </c>
      <c r="J4" s="2124">
        <f t="shared" si="7"/>
        <v>0.57125616727120798</v>
      </c>
      <c r="K4" s="581">
        <f t="shared" si="8"/>
        <v>39084.094549759997</v>
      </c>
      <c r="L4" s="567">
        <f t="shared" si="17"/>
        <v>34947.108868900214</v>
      </c>
      <c r="M4" s="568"/>
      <c r="N4" s="568"/>
      <c r="O4" s="569">
        <f t="shared" si="9"/>
        <v>1.7490548396240722E-3</v>
      </c>
      <c r="P4" s="570">
        <f t="shared" si="10"/>
        <v>0.57125616727120798</v>
      </c>
      <c r="Q4" s="571">
        <f t="shared" si="11"/>
        <v>0</v>
      </c>
      <c r="R4" s="572">
        <f t="shared" si="12"/>
        <v>0</v>
      </c>
      <c r="S4" s="573">
        <f t="shared" si="13"/>
        <v>0</v>
      </c>
      <c r="T4" s="574">
        <v>1.3</v>
      </c>
      <c r="U4" s="557">
        <f t="shared" si="14"/>
        <v>5</v>
      </c>
      <c r="V4" s="575">
        <f t="shared" si="15"/>
        <v>1</v>
      </c>
      <c r="W4" s="2331"/>
      <c r="X4" s="559"/>
      <c r="Y4" s="582">
        <v>8.3000000000000004E-2</v>
      </c>
      <c r="Z4" s="2328">
        <f t="shared" si="16"/>
        <v>3243.9798476300798</v>
      </c>
      <c r="AA4" s="2329" t="s">
        <v>1329</v>
      </c>
      <c r="AB4" s="578"/>
      <c r="AC4" s="578"/>
      <c r="AD4" s="578"/>
      <c r="AE4" s="578"/>
      <c r="AF4" s="578"/>
      <c r="AG4" s="578"/>
      <c r="AH4" s="579"/>
      <c r="AI4" s="556" t="s">
        <v>569</v>
      </c>
      <c r="AK4" s="558"/>
    </row>
    <row r="5" spans="1:37" ht="14.4" hidden="1" x14ac:dyDescent="0.3">
      <c r="A5" s="560" t="s">
        <v>568</v>
      </c>
      <c r="B5" s="557" t="str">
        <f t="shared" si="0"/>
        <v>1980s</v>
      </c>
      <c r="C5" s="561">
        <v>1980</v>
      </c>
      <c r="D5" s="562">
        <f t="shared" si="1"/>
        <v>1976</v>
      </c>
      <c r="E5" s="563">
        <f t="shared" si="2"/>
        <v>1979</v>
      </c>
      <c r="F5" s="580">
        <f t="shared" si="3"/>
        <v>58886</v>
      </c>
      <c r="G5" s="570">
        <f t="shared" si="4"/>
        <v>61175.897733999991</v>
      </c>
      <c r="H5" s="570">
        <f t="shared" si="5"/>
        <v>61171.897733999991</v>
      </c>
      <c r="I5" s="570">
        <f t="shared" si="6"/>
        <v>30080.635999999999</v>
      </c>
      <c r="J5" s="2124">
        <f t="shared" si="7"/>
        <v>0.57125616727120798</v>
      </c>
      <c r="K5" s="581">
        <f t="shared" si="8"/>
        <v>39084.094549759997</v>
      </c>
      <c r="L5" s="567">
        <f t="shared" si="17"/>
        <v>34947.108868900214</v>
      </c>
      <c r="M5" s="568"/>
      <c r="N5" s="568"/>
      <c r="O5" s="569">
        <f t="shared" si="9"/>
        <v>1.7490548396240722E-3</v>
      </c>
      <c r="P5" s="570">
        <f t="shared" si="10"/>
        <v>0.57125616727120798</v>
      </c>
      <c r="Q5" s="571">
        <f t="shared" si="11"/>
        <v>0</v>
      </c>
      <c r="R5" s="572">
        <f t="shared" si="12"/>
        <v>0</v>
      </c>
      <c r="S5" s="573">
        <f t="shared" si="13"/>
        <v>0</v>
      </c>
      <c r="T5" s="574">
        <v>2.1</v>
      </c>
      <c r="U5" s="557">
        <f t="shared" si="14"/>
        <v>4.0000000000000009</v>
      </c>
      <c r="V5" s="575">
        <f t="shared" si="15"/>
        <v>2</v>
      </c>
      <c r="W5" s="2330"/>
      <c r="X5" s="559"/>
      <c r="Y5" s="576">
        <v>2.3E-2</v>
      </c>
      <c r="Z5" s="2328">
        <f t="shared" si="16"/>
        <v>898.93417464447987</v>
      </c>
      <c r="AA5" s="2329" t="s">
        <v>1329</v>
      </c>
      <c r="AB5" s="578"/>
      <c r="AC5" s="578"/>
      <c r="AD5" s="578"/>
      <c r="AE5" s="578"/>
      <c r="AF5" s="578"/>
      <c r="AG5" s="578"/>
      <c r="AH5" s="579"/>
      <c r="AI5" s="556" t="s">
        <v>569</v>
      </c>
      <c r="AK5" s="558"/>
    </row>
    <row r="6" spans="1:37" ht="14.4" hidden="1" x14ac:dyDescent="0.3">
      <c r="A6" s="560" t="s">
        <v>568</v>
      </c>
      <c r="B6" s="557" t="str">
        <f t="shared" si="0"/>
        <v>1980s</v>
      </c>
      <c r="C6" s="561">
        <v>1980</v>
      </c>
      <c r="D6" s="562">
        <f t="shared" si="1"/>
        <v>1975</v>
      </c>
      <c r="E6" s="563">
        <f t="shared" si="2"/>
        <v>1978</v>
      </c>
      <c r="F6" s="580">
        <f t="shared" si="3"/>
        <v>58886</v>
      </c>
      <c r="G6" s="570">
        <f t="shared" si="4"/>
        <v>61175.897733999991</v>
      </c>
      <c r="H6" s="570">
        <f t="shared" si="5"/>
        <v>61171.897733999991</v>
      </c>
      <c r="I6" s="570">
        <f t="shared" si="6"/>
        <v>30080.635999999999</v>
      </c>
      <c r="J6" s="2124">
        <f t="shared" si="7"/>
        <v>0.57125616727120798</v>
      </c>
      <c r="K6" s="581">
        <f t="shared" si="8"/>
        <v>39084.094549759997</v>
      </c>
      <c r="L6" s="567">
        <f t="shared" si="17"/>
        <v>34947.108868900214</v>
      </c>
      <c r="M6" s="568"/>
      <c r="N6" s="568"/>
      <c r="O6" s="569">
        <f t="shared" si="9"/>
        <v>1.7490548396240722E-3</v>
      </c>
      <c r="P6" s="570">
        <f t="shared" si="10"/>
        <v>0.57125616727120798</v>
      </c>
      <c r="Q6" s="571">
        <f t="shared" si="11"/>
        <v>0</v>
      </c>
      <c r="R6" s="572">
        <f t="shared" si="12"/>
        <v>0</v>
      </c>
      <c r="S6" s="573">
        <f t="shared" si="13"/>
        <v>0</v>
      </c>
      <c r="T6" s="574">
        <v>2.2000000000000002</v>
      </c>
      <c r="U6" s="557">
        <f t="shared" si="14"/>
        <v>5.0000000000000018</v>
      </c>
      <c r="V6" s="575">
        <f t="shared" si="15"/>
        <v>2</v>
      </c>
      <c r="W6" s="2330"/>
      <c r="X6" s="559"/>
      <c r="Y6" s="576">
        <v>1.6E-2</v>
      </c>
      <c r="Z6" s="2328">
        <f t="shared" si="16"/>
        <v>625.34551279615994</v>
      </c>
      <c r="AA6" s="2329" t="s">
        <v>1329</v>
      </c>
      <c r="AB6" s="578"/>
      <c r="AC6" s="578"/>
      <c r="AD6" s="578"/>
      <c r="AE6" s="578"/>
      <c r="AF6" s="578"/>
      <c r="AG6" s="578"/>
      <c r="AH6" s="579"/>
      <c r="AI6" s="556" t="s">
        <v>569</v>
      </c>
      <c r="AK6" s="558"/>
    </row>
    <row r="7" spans="1:37" ht="14.4" hidden="1" x14ac:dyDescent="0.3">
      <c r="A7" s="560" t="s">
        <v>568</v>
      </c>
      <c r="B7" s="557" t="str">
        <f t="shared" si="0"/>
        <v>1980s</v>
      </c>
      <c r="C7" s="561">
        <v>1981</v>
      </c>
      <c r="D7" s="562">
        <f t="shared" si="1"/>
        <v>1978</v>
      </c>
      <c r="E7" s="563">
        <f t="shared" si="2"/>
        <v>1980</v>
      </c>
      <c r="F7" s="580">
        <f t="shared" si="3"/>
        <v>56037</v>
      </c>
      <c r="G7" s="570">
        <f t="shared" si="4"/>
        <v>58203.034968999993</v>
      </c>
      <c r="H7" s="570">
        <f t="shared" si="5"/>
        <v>58203.034968999993</v>
      </c>
      <c r="I7" s="570">
        <f t="shared" si="6"/>
        <v>31960.887999999995</v>
      </c>
      <c r="J7" s="2124">
        <f t="shared" si="7"/>
        <v>0.67801370415155171</v>
      </c>
      <c r="K7" s="581">
        <f t="shared" si="8"/>
        <v>42315.935527369991</v>
      </c>
      <c r="L7" s="567">
        <f t="shared" si="17"/>
        <v>39462.455332193982</v>
      </c>
      <c r="M7" s="568"/>
      <c r="N7" s="568"/>
      <c r="O7" s="569">
        <f t="shared" si="9"/>
        <v>4.0547713727591347E-3</v>
      </c>
      <c r="P7" s="570">
        <f t="shared" si="10"/>
        <v>0.67801370415155171</v>
      </c>
      <c r="Q7" s="571">
        <f t="shared" si="11"/>
        <v>0</v>
      </c>
      <c r="R7" s="572">
        <f t="shared" si="12"/>
        <v>0</v>
      </c>
      <c r="S7" s="573">
        <f t="shared" si="13"/>
        <v>0</v>
      </c>
      <c r="T7" s="574">
        <v>1.1000000000000001</v>
      </c>
      <c r="U7" s="557">
        <f t="shared" si="14"/>
        <v>3.0000000000000009</v>
      </c>
      <c r="V7" s="575">
        <f t="shared" si="15"/>
        <v>1</v>
      </c>
      <c r="W7" s="559"/>
      <c r="X7" s="559"/>
      <c r="Y7" s="576">
        <v>5.1999999999999998E-2</v>
      </c>
      <c r="Z7" s="2328">
        <f t="shared" si="16"/>
        <v>2200.4286474232395</v>
      </c>
      <c r="AA7" s="2329" t="s">
        <v>1329</v>
      </c>
      <c r="AB7" s="583"/>
      <c r="AC7" s="583"/>
      <c r="AD7" s="583"/>
      <c r="AE7" s="584"/>
      <c r="AF7" s="583"/>
      <c r="AG7" s="583"/>
      <c r="AH7" s="585"/>
      <c r="AI7" s="556" t="s">
        <v>569</v>
      </c>
      <c r="AK7" s="558"/>
    </row>
    <row r="8" spans="1:37" ht="14.4" hidden="1" x14ac:dyDescent="0.3">
      <c r="A8" s="560" t="s">
        <v>568</v>
      </c>
      <c r="B8" s="557" t="str">
        <f t="shared" si="0"/>
        <v>1980s</v>
      </c>
      <c r="C8" s="561">
        <v>1981</v>
      </c>
      <c r="D8" s="562">
        <f t="shared" si="1"/>
        <v>1977</v>
      </c>
      <c r="E8" s="563">
        <f t="shared" si="2"/>
        <v>1979</v>
      </c>
      <c r="F8" s="580">
        <f t="shared" si="3"/>
        <v>56037</v>
      </c>
      <c r="G8" s="570">
        <f t="shared" si="4"/>
        <v>58203.034968999993</v>
      </c>
      <c r="H8" s="570">
        <f t="shared" si="5"/>
        <v>58203.034968999993</v>
      </c>
      <c r="I8" s="570">
        <f t="shared" si="6"/>
        <v>31960.887999999995</v>
      </c>
      <c r="J8" s="2124">
        <f t="shared" si="7"/>
        <v>0.67801370415155171</v>
      </c>
      <c r="K8" s="581">
        <f t="shared" si="8"/>
        <v>42315.935527369991</v>
      </c>
      <c r="L8" s="567">
        <f t="shared" si="17"/>
        <v>39462.455332193982</v>
      </c>
      <c r="M8" s="568"/>
      <c r="N8" s="568"/>
      <c r="O8" s="569">
        <f t="shared" si="9"/>
        <v>4.0547713727591347E-3</v>
      </c>
      <c r="P8" s="570">
        <f t="shared" si="10"/>
        <v>0.67801370415155171</v>
      </c>
      <c r="Q8" s="571">
        <f t="shared" si="11"/>
        <v>0</v>
      </c>
      <c r="R8" s="572">
        <f t="shared" si="12"/>
        <v>0</v>
      </c>
      <c r="S8" s="573">
        <f t="shared" si="13"/>
        <v>0</v>
      </c>
      <c r="T8" s="574">
        <v>1.2</v>
      </c>
      <c r="U8" s="557">
        <f t="shared" si="14"/>
        <v>3.9999999999999996</v>
      </c>
      <c r="V8" s="575">
        <f t="shared" si="15"/>
        <v>1</v>
      </c>
      <c r="W8" s="559"/>
      <c r="X8" s="559"/>
      <c r="Y8" s="582">
        <v>0.82499999999999996</v>
      </c>
      <c r="Z8" s="2328">
        <f t="shared" si="16"/>
        <v>34910.646810080238</v>
      </c>
      <c r="AA8" s="2329" t="s">
        <v>1329</v>
      </c>
      <c r="AB8" s="583"/>
      <c r="AC8" s="583"/>
      <c r="AD8" s="583"/>
      <c r="AE8" s="584"/>
      <c r="AF8" s="583"/>
      <c r="AG8" s="583"/>
      <c r="AH8" s="585"/>
      <c r="AI8" s="556" t="s">
        <v>569</v>
      </c>
      <c r="AK8" s="558"/>
    </row>
    <row r="9" spans="1:37" ht="14.4" hidden="1" x14ac:dyDescent="0.3">
      <c r="A9" s="560" t="s">
        <v>568</v>
      </c>
      <c r="B9" s="557" t="str">
        <f t="shared" si="0"/>
        <v>1980s</v>
      </c>
      <c r="C9" s="561">
        <v>1981</v>
      </c>
      <c r="D9" s="562">
        <f t="shared" si="1"/>
        <v>1976</v>
      </c>
      <c r="E9" s="563">
        <f t="shared" si="2"/>
        <v>1978</v>
      </c>
      <c r="F9" s="580">
        <f t="shared" si="3"/>
        <v>56037</v>
      </c>
      <c r="G9" s="570">
        <f t="shared" si="4"/>
        <v>58203.034968999993</v>
      </c>
      <c r="H9" s="570">
        <f t="shared" si="5"/>
        <v>58203.034968999993</v>
      </c>
      <c r="I9" s="570">
        <f t="shared" si="6"/>
        <v>31960.887999999995</v>
      </c>
      <c r="J9" s="2124">
        <f t="shared" si="7"/>
        <v>0.67801370415155171</v>
      </c>
      <c r="K9" s="581">
        <f t="shared" si="8"/>
        <v>42315.935527369991</v>
      </c>
      <c r="L9" s="567">
        <f t="shared" si="17"/>
        <v>39462.455332193982</v>
      </c>
      <c r="M9" s="568"/>
      <c r="N9" s="568"/>
      <c r="O9" s="569">
        <f t="shared" si="9"/>
        <v>4.0547713727591347E-3</v>
      </c>
      <c r="P9" s="570">
        <f t="shared" si="10"/>
        <v>0.67801370415155171</v>
      </c>
      <c r="Q9" s="571">
        <f t="shared" si="11"/>
        <v>0</v>
      </c>
      <c r="R9" s="572">
        <f t="shared" si="12"/>
        <v>0</v>
      </c>
      <c r="S9" s="573">
        <f t="shared" si="13"/>
        <v>0</v>
      </c>
      <c r="T9" s="574">
        <v>1.3</v>
      </c>
      <c r="U9" s="557">
        <f t="shared" si="14"/>
        <v>5</v>
      </c>
      <c r="V9" s="575">
        <f t="shared" si="15"/>
        <v>1</v>
      </c>
      <c r="W9" s="559"/>
      <c r="X9" s="559"/>
      <c r="Y9" s="582">
        <v>8.3000000000000004E-2</v>
      </c>
      <c r="Z9" s="2328">
        <f t="shared" si="16"/>
        <v>3512.2226487717094</v>
      </c>
      <c r="AA9" s="2329" t="s">
        <v>1329</v>
      </c>
      <c r="AB9" s="583"/>
      <c r="AC9" s="583"/>
      <c r="AD9" s="583"/>
      <c r="AE9" s="584"/>
      <c r="AF9" s="583"/>
      <c r="AG9" s="583"/>
      <c r="AH9" s="585"/>
      <c r="AI9" s="556" t="s">
        <v>569</v>
      </c>
      <c r="AK9" s="558"/>
    </row>
    <row r="10" spans="1:37" ht="14.4" hidden="1" x14ac:dyDescent="0.3">
      <c r="A10" s="560" t="s">
        <v>568</v>
      </c>
      <c r="B10" s="557" t="str">
        <f t="shared" si="0"/>
        <v>1980s</v>
      </c>
      <c r="C10" s="561">
        <v>1981</v>
      </c>
      <c r="D10" s="562">
        <f t="shared" si="1"/>
        <v>1977</v>
      </c>
      <c r="E10" s="563">
        <f t="shared" si="2"/>
        <v>1980</v>
      </c>
      <c r="F10" s="580">
        <f t="shared" si="3"/>
        <v>56037</v>
      </c>
      <c r="G10" s="570">
        <f t="shared" si="4"/>
        <v>58203.034968999993</v>
      </c>
      <c r="H10" s="570">
        <f t="shared" si="5"/>
        <v>58203.034968999993</v>
      </c>
      <c r="I10" s="570">
        <f t="shared" si="6"/>
        <v>31960.887999999995</v>
      </c>
      <c r="J10" s="2124">
        <f t="shared" si="7"/>
        <v>0.67801370415155171</v>
      </c>
      <c r="K10" s="581">
        <f t="shared" si="8"/>
        <v>42315.935527369991</v>
      </c>
      <c r="L10" s="567">
        <f t="shared" si="17"/>
        <v>39462.455332193982</v>
      </c>
      <c r="M10" s="568"/>
      <c r="N10" s="568"/>
      <c r="O10" s="569">
        <f t="shared" si="9"/>
        <v>4.0547713727591347E-3</v>
      </c>
      <c r="P10" s="570">
        <f t="shared" si="10"/>
        <v>0.67801370415155171</v>
      </c>
      <c r="Q10" s="571">
        <f t="shared" si="11"/>
        <v>0</v>
      </c>
      <c r="R10" s="572">
        <f t="shared" si="12"/>
        <v>0</v>
      </c>
      <c r="S10" s="573">
        <f t="shared" si="13"/>
        <v>0</v>
      </c>
      <c r="T10" s="574">
        <v>2.1</v>
      </c>
      <c r="U10" s="557">
        <f t="shared" si="14"/>
        <v>4.0000000000000009</v>
      </c>
      <c r="V10" s="575">
        <f t="shared" si="15"/>
        <v>2</v>
      </c>
      <c r="W10" s="559"/>
      <c r="X10" s="559"/>
      <c r="Y10" s="576">
        <v>2.3E-2</v>
      </c>
      <c r="Z10" s="2328">
        <f t="shared" si="16"/>
        <v>973.26651712950979</v>
      </c>
      <c r="AA10" s="2329" t="s">
        <v>1329</v>
      </c>
      <c r="AB10" s="583"/>
      <c r="AC10" s="583"/>
      <c r="AD10" s="583"/>
      <c r="AE10" s="584"/>
      <c r="AF10" s="583"/>
      <c r="AG10" s="583"/>
      <c r="AH10" s="585"/>
      <c r="AI10" s="556" t="s">
        <v>569</v>
      </c>
      <c r="AK10" s="558"/>
    </row>
    <row r="11" spans="1:37" ht="14.4" hidden="1" x14ac:dyDescent="0.3">
      <c r="A11" s="560" t="s">
        <v>568</v>
      </c>
      <c r="B11" s="557" t="str">
        <f t="shared" si="0"/>
        <v>1980s</v>
      </c>
      <c r="C11" s="561">
        <v>1981</v>
      </c>
      <c r="D11" s="562">
        <f t="shared" si="1"/>
        <v>1976</v>
      </c>
      <c r="E11" s="563">
        <f t="shared" si="2"/>
        <v>1979</v>
      </c>
      <c r="F11" s="580">
        <f t="shared" si="3"/>
        <v>56037</v>
      </c>
      <c r="G11" s="570">
        <f t="shared" si="4"/>
        <v>58203.034968999993</v>
      </c>
      <c r="H11" s="570">
        <f t="shared" si="5"/>
        <v>58203.034968999993</v>
      </c>
      <c r="I11" s="570">
        <f t="shared" si="6"/>
        <v>31960.887999999995</v>
      </c>
      <c r="J11" s="2124">
        <f t="shared" si="7"/>
        <v>0.67801370415155171</v>
      </c>
      <c r="K11" s="581">
        <f t="shared" si="8"/>
        <v>42315.935527369991</v>
      </c>
      <c r="L11" s="567">
        <f t="shared" si="17"/>
        <v>39462.455332193982</v>
      </c>
      <c r="M11" s="568"/>
      <c r="N11" s="568"/>
      <c r="O11" s="569">
        <f t="shared" si="9"/>
        <v>4.0547713727591347E-3</v>
      </c>
      <c r="P11" s="570">
        <f t="shared" si="10"/>
        <v>0.67801370415155171</v>
      </c>
      <c r="Q11" s="571">
        <f t="shared" si="11"/>
        <v>0</v>
      </c>
      <c r="R11" s="572">
        <f t="shared" si="12"/>
        <v>0</v>
      </c>
      <c r="S11" s="573">
        <f t="shared" si="13"/>
        <v>0</v>
      </c>
      <c r="T11" s="574">
        <v>2.2000000000000002</v>
      </c>
      <c r="U11" s="557">
        <f t="shared" si="14"/>
        <v>5.0000000000000018</v>
      </c>
      <c r="V11" s="575">
        <f t="shared" si="15"/>
        <v>2</v>
      </c>
      <c r="W11" s="559"/>
      <c r="X11" s="559"/>
      <c r="Y11" s="576">
        <v>1.6E-2</v>
      </c>
      <c r="Z11" s="2328">
        <f t="shared" si="16"/>
        <v>677.05496843791991</v>
      </c>
      <c r="AA11" s="2329" t="s">
        <v>1329</v>
      </c>
      <c r="AB11" s="583"/>
      <c r="AC11" s="583"/>
      <c r="AD11" s="583"/>
      <c r="AE11" s="584"/>
      <c r="AF11" s="583"/>
      <c r="AG11" s="583"/>
      <c r="AH11" s="585"/>
      <c r="AI11" s="556" t="s">
        <v>569</v>
      </c>
      <c r="AK11" s="558"/>
    </row>
    <row r="12" spans="1:37" ht="14.4" hidden="1" x14ac:dyDescent="0.3">
      <c r="A12" s="560" t="s">
        <v>568</v>
      </c>
      <c r="B12" s="557" t="str">
        <f t="shared" si="0"/>
        <v>1980s</v>
      </c>
      <c r="C12" s="561">
        <v>1982</v>
      </c>
      <c r="D12" s="562">
        <f t="shared" si="1"/>
        <v>1979</v>
      </c>
      <c r="E12" s="563">
        <f t="shared" si="2"/>
        <v>1981</v>
      </c>
      <c r="F12" s="580">
        <f t="shared" si="3"/>
        <v>50319</v>
      </c>
      <c r="G12" s="570">
        <f t="shared" si="4"/>
        <v>52231.736702999995</v>
      </c>
      <c r="H12" s="570">
        <f t="shared" si="5"/>
        <v>52131.736702999995</v>
      </c>
      <c r="I12" s="570">
        <f t="shared" si="6"/>
        <v>21513.659999999996</v>
      </c>
      <c r="J12" s="2124">
        <f t="shared" si="7"/>
        <v>0.52330665758556094</v>
      </c>
      <c r="K12" s="581">
        <f t="shared" si="8"/>
        <v>27026.863085559999</v>
      </c>
      <c r="L12" s="567">
        <f t="shared" si="17"/>
        <v>27333.215553935996</v>
      </c>
      <c r="M12" s="568"/>
      <c r="N12" s="568"/>
      <c r="O12" s="569">
        <f t="shared" si="9"/>
        <v>4.9203801409352507E-3</v>
      </c>
      <c r="P12" s="570">
        <f t="shared" si="10"/>
        <v>0.52330665758556094</v>
      </c>
      <c r="Q12" s="571">
        <f t="shared" si="11"/>
        <v>0</v>
      </c>
      <c r="R12" s="572">
        <f t="shared" si="12"/>
        <v>0</v>
      </c>
      <c r="S12" s="573">
        <f t="shared" si="13"/>
        <v>0</v>
      </c>
      <c r="T12" s="574">
        <v>1.1000000000000001</v>
      </c>
      <c r="U12" s="557">
        <f t="shared" si="14"/>
        <v>3.0000000000000009</v>
      </c>
      <c r="V12" s="575">
        <f t="shared" si="15"/>
        <v>1</v>
      </c>
      <c r="W12" s="559"/>
      <c r="X12" s="559"/>
      <c r="Y12" s="576">
        <v>5.1999999999999998E-2</v>
      </c>
      <c r="Z12" s="2328">
        <f t="shared" si="16"/>
        <v>1405.3968804491199</v>
      </c>
      <c r="AA12" s="2329" t="s">
        <v>1329</v>
      </c>
      <c r="AB12" s="583"/>
      <c r="AC12" s="583"/>
      <c r="AD12" s="583"/>
      <c r="AE12" s="584"/>
      <c r="AF12" s="583"/>
      <c r="AG12" s="583"/>
      <c r="AH12" s="585"/>
      <c r="AI12" s="556" t="s">
        <v>569</v>
      </c>
      <c r="AK12" s="558"/>
    </row>
    <row r="13" spans="1:37" ht="14.4" hidden="1" x14ac:dyDescent="0.3">
      <c r="A13" s="560" t="s">
        <v>568</v>
      </c>
      <c r="B13" s="557" t="str">
        <f t="shared" si="0"/>
        <v>1980s</v>
      </c>
      <c r="C13" s="561">
        <v>1982</v>
      </c>
      <c r="D13" s="562">
        <f t="shared" si="1"/>
        <v>1978</v>
      </c>
      <c r="E13" s="563">
        <f t="shared" si="2"/>
        <v>1980</v>
      </c>
      <c r="F13" s="580">
        <f t="shared" si="3"/>
        <v>50319</v>
      </c>
      <c r="G13" s="570">
        <f t="shared" si="4"/>
        <v>52231.736702999995</v>
      </c>
      <c r="H13" s="570">
        <f t="shared" si="5"/>
        <v>52131.736702999995</v>
      </c>
      <c r="I13" s="570">
        <f t="shared" si="6"/>
        <v>21513.659999999996</v>
      </c>
      <c r="J13" s="2124">
        <f t="shared" si="7"/>
        <v>0.52330665758556094</v>
      </c>
      <c r="K13" s="581">
        <f t="shared" si="8"/>
        <v>27026.863085559999</v>
      </c>
      <c r="L13" s="567">
        <f t="shared" si="17"/>
        <v>27333.215553935996</v>
      </c>
      <c r="M13" s="568"/>
      <c r="N13" s="568"/>
      <c r="O13" s="569">
        <f t="shared" si="9"/>
        <v>4.9203801409352507E-3</v>
      </c>
      <c r="P13" s="570">
        <f t="shared" si="10"/>
        <v>0.52330665758556094</v>
      </c>
      <c r="Q13" s="571">
        <f t="shared" si="11"/>
        <v>0</v>
      </c>
      <c r="R13" s="572">
        <f t="shared" si="12"/>
        <v>0</v>
      </c>
      <c r="S13" s="573">
        <f t="shared" si="13"/>
        <v>0</v>
      </c>
      <c r="T13" s="574">
        <v>1.2</v>
      </c>
      <c r="U13" s="557">
        <f t="shared" si="14"/>
        <v>3.9999999999999996</v>
      </c>
      <c r="V13" s="575">
        <f t="shared" si="15"/>
        <v>1</v>
      </c>
      <c r="W13" s="559"/>
      <c r="X13" s="559"/>
      <c r="Y13" s="582">
        <v>0.82499999999999996</v>
      </c>
      <c r="Z13" s="2328">
        <f t="shared" si="16"/>
        <v>22297.162045586996</v>
      </c>
      <c r="AA13" s="2329" t="s">
        <v>1329</v>
      </c>
      <c r="AB13" s="583"/>
      <c r="AC13" s="583"/>
      <c r="AD13" s="583"/>
      <c r="AE13" s="584"/>
      <c r="AF13" s="583"/>
      <c r="AG13" s="583"/>
      <c r="AH13" s="585"/>
      <c r="AI13" s="556" t="s">
        <v>569</v>
      </c>
      <c r="AK13" s="558"/>
    </row>
    <row r="14" spans="1:37" ht="14.4" hidden="1" x14ac:dyDescent="0.3">
      <c r="A14" s="560" t="s">
        <v>568</v>
      </c>
      <c r="B14" s="557" t="str">
        <f t="shared" si="0"/>
        <v>1980s</v>
      </c>
      <c r="C14" s="561">
        <v>1982</v>
      </c>
      <c r="D14" s="562">
        <f t="shared" si="1"/>
        <v>1977</v>
      </c>
      <c r="E14" s="563">
        <f t="shared" si="2"/>
        <v>1979</v>
      </c>
      <c r="F14" s="580">
        <f t="shared" si="3"/>
        <v>50319</v>
      </c>
      <c r="G14" s="570">
        <f t="shared" si="4"/>
        <v>52231.736702999995</v>
      </c>
      <c r="H14" s="570">
        <f t="shared" si="5"/>
        <v>52131.736702999995</v>
      </c>
      <c r="I14" s="570">
        <f t="shared" si="6"/>
        <v>21513.659999999996</v>
      </c>
      <c r="J14" s="2124">
        <f t="shared" si="7"/>
        <v>0.52330665758556094</v>
      </c>
      <c r="K14" s="581">
        <f t="shared" si="8"/>
        <v>27026.863085559999</v>
      </c>
      <c r="L14" s="567">
        <f t="shared" si="17"/>
        <v>27333.215553935996</v>
      </c>
      <c r="M14" s="568"/>
      <c r="N14" s="568"/>
      <c r="O14" s="569">
        <f t="shared" si="9"/>
        <v>4.9203801409352507E-3</v>
      </c>
      <c r="P14" s="570">
        <f t="shared" si="10"/>
        <v>0.52330665758556094</v>
      </c>
      <c r="Q14" s="571">
        <f t="shared" si="11"/>
        <v>0</v>
      </c>
      <c r="R14" s="572">
        <f t="shared" si="12"/>
        <v>0</v>
      </c>
      <c r="S14" s="573">
        <f t="shared" si="13"/>
        <v>0</v>
      </c>
      <c r="T14" s="574">
        <v>1.3</v>
      </c>
      <c r="U14" s="557">
        <f t="shared" si="14"/>
        <v>5</v>
      </c>
      <c r="V14" s="575">
        <f t="shared" si="15"/>
        <v>1</v>
      </c>
      <c r="W14" s="559"/>
      <c r="X14" s="559"/>
      <c r="Y14" s="582">
        <v>8.3000000000000004E-2</v>
      </c>
      <c r="Z14" s="2328">
        <f t="shared" si="16"/>
        <v>2243.2296361014801</v>
      </c>
      <c r="AA14" s="2329" t="s">
        <v>1329</v>
      </c>
      <c r="AB14" s="583"/>
      <c r="AC14" s="583"/>
      <c r="AD14" s="583"/>
      <c r="AE14" s="584"/>
      <c r="AF14" s="583"/>
      <c r="AG14" s="583"/>
      <c r="AH14" s="585"/>
      <c r="AI14" s="556" t="s">
        <v>569</v>
      </c>
      <c r="AK14" s="558"/>
    </row>
    <row r="15" spans="1:37" ht="14.4" hidden="1" x14ac:dyDescent="0.3">
      <c r="A15" s="560" t="s">
        <v>568</v>
      </c>
      <c r="B15" s="557" t="str">
        <f t="shared" si="0"/>
        <v>1980s</v>
      </c>
      <c r="C15" s="561">
        <v>1982</v>
      </c>
      <c r="D15" s="562">
        <f t="shared" si="1"/>
        <v>1978</v>
      </c>
      <c r="E15" s="563">
        <f t="shared" si="2"/>
        <v>1981</v>
      </c>
      <c r="F15" s="580">
        <f t="shared" si="3"/>
        <v>50319</v>
      </c>
      <c r="G15" s="570">
        <f t="shared" si="4"/>
        <v>52231.736702999995</v>
      </c>
      <c r="H15" s="570">
        <f t="shared" si="5"/>
        <v>52131.736702999995</v>
      </c>
      <c r="I15" s="570">
        <f t="shared" si="6"/>
        <v>21513.659999999996</v>
      </c>
      <c r="J15" s="2124">
        <f t="shared" si="7"/>
        <v>0.52330665758556094</v>
      </c>
      <c r="K15" s="581">
        <f t="shared" si="8"/>
        <v>27026.863085559999</v>
      </c>
      <c r="L15" s="567">
        <f t="shared" si="17"/>
        <v>27333.215553935996</v>
      </c>
      <c r="M15" s="568"/>
      <c r="N15" s="568"/>
      <c r="O15" s="569">
        <f t="shared" si="9"/>
        <v>4.9203801409352507E-3</v>
      </c>
      <c r="P15" s="570">
        <f t="shared" si="10"/>
        <v>0.52330665758556094</v>
      </c>
      <c r="Q15" s="571">
        <f t="shared" si="11"/>
        <v>0</v>
      </c>
      <c r="R15" s="572">
        <f t="shared" si="12"/>
        <v>0</v>
      </c>
      <c r="S15" s="573">
        <f t="shared" si="13"/>
        <v>0</v>
      </c>
      <c r="T15" s="574">
        <v>2.1</v>
      </c>
      <c r="U15" s="557">
        <f t="shared" si="14"/>
        <v>4.0000000000000009</v>
      </c>
      <c r="V15" s="575">
        <f t="shared" si="15"/>
        <v>2</v>
      </c>
      <c r="W15" s="559"/>
      <c r="X15" s="559"/>
      <c r="Y15" s="576">
        <v>2.3E-2</v>
      </c>
      <c r="Z15" s="2328">
        <f t="shared" si="16"/>
        <v>621.61785096787992</v>
      </c>
      <c r="AA15" s="2329" t="s">
        <v>1329</v>
      </c>
      <c r="AB15" s="583"/>
      <c r="AC15" s="583"/>
      <c r="AD15" s="583"/>
      <c r="AE15" s="584"/>
      <c r="AF15" s="583"/>
      <c r="AG15" s="583"/>
      <c r="AH15" s="585"/>
      <c r="AI15" s="556" t="s">
        <v>569</v>
      </c>
      <c r="AK15" s="558"/>
    </row>
    <row r="16" spans="1:37" ht="14.4" hidden="1" x14ac:dyDescent="0.3">
      <c r="A16" s="560" t="s">
        <v>568</v>
      </c>
      <c r="B16" s="557" t="str">
        <f t="shared" si="0"/>
        <v>1980s</v>
      </c>
      <c r="C16" s="561">
        <v>1982</v>
      </c>
      <c r="D16" s="562">
        <f t="shared" si="1"/>
        <v>1977</v>
      </c>
      <c r="E16" s="563">
        <f t="shared" si="2"/>
        <v>1980</v>
      </c>
      <c r="F16" s="580">
        <f t="shared" si="3"/>
        <v>50319</v>
      </c>
      <c r="G16" s="570">
        <f t="shared" si="4"/>
        <v>52231.736702999995</v>
      </c>
      <c r="H16" s="570">
        <f t="shared" si="5"/>
        <v>52131.736702999995</v>
      </c>
      <c r="I16" s="570">
        <f t="shared" si="6"/>
        <v>21513.659999999996</v>
      </c>
      <c r="J16" s="2124">
        <f t="shared" si="7"/>
        <v>0.52330665758556094</v>
      </c>
      <c r="K16" s="581">
        <f t="shared" si="8"/>
        <v>27026.863085559999</v>
      </c>
      <c r="L16" s="567">
        <f t="shared" si="17"/>
        <v>27333.215553935996</v>
      </c>
      <c r="M16" s="568"/>
      <c r="N16" s="568"/>
      <c r="O16" s="569">
        <f t="shared" si="9"/>
        <v>4.9203801409352507E-3</v>
      </c>
      <c r="P16" s="570">
        <f t="shared" si="10"/>
        <v>0.52330665758556094</v>
      </c>
      <c r="Q16" s="571">
        <f t="shared" si="11"/>
        <v>0</v>
      </c>
      <c r="R16" s="572">
        <f t="shared" si="12"/>
        <v>0</v>
      </c>
      <c r="S16" s="573">
        <f t="shared" si="13"/>
        <v>0</v>
      </c>
      <c r="T16" s="574">
        <v>2.2000000000000002</v>
      </c>
      <c r="U16" s="557">
        <f t="shared" si="14"/>
        <v>5.0000000000000018</v>
      </c>
      <c r="V16" s="575">
        <f t="shared" si="15"/>
        <v>2</v>
      </c>
      <c r="W16" s="559"/>
      <c r="X16" s="559"/>
      <c r="Y16" s="576">
        <v>1.6E-2</v>
      </c>
      <c r="Z16" s="2328">
        <f t="shared" si="16"/>
        <v>432.42980936895998</v>
      </c>
      <c r="AA16" s="2329" t="s">
        <v>1329</v>
      </c>
      <c r="AB16" s="583"/>
      <c r="AC16" s="583"/>
      <c r="AD16" s="583"/>
      <c r="AE16" s="584"/>
      <c r="AF16" s="583"/>
      <c r="AG16" s="583"/>
      <c r="AH16" s="585"/>
      <c r="AI16" s="556" t="s">
        <v>569</v>
      </c>
      <c r="AK16" s="558"/>
    </row>
    <row r="17" spans="1:37" ht="14.4" hidden="1" x14ac:dyDescent="0.3">
      <c r="A17" s="560" t="s">
        <v>568</v>
      </c>
      <c r="B17" s="557" t="str">
        <f t="shared" si="0"/>
        <v>1980s</v>
      </c>
      <c r="C17" s="561">
        <v>1983</v>
      </c>
      <c r="D17" s="562">
        <f t="shared" si="1"/>
        <v>1980</v>
      </c>
      <c r="E17" s="563">
        <f t="shared" si="2"/>
        <v>1982</v>
      </c>
      <c r="F17" s="580">
        <f t="shared" si="3"/>
        <v>100610</v>
      </c>
      <c r="G17" s="570">
        <f t="shared" si="4"/>
        <v>104712.996099</v>
      </c>
      <c r="H17" s="570">
        <f t="shared" si="5"/>
        <v>104629.996099</v>
      </c>
      <c r="I17" s="570">
        <f t="shared" si="6"/>
        <v>31611.1</v>
      </c>
      <c r="J17" s="2124">
        <f t="shared" si="7"/>
        <v>0.36576761084883824</v>
      </c>
      <c r="K17" s="581">
        <f t="shared" si="8"/>
        <v>38654.638556630001</v>
      </c>
      <c r="L17" s="567">
        <f t="shared" si="17"/>
        <v>38300.62240795495</v>
      </c>
      <c r="M17" s="568"/>
      <c r="N17" s="568"/>
      <c r="O17" s="569">
        <f t="shared" si="9"/>
        <v>2.3015290267518335E-3</v>
      </c>
      <c r="P17" s="570">
        <f t="shared" si="10"/>
        <v>0.36576761084883824</v>
      </c>
      <c r="Q17" s="571">
        <f t="shared" si="11"/>
        <v>0</v>
      </c>
      <c r="R17" s="572">
        <f t="shared" si="12"/>
        <v>0</v>
      </c>
      <c r="S17" s="573">
        <f t="shared" si="13"/>
        <v>0</v>
      </c>
      <c r="T17" s="574">
        <v>1.1000000000000001</v>
      </c>
      <c r="U17" s="557">
        <f t="shared" si="14"/>
        <v>3.0000000000000009</v>
      </c>
      <c r="V17" s="575">
        <f t="shared" si="15"/>
        <v>1</v>
      </c>
      <c r="W17" s="559"/>
      <c r="X17" s="559"/>
      <c r="Y17" s="576">
        <v>5.1999999999999998E-2</v>
      </c>
      <c r="Z17" s="2328">
        <f t="shared" si="16"/>
        <v>2010.04120494476</v>
      </c>
      <c r="AA17" s="2329" t="s">
        <v>1329</v>
      </c>
      <c r="AB17" s="583"/>
      <c r="AC17" s="583"/>
      <c r="AD17" s="583"/>
      <c r="AE17" s="584"/>
      <c r="AF17" s="583"/>
      <c r="AG17" s="583"/>
      <c r="AH17" s="585"/>
      <c r="AI17" s="556" t="s">
        <v>569</v>
      </c>
      <c r="AK17" s="558"/>
    </row>
    <row r="18" spans="1:37" ht="14.4" hidden="1" x14ac:dyDescent="0.3">
      <c r="A18" s="560" t="s">
        <v>568</v>
      </c>
      <c r="B18" s="557" t="str">
        <f t="shared" si="0"/>
        <v>1980s</v>
      </c>
      <c r="C18" s="561">
        <v>1983</v>
      </c>
      <c r="D18" s="562">
        <f t="shared" si="1"/>
        <v>1979</v>
      </c>
      <c r="E18" s="563">
        <f t="shared" si="2"/>
        <v>1981</v>
      </c>
      <c r="F18" s="580">
        <f t="shared" si="3"/>
        <v>100610</v>
      </c>
      <c r="G18" s="570">
        <f t="shared" si="4"/>
        <v>104712.996099</v>
      </c>
      <c r="H18" s="570">
        <f t="shared" si="5"/>
        <v>104629.996099</v>
      </c>
      <c r="I18" s="570">
        <f t="shared" si="6"/>
        <v>31611.1</v>
      </c>
      <c r="J18" s="2124">
        <f t="shared" si="7"/>
        <v>0.36576761084883824</v>
      </c>
      <c r="K18" s="581">
        <f t="shared" si="8"/>
        <v>38654.638556630001</v>
      </c>
      <c r="L18" s="567">
        <f t="shared" si="17"/>
        <v>38300.62240795495</v>
      </c>
      <c r="M18" s="568"/>
      <c r="N18" s="568"/>
      <c r="O18" s="569">
        <f t="shared" si="9"/>
        <v>2.3015290267518335E-3</v>
      </c>
      <c r="P18" s="570">
        <f t="shared" si="10"/>
        <v>0.36576761084883824</v>
      </c>
      <c r="Q18" s="571">
        <f t="shared" si="11"/>
        <v>0</v>
      </c>
      <c r="R18" s="572">
        <f t="shared" si="12"/>
        <v>0</v>
      </c>
      <c r="S18" s="573">
        <f t="shared" si="13"/>
        <v>0</v>
      </c>
      <c r="T18" s="574">
        <v>1.2</v>
      </c>
      <c r="U18" s="557">
        <f t="shared" si="14"/>
        <v>3.9999999999999996</v>
      </c>
      <c r="V18" s="575">
        <f t="shared" si="15"/>
        <v>1</v>
      </c>
      <c r="W18" s="559"/>
      <c r="X18" s="559"/>
      <c r="Y18" s="582">
        <v>0.82499999999999996</v>
      </c>
      <c r="Z18" s="2328">
        <f t="shared" si="16"/>
        <v>31890.07680921975</v>
      </c>
      <c r="AA18" s="2329" t="s">
        <v>1329</v>
      </c>
      <c r="AB18" s="583"/>
      <c r="AC18" s="583"/>
      <c r="AD18" s="583"/>
      <c r="AE18" s="584"/>
      <c r="AF18" s="583"/>
      <c r="AG18" s="583"/>
      <c r="AH18" s="585"/>
      <c r="AI18" s="556" t="s">
        <v>569</v>
      </c>
      <c r="AK18" s="558"/>
    </row>
    <row r="19" spans="1:37" ht="14.4" hidden="1" x14ac:dyDescent="0.3">
      <c r="A19" s="560" t="s">
        <v>568</v>
      </c>
      <c r="B19" s="557" t="str">
        <f t="shared" si="0"/>
        <v>1980s</v>
      </c>
      <c r="C19" s="561">
        <v>1983</v>
      </c>
      <c r="D19" s="562">
        <f t="shared" si="1"/>
        <v>1978</v>
      </c>
      <c r="E19" s="563">
        <f t="shared" si="2"/>
        <v>1980</v>
      </c>
      <c r="F19" s="580">
        <f t="shared" si="3"/>
        <v>100610</v>
      </c>
      <c r="G19" s="570">
        <f t="shared" si="4"/>
        <v>104712.996099</v>
      </c>
      <c r="H19" s="570">
        <f t="shared" si="5"/>
        <v>104629.996099</v>
      </c>
      <c r="I19" s="570">
        <f t="shared" si="6"/>
        <v>31611.1</v>
      </c>
      <c r="J19" s="2124">
        <f t="shared" si="7"/>
        <v>0.36576761084883824</v>
      </c>
      <c r="K19" s="581">
        <f t="shared" si="8"/>
        <v>38654.638556630001</v>
      </c>
      <c r="L19" s="567">
        <f t="shared" si="17"/>
        <v>38300.62240795495</v>
      </c>
      <c r="M19" s="568"/>
      <c r="N19" s="568"/>
      <c r="O19" s="569">
        <f t="shared" si="9"/>
        <v>2.3015290267518335E-3</v>
      </c>
      <c r="P19" s="570">
        <f t="shared" si="10"/>
        <v>0.36576761084883824</v>
      </c>
      <c r="Q19" s="571">
        <f t="shared" si="11"/>
        <v>0</v>
      </c>
      <c r="R19" s="572">
        <f t="shared" si="12"/>
        <v>0</v>
      </c>
      <c r="S19" s="573">
        <f t="shared" si="13"/>
        <v>0</v>
      </c>
      <c r="T19" s="574">
        <v>1.3</v>
      </c>
      <c r="U19" s="557">
        <f t="shared" si="14"/>
        <v>5</v>
      </c>
      <c r="V19" s="575">
        <f t="shared" si="15"/>
        <v>1</v>
      </c>
      <c r="W19" s="559"/>
      <c r="X19" s="559"/>
      <c r="Y19" s="582">
        <v>8.3000000000000004E-2</v>
      </c>
      <c r="Z19" s="2328">
        <f t="shared" si="16"/>
        <v>3208.3350002002903</v>
      </c>
      <c r="AA19" s="2329" t="s">
        <v>1329</v>
      </c>
      <c r="AB19" s="583"/>
      <c r="AC19" s="583"/>
      <c r="AD19" s="583"/>
      <c r="AE19" s="584"/>
      <c r="AF19" s="583"/>
      <c r="AG19" s="583"/>
      <c r="AH19" s="585"/>
      <c r="AI19" s="556" t="s">
        <v>569</v>
      </c>
      <c r="AK19" s="558"/>
    </row>
    <row r="20" spans="1:37" ht="14.4" hidden="1" x14ac:dyDescent="0.3">
      <c r="A20" s="560" t="s">
        <v>568</v>
      </c>
      <c r="B20" s="557" t="str">
        <f t="shared" si="0"/>
        <v>1980s</v>
      </c>
      <c r="C20" s="561">
        <v>1983</v>
      </c>
      <c r="D20" s="562">
        <f t="shared" si="1"/>
        <v>1979</v>
      </c>
      <c r="E20" s="563">
        <f t="shared" si="2"/>
        <v>1982</v>
      </c>
      <c r="F20" s="580">
        <f t="shared" si="3"/>
        <v>100610</v>
      </c>
      <c r="G20" s="570">
        <f t="shared" si="4"/>
        <v>104712.996099</v>
      </c>
      <c r="H20" s="570">
        <f t="shared" si="5"/>
        <v>104629.996099</v>
      </c>
      <c r="I20" s="570">
        <f t="shared" si="6"/>
        <v>31611.1</v>
      </c>
      <c r="J20" s="2124">
        <f t="shared" si="7"/>
        <v>0.36576761084883824</v>
      </c>
      <c r="K20" s="581">
        <f t="shared" si="8"/>
        <v>38654.638556630001</v>
      </c>
      <c r="L20" s="567">
        <f t="shared" si="17"/>
        <v>38300.62240795495</v>
      </c>
      <c r="M20" s="568"/>
      <c r="N20" s="568"/>
      <c r="O20" s="569">
        <f t="shared" si="9"/>
        <v>2.3015290267518335E-3</v>
      </c>
      <c r="P20" s="570">
        <f t="shared" si="10"/>
        <v>0.36576761084883824</v>
      </c>
      <c r="Q20" s="571">
        <f t="shared" si="11"/>
        <v>0</v>
      </c>
      <c r="R20" s="572">
        <f t="shared" si="12"/>
        <v>0</v>
      </c>
      <c r="S20" s="573">
        <f t="shared" si="13"/>
        <v>0</v>
      </c>
      <c r="T20" s="574">
        <v>2.1</v>
      </c>
      <c r="U20" s="557">
        <f t="shared" si="14"/>
        <v>4.0000000000000009</v>
      </c>
      <c r="V20" s="575">
        <f t="shared" si="15"/>
        <v>2</v>
      </c>
      <c r="W20" s="559"/>
      <c r="X20" s="559"/>
      <c r="Y20" s="576">
        <v>2.3E-2</v>
      </c>
      <c r="Z20" s="2328">
        <f t="shared" si="16"/>
        <v>889.05668680249005</v>
      </c>
      <c r="AA20" s="2329" t="s">
        <v>1329</v>
      </c>
      <c r="AB20" s="583"/>
      <c r="AC20" s="583"/>
      <c r="AD20" s="583"/>
      <c r="AE20" s="584"/>
      <c r="AF20" s="583"/>
      <c r="AG20" s="583"/>
      <c r="AH20" s="585"/>
      <c r="AI20" s="556" t="s">
        <v>569</v>
      </c>
      <c r="AK20" s="558"/>
    </row>
    <row r="21" spans="1:37" ht="14.4" hidden="1" x14ac:dyDescent="0.3">
      <c r="A21" s="560" t="s">
        <v>568</v>
      </c>
      <c r="B21" s="557" t="str">
        <f t="shared" si="0"/>
        <v>1980s</v>
      </c>
      <c r="C21" s="561">
        <v>1983</v>
      </c>
      <c r="D21" s="562">
        <f t="shared" si="1"/>
        <v>1978</v>
      </c>
      <c r="E21" s="563">
        <f t="shared" si="2"/>
        <v>1981</v>
      </c>
      <c r="F21" s="580">
        <f t="shared" si="3"/>
        <v>100610</v>
      </c>
      <c r="G21" s="570">
        <f t="shared" si="4"/>
        <v>104712.996099</v>
      </c>
      <c r="H21" s="570">
        <f t="shared" si="5"/>
        <v>104629.996099</v>
      </c>
      <c r="I21" s="570">
        <f t="shared" si="6"/>
        <v>31611.1</v>
      </c>
      <c r="J21" s="2124">
        <f t="shared" si="7"/>
        <v>0.36576761084883824</v>
      </c>
      <c r="K21" s="581">
        <f t="shared" si="8"/>
        <v>38654.638556630001</v>
      </c>
      <c r="L21" s="567">
        <f t="shared" si="17"/>
        <v>38300.62240795495</v>
      </c>
      <c r="M21" s="568"/>
      <c r="N21" s="568"/>
      <c r="O21" s="569">
        <f t="shared" si="9"/>
        <v>2.3015290267518335E-3</v>
      </c>
      <c r="P21" s="570">
        <f t="shared" si="10"/>
        <v>0.36576761084883824</v>
      </c>
      <c r="Q21" s="571">
        <f t="shared" si="11"/>
        <v>0</v>
      </c>
      <c r="R21" s="572">
        <f t="shared" si="12"/>
        <v>0</v>
      </c>
      <c r="S21" s="573">
        <f t="shared" si="13"/>
        <v>0</v>
      </c>
      <c r="T21" s="574">
        <v>2.2000000000000002</v>
      </c>
      <c r="U21" s="557">
        <f t="shared" si="14"/>
        <v>5.0000000000000018</v>
      </c>
      <c r="V21" s="575">
        <f t="shared" si="15"/>
        <v>2</v>
      </c>
      <c r="W21" s="559"/>
      <c r="X21" s="559"/>
      <c r="Y21" s="576">
        <v>1.6E-2</v>
      </c>
      <c r="Z21" s="2328">
        <f t="shared" si="16"/>
        <v>618.47421690608007</v>
      </c>
      <c r="AA21" s="2329" t="s">
        <v>1329</v>
      </c>
      <c r="AB21" s="583"/>
      <c r="AC21" s="583"/>
      <c r="AD21" s="583"/>
      <c r="AE21" s="584"/>
      <c r="AF21" s="583"/>
      <c r="AG21" s="583"/>
      <c r="AH21" s="585"/>
      <c r="AI21" s="556" t="s">
        <v>569</v>
      </c>
      <c r="AK21" s="558"/>
    </row>
    <row r="22" spans="1:37" ht="14.4" hidden="1" x14ac:dyDescent="0.3">
      <c r="A22" s="560" t="s">
        <v>568</v>
      </c>
      <c r="B22" s="557" t="str">
        <f t="shared" si="0"/>
        <v>1980s</v>
      </c>
      <c r="C22" s="561">
        <v>1984</v>
      </c>
      <c r="D22" s="562">
        <f t="shared" si="1"/>
        <v>1981</v>
      </c>
      <c r="E22" s="563">
        <f t="shared" si="2"/>
        <v>1983</v>
      </c>
      <c r="F22" s="580">
        <f t="shared" si="3"/>
        <v>161890</v>
      </c>
      <c r="G22" s="570">
        <f t="shared" si="4"/>
        <v>168257.70376499998</v>
      </c>
      <c r="H22" s="570">
        <f t="shared" si="5"/>
        <v>158912.70376499998</v>
      </c>
      <c r="I22" s="570">
        <f t="shared" si="6"/>
        <v>91753.127999999997</v>
      </c>
      <c r="J22" s="2124">
        <f t="shared" si="7"/>
        <v>0.84106192938070612</v>
      </c>
      <c r="K22" s="581">
        <f t="shared" si="8"/>
        <v>141211.31116259997</v>
      </c>
      <c r="L22" s="567">
        <f t="shared" si="17"/>
        <v>141515.14896175818</v>
      </c>
      <c r="M22" s="568"/>
      <c r="N22" s="568"/>
      <c r="O22" s="569">
        <f t="shared" si="9"/>
        <v>8.8554637716976934E-4</v>
      </c>
      <c r="P22" s="570">
        <f t="shared" si="10"/>
        <v>0.84106192938070612</v>
      </c>
      <c r="Q22" s="571">
        <f t="shared" si="11"/>
        <v>0</v>
      </c>
      <c r="R22" s="572">
        <f t="shared" si="12"/>
        <v>0</v>
      </c>
      <c r="S22" s="573">
        <f t="shared" si="13"/>
        <v>0</v>
      </c>
      <c r="T22" s="574">
        <v>1.1000000000000001</v>
      </c>
      <c r="U22" s="557">
        <f t="shared" si="14"/>
        <v>3.0000000000000009</v>
      </c>
      <c r="V22" s="575">
        <f t="shared" si="15"/>
        <v>1</v>
      </c>
      <c r="W22" s="559"/>
      <c r="X22" s="559"/>
      <c r="Y22" s="576">
        <v>5.1999999999999998E-2</v>
      </c>
      <c r="Z22" s="2328">
        <f t="shared" si="16"/>
        <v>7342.9881804551987</v>
      </c>
      <c r="AA22" s="2329" t="s">
        <v>1329</v>
      </c>
      <c r="AB22" s="583"/>
      <c r="AC22" s="583"/>
      <c r="AD22" s="583"/>
      <c r="AE22" s="584"/>
      <c r="AF22" s="583"/>
      <c r="AG22" s="583"/>
      <c r="AH22" s="585"/>
      <c r="AI22" s="556" t="s">
        <v>569</v>
      </c>
      <c r="AK22" s="558"/>
    </row>
    <row r="23" spans="1:37" ht="14.4" hidden="1" x14ac:dyDescent="0.3">
      <c r="A23" s="560" t="s">
        <v>568</v>
      </c>
      <c r="B23" s="557" t="str">
        <f t="shared" si="0"/>
        <v>1980s</v>
      </c>
      <c r="C23" s="561">
        <v>1984</v>
      </c>
      <c r="D23" s="562">
        <f t="shared" si="1"/>
        <v>1980</v>
      </c>
      <c r="E23" s="563">
        <f t="shared" si="2"/>
        <v>1982</v>
      </c>
      <c r="F23" s="580">
        <f t="shared" si="3"/>
        <v>161890</v>
      </c>
      <c r="G23" s="570">
        <f t="shared" si="4"/>
        <v>168257.70376499998</v>
      </c>
      <c r="H23" s="570">
        <f t="shared" si="5"/>
        <v>158912.70376499998</v>
      </c>
      <c r="I23" s="570">
        <f t="shared" si="6"/>
        <v>91753.127999999997</v>
      </c>
      <c r="J23" s="2124">
        <f t="shared" si="7"/>
        <v>0.84106192938070612</v>
      </c>
      <c r="K23" s="581">
        <f t="shared" si="8"/>
        <v>141211.31116259997</v>
      </c>
      <c r="L23" s="567">
        <f t="shared" si="17"/>
        <v>141515.14896175818</v>
      </c>
      <c r="M23" s="568"/>
      <c r="N23" s="568"/>
      <c r="O23" s="569">
        <f t="shared" si="9"/>
        <v>8.8554637716976934E-4</v>
      </c>
      <c r="P23" s="570">
        <f t="shared" si="10"/>
        <v>0.84106192938070612</v>
      </c>
      <c r="Q23" s="571">
        <f t="shared" si="11"/>
        <v>0</v>
      </c>
      <c r="R23" s="572">
        <f t="shared" si="12"/>
        <v>0</v>
      </c>
      <c r="S23" s="573">
        <f t="shared" si="13"/>
        <v>0</v>
      </c>
      <c r="T23" s="574">
        <v>1.2</v>
      </c>
      <c r="U23" s="557">
        <f t="shared" si="14"/>
        <v>3.9999999999999996</v>
      </c>
      <c r="V23" s="575">
        <f t="shared" si="15"/>
        <v>1</v>
      </c>
      <c r="W23" s="559"/>
      <c r="X23" s="559"/>
      <c r="Y23" s="582">
        <v>0.82499999999999996</v>
      </c>
      <c r="Z23" s="2328">
        <f t="shared" si="16"/>
        <v>116499.33170914497</v>
      </c>
      <c r="AA23" s="2329" t="s">
        <v>1329</v>
      </c>
      <c r="AB23" s="583"/>
      <c r="AC23" s="583"/>
      <c r="AD23" s="583"/>
      <c r="AE23" s="584"/>
      <c r="AF23" s="583"/>
      <c r="AG23" s="583"/>
      <c r="AH23" s="585"/>
      <c r="AI23" s="556" t="s">
        <v>569</v>
      </c>
      <c r="AK23" s="558"/>
    </row>
    <row r="24" spans="1:37" ht="14.4" hidden="1" x14ac:dyDescent="0.3">
      <c r="A24" s="560" t="s">
        <v>568</v>
      </c>
      <c r="B24" s="557" t="str">
        <f t="shared" si="0"/>
        <v>1980s</v>
      </c>
      <c r="C24" s="561">
        <v>1984</v>
      </c>
      <c r="D24" s="562">
        <f t="shared" si="1"/>
        <v>1979</v>
      </c>
      <c r="E24" s="563">
        <f t="shared" si="2"/>
        <v>1981</v>
      </c>
      <c r="F24" s="580">
        <f t="shared" si="3"/>
        <v>161890</v>
      </c>
      <c r="G24" s="570">
        <f t="shared" si="4"/>
        <v>168257.70376499998</v>
      </c>
      <c r="H24" s="570">
        <f t="shared" si="5"/>
        <v>158912.70376499998</v>
      </c>
      <c r="I24" s="570">
        <f t="shared" si="6"/>
        <v>91753.127999999997</v>
      </c>
      <c r="J24" s="2124">
        <f t="shared" si="7"/>
        <v>0.84106192938070612</v>
      </c>
      <c r="K24" s="581">
        <f t="shared" si="8"/>
        <v>141211.31116259997</v>
      </c>
      <c r="L24" s="567">
        <f t="shared" si="17"/>
        <v>141515.14896175818</v>
      </c>
      <c r="M24" s="568"/>
      <c r="N24" s="568"/>
      <c r="O24" s="569">
        <f t="shared" si="9"/>
        <v>8.8554637716976934E-4</v>
      </c>
      <c r="P24" s="570">
        <f t="shared" si="10"/>
        <v>0.84106192938070612</v>
      </c>
      <c r="Q24" s="571">
        <f t="shared" si="11"/>
        <v>0</v>
      </c>
      <c r="R24" s="572">
        <f t="shared" si="12"/>
        <v>0</v>
      </c>
      <c r="S24" s="573">
        <f t="shared" si="13"/>
        <v>0</v>
      </c>
      <c r="T24" s="574">
        <v>1.3</v>
      </c>
      <c r="U24" s="557">
        <f t="shared" si="14"/>
        <v>5</v>
      </c>
      <c r="V24" s="575">
        <f t="shared" si="15"/>
        <v>1</v>
      </c>
      <c r="W24" s="559"/>
      <c r="X24" s="559"/>
      <c r="Y24" s="582">
        <v>8.3000000000000004E-2</v>
      </c>
      <c r="Z24" s="2328">
        <f t="shared" si="16"/>
        <v>11720.538826495798</v>
      </c>
      <c r="AA24" s="2329" t="s">
        <v>1329</v>
      </c>
      <c r="AB24" s="583"/>
      <c r="AC24" s="583"/>
      <c r="AD24" s="583"/>
      <c r="AE24" s="584"/>
      <c r="AF24" s="583"/>
      <c r="AG24" s="583"/>
      <c r="AH24" s="585"/>
      <c r="AI24" s="556" t="s">
        <v>569</v>
      </c>
      <c r="AK24" s="558"/>
    </row>
    <row r="25" spans="1:37" ht="14.4" hidden="1" x14ac:dyDescent="0.3">
      <c r="A25" s="560" t="s">
        <v>568</v>
      </c>
      <c r="B25" s="557" t="str">
        <f t="shared" si="0"/>
        <v>1980s</v>
      </c>
      <c r="C25" s="561">
        <v>1984</v>
      </c>
      <c r="D25" s="562">
        <f t="shared" si="1"/>
        <v>1980</v>
      </c>
      <c r="E25" s="563">
        <f t="shared" si="2"/>
        <v>1983</v>
      </c>
      <c r="F25" s="580">
        <f t="shared" si="3"/>
        <v>161890</v>
      </c>
      <c r="G25" s="570">
        <f t="shared" si="4"/>
        <v>168257.70376499998</v>
      </c>
      <c r="H25" s="570">
        <f t="shared" si="5"/>
        <v>158912.70376499998</v>
      </c>
      <c r="I25" s="570">
        <f t="shared" si="6"/>
        <v>91753.127999999997</v>
      </c>
      <c r="J25" s="2124">
        <f t="shared" si="7"/>
        <v>0.84106192938070612</v>
      </c>
      <c r="K25" s="581">
        <f t="shared" si="8"/>
        <v>141211.31116259997</v>
      </c>
      <c r="L25" s="567">
        <f t="shared" si="17"/>
        <v>141515.14896175818</v>
      </c>
      <c r="M25" s="568"/>
      <c r="N25" s="568"/>
      <c r="O25" s="569">
        <f t="shared" si="9"/>
        <v>8.8554637716976934E-4</v>
      </c>
      <c r="P25" s="570">
        <f t="shared" si="10"/>
        <v>0.84106192938070612</v>
      </c>
      <c r="Q25" s="571">
        <f t="shared" si="11"/>
        <v>0</v>
      </c>
      <c r="R25" s="572">
        <f t="shared" si="12"/>
        <v>0</v>
      </c>
      <c r="S25" s="573">
        <f t="shared" si="13"/>
        <v>0</v>
      </c>
      <c r="T25" s="574">
        <v>2.1</v>
      </c>
      <c r="U25" s="557">
        <f t="shared" si="14"/>
        <v>4.0000000000000009</v>
      </c>
      <c r="V25" s="575">
        <f t="shared" si="15"/>
        <v>2</v>
      </c>
      <c r="W25" s="559"/>
      <c r="X25" s="559"/>
      <c r="Y25" s="576">
        <v>2.3E-2</v>
      </c>
      <c r="Z25" s="2328">
        <f t="shared" si="16"/>
        <v>3247.8601567397995</v>
      </c>
      <c r="AA25" s="2329" t="s">
        <v>1329</v>
      </c>
      <c r="AB25" s="583"/>
      <c r="AC25" s="583"/>
      <c r="AD25" s="583"/>
      <c r="AE25" s="584"/>
      <c r="AF25" s="583"/>
      <c r="AG25" s="583"/>
      <c r="AH25" s="585"/>
      <c r="AI25" s="556" t="s">
        <v>569</v>
      </c>
      <c r="AK25" s="558"/>
    </row>
    <row r="26" spans="1:37" ht="14.4" hidden="1" x14ac:dyDescent="0.3">
      <c r="A26" s="560" t="s">
        <v>568</v>
      </c>
      <c r="B26" s="557" t="str">
        <f t="shared" si="0"/>
        <v>1980s</v>
      </c>
      <c r="C26" s="561">
        <v>1984</v>
      </c>
      <c r="D26" s="562">
        <f t="shared" si="1"/>
        <v>1979</v>
      </c>
      <c r="E26" s="563">
        <f t="shared" si="2"/>
        <v>1982</v>
      </c>
      <c r="F26" s="580">
        <f t="shared" si="3"/>
        <v>161890</v>
      </c>
      <c r="G26" s="570">
        <f t="shared" si="4"/>
        <v>168257.70376499998</v>
      </c>
      <c r="H26" s="570">
        <f t="shared" si="5"/>
        <v>158912.70376499998</v>
      </c>
      <c r="I26" s="570">
        <f t="shared" si="6"/>
        <v>91753.127999999997</v>
      </c>
      <c r="J26" s="2124">
        <f t="shared" si="7"/>
        <v>0.84106192938070612</v>
      </c>
      <c r="K26" s="581">
        <f t="shared" si="8"/>
        <v>141211.31116259997</v>
      </c>
      <c r="L26" s="567">
        <f t="shared" si="17"/>
        <v>141515.14896175818</v>
      </c>
      <c r="M26" s="568"/>
      <c r="N26" s="568"/>
      <c r="O26" s="569">
        <f t="shared" si="9"/>
        <v>8.8554637716976934E-4</v>
      </c>
      <c r="P26" s="570">
        <f t="shared" si="10"/>
        <v>0.84106192938070612</v>
      </c>
      <c r="Q26" s="571">
        <f t="shared" si="11"/>
        <v>0</v>
      </c>
      <c r="R26" s="572">
        <f t="shared" si="12"/>
        <v>0</v>
      </c>
      <c r="S26" s="573">
        <f t="shared" si="13"/>
        <v>0</v>
      </c>
      <c r="T26" s="574">
        <v>2.2000000000000002</v>
      </c>
      <c r="U26" s="557">
        <f t="shared" si="14"/>
        <v>5.0000000000000018</v>
      </c>
      <c r="V26" s="575">
        <f t="shared" si="15"/>
        <v>2</v>
      </c>
      <c r="W26" s="559"/>
      <c r="X26" s="559"/>
      <c r="Y26" s="576">
        <v>1.6E-2</v>
      </c>
      <c r="Z26" s="2328">
        <f t="shared" si="16"/>
        <v>2259.3809786015995</v>
      </c>
      <c r="AA26" s="2329" t="s">
        <v>1329</v>
      </c>
      <c r="AB26" s="583"/>
      <c r="AC26" s="583"/>
      <c r="AD26" s="583"/>
      <c r="AE26" s="584"/>
      <c r="AF26" s="583"/>
      <c r="AG26" s="583"/>
      <c r="AH26" s="585"/>
      <c r="AI26" s="556" t="s">
        <v>569</v>
      </c>
      <c r="AK26" s="558"/>
    </row>
    <row r="27" spans="1:37" ht="14.4" x14ac:dyDescent="0.3">
      <c r="A27" s="560" t="s">
        <v>568</v>
      </c>
      <c r="B27" s="557" t="str">
        <f>LEFT(E27,3)*10 &amp; "s"</f>
        <v>1980s</v>
      </c>
      <c r="C27" s="561">
        <v>1985</v>
      </c>
      <c r="D27" s="562">
        <f t="shared" si="1"/>
        <v>1982</v>
      </c>
      <c r="E27" s="563">
        <f t="shared" si="2"/>
        <v>1984</v>
      </c>
      <c r="F27" s="586">
        <f t="shared" si="3"/>
        <v>200758</v>
      </c>
      <c r="G27" s="587">
        <f t="shared" si="4"/>
        <v>205521</v>
      </c>
      <c r="H27" s="587">
        <f t="shared" si="5"/>
        <v>173308</v>
      </c>
      <c r="I27" s="2121">
        <f t="shared" si="6"/>
        <v>59983.547999999995</v>
      </c>
      <c r="J27" s="2125">
        <f t="shared" si="7"/>
        <v>0.58123593023255804</v>
      </c>
      <c r="K27" s="590">
        <f t="shared" si="8"/>
        <v>121223</v>
      </c>
      <c r="L27" s="591">
        <f t="shared" si="17"/>
        <v>119456.18961732557</v>
      </c>
      <c r="M27" s="589"/>
      <c r="N27" s="591"/>
      <c r="O27" s="569">
        <f t="shared" si="9"/>
        <v>2.870752867103605E-4</v>
      </c>
      <c r="P27" s="592">
        <f t="shared" si="10"/>
        <v>0.58123593023255804</v>
      </c>
      <c r="Q27" s="593">
        <f t="shared" si="11"/>
        <v>0.51892511237550554</v>
      </c>
      <c r="R27" s="572">
        <f t="shared" si="12"/>
        <v>0</v>
      </c>
      <c r="S27" s="573">
        <f t="shared" si="13"/>
        <v>0.30173448427077804</v>
      </c>
      <c r="T27" s="574">
        <v>1.1000000000000001</v>
      </c>
      <c r="U27" s="557">
        <f t="shared" si="14"/>
        <v>3.0000000000000009</v>
      </c>
      <c r="V27" s="575">
        <f t="shared" si="15"/>
        <v>1</v>
      </c>
      <c r="W27" s="594">
        <v>6.9000000000000006E-2</v>
      </c>
      <c r="X27" s="595">
        <f t="shared" ref="X27:X90" si="18">W27*G27</f>
        <v>14180.949000000001</v>
      </c>
      <c r="Y27" s="576">
        <v>5.1999999999999998E-2</v>
      </c>
      <c r="Z27" s="596">
        <f t="shared" ref="Z27:Z90" si="19">K27*W27</f>
        <v>8364.3870000000006</v>
      </c>
      <c r="AA27" s="2326" t="s">
        <v>1330</v>
      </c>
      <c r="AB27" s="597">
        <f>L27*W27</f>
        <v>8242.4770835954641</v>
      </c>
      <c r="AC27" s="597" t="str">
        <f>IF(N27,N27*W27,"")</f>
        <v/>
      </c>
      <c r="AD27" s="597">
        <f>IF(Y27,L27*Y27,"")</f>
        <v>6211.721860100929</v>
      </c>
      <c r="AE27" s="598">
        <f t="shared" ref="AE27:AE90" si="20">L27*W27</f>
        <v>8242.4770835954641</v>
      </c>
      <c r="AF27" s="572">
        <f t="shared" ref="AF27:AF90" si="21">Y27*I27</f>
        <v>3119.1444959999994</v>
      </c>
      <c r="AG27" s="599">
        <f t="shared" ref="AG27:AG90" si="22">Y27*R27</f>
        <v>0</v>
      </c>
      <c r="AH27" s="600">
        <f t="shared" ref="AH27:AH90" si="23">IF(X27=0,0,AG27/X27)</f>
        <v>0</v>
      </c>
      <c r="AI27" s="559" t="s">
        <v>570</v>
      </c>
      <c r="AK27" s="601"/>
    </row>
    <row r="28" spans="1:37" ht="14.4" x14ac:dyDescent="0.3">
      <c r="A28" s="560" t="s">
        <v>568</v>
      </c>
      <c r="B28" s="557" t="str">
        <f t="shared" ref="B28:B91" si="24">LEFT(E28,3)*10 &amp; "s"</f>
        <v>1980s</v>
      </c>
      <c r="C28" s="561">
        <v>1985</v>
      </c>
      <c r="D28" s="562">
        <f t="shared" si="1"/>
        <v>1981</v>
      </c>
      <c r="E28" s="563">
        <f t="shared" si="2"/>
        <v>1983</v>
      </c>
      <c r="F28" s="586">
        <f t="shared" si="3"/>
        <v>200758</v>
      </c>
      <c r="G28" s="587">
        <f t="shared" si="4"/>
        <v>205521</v>
      </c>
      <c r="H28" s="587">
        <f t="shared" si="5"/>
        <v>173308</v>
      </c>
      <c r="I28" s="2121">
        <f t="shared" si="6"/>
        <v>59983.547999999995</v>
      </c>
      <c r="J28" s="2125">
        <f t="shared" si="7"/>
        <v>0.58123593023255804</v>
      </c>
      <c r="K28" s="590">
        <f t="shared" si="8"/>
        <v>121223</v>
      </c>
      <c r="L28" s="591">
        <f t="shared" si="17"/>
        <v>119456.18961732557</v>
      </c>
      <c r="M28" s="591"/>
      <c r="N28" s="591"/>
      <c r="O28" s="569">
        <f t="shared" si="9"/>
        <v>2.870752867103605E-4</v>
      </c>
      <c r="P28" s="592">
        <f t="shared" si="10"/>
        <v>0.58123593023255804</v>
      </c>
      <c r="Q28" s="571">
        <f t="shared" si="11"/>
        <v>0.51892511237550554</v>
      </c>
      <c r="R28" s="572">
        <f t="shared" si="12"/>
        <v>0</v>
      </c>
      <c r="S28" s="573">
        <f t="shared" si="13"/>
        <v>0.30173448427077804</v>
      </c>
      <c r="T28" s="574">
        <v>1.2</v>
      </c>
      <c r="U28" s="557">
        <f t="shared" si="14"/>
        <v>3.9999999999999996</v>
      </c>
      <c r="V28" s="575">
        <f t="shared" si="15"/>
        <v>1</v>
      </c>
      <c r="W28" s="594">
        <v>0.88</v>
      </c>
      <c r="X28" s="595">
        <f t="shared" si="18"/>
        <v>180858.48</v>
      </c>
      <c r="Y28" s="582">
        <v>0.82499999999999996</v>
      </c>
      <c r="Z28" s="596">
        <f t="shared" si="19"/>
        <v>106676.24</v>
      </c>
      <c r="AA28" s="2326" t="s">
        <v>1330</v>
      </c>
      <c r="AB28" s="597">
        <f t="shared" ref="AB28:AB91" si="25">L28*W28</f>
        <v>105121.4468632465</v>
      </c>
      <c r="AC28" s="597" t="str">
        <f t="shared" ref="AC28:AC91" si="26">IF(N28,N28*W28,"")</f>
        <v/>
      </c>
      <c r="AD28" s="597">
        <f t="shared" ref="AD28:AD91" si="27">IF(Y28,L28*Y28,"")</f>
        <v>98551.356434293586</v>
      </c>
      <c r="AE28" s="598">
        <f t="shared" si="20"/>
        <v>105121.4468632465</v>
      </c>
      <c r="AF28" s="572">
        <f t="shared" si="21"/>
        <v>49486.427099999994</v>
      </c>
      <c r="AG28" s="572">
        <f t="shared" si="22"/>
        <v>0</v>
      </c>
      <c r="AH28" s="600">
        <f t="shared" si="23"/>
        <v>0</v>
      </c>
      <c r="AI28" s="559" t="s">
        <v>570</v>
      </c>
      <c r="AK28" s="601"/>
    </row>
    <row r="29" spans="1:37" ht="14.4" x14ac:dyDescent="0.3">
      <c r="A29" s="560" t="s">
        <v>568</v>
      </c>
      <c r="B29" s="557" t="str">
        <f t="shared" si="24"/>
        <v>1980s</v>
      </c>
      <c r="C29" s="561">
        <v>1985</v>
      </c>
      <c r="D29" s="562">
        <f t="shared" si="1"/>
        <v>1980</v>
      </c>
      <c r="E29" s="563">
        <f t="shared" si="2"/>
        <v>1982</v>
      </c>
      <c r="F29" s="586">
        <f t="shared" si="3"/>
        <v>200758</v>
      </c>
      <c r="G29" s="587">
        <f t="shared" si="4"/>
        <v>205521</v>
      </c>
      <c r="H29" s="587">
        <f t="shared" si="5"/>
        <v>173308</v>
      </c>
      <c r="I29" s="2121">
        <f t="shared" si="6"/>
        <v>59983.547999999995</v>
      </c>
      <c r="J29" s="2125">
        <f t="shared" si="7"/>
        <v>0.58123593023255804</v>
      </c>
      <c r="K29" s="590">
        <f t="shared" si="8"/>
        <v>121223</v>
      </c>
      <c r="L29" s="591">
        <f t="shared" si="17"/>
        <v>119456.18961732557</v>
      </c>
      <c r="M29" s="591"/>
      <c r="N29" s="591"/>
      <c r="O29" s="569">
        <f t="shared" si="9"/>
        <v>2.870752867103605E-4</v>
      </c>
      <c r="P29" s="592">
        <f t="shared" si="10"/>
        <v>0.58123593023255804</v>
      </c>
      <c r="Q29" s="571">
        <f t="shared" si="11"/>
        <v>0.51892511237550554</v>
      </c>
      <c r="R29" s="572">
        <f t="shared" si="12"/>
        <v>0</v>
      </c>
      <c r="S29" s="573">
        <f t="shared" si="13"/>
        <v>0.30173448427077804</v>
      </c>
      <c r="T29" s="574">
        <v>1.3</v>
      </c>
      <c r="U29" s="557">
        <f t="shared" si="14"/>
        <v>5</v>
      </c>
      <c r="V29" s="575">
        <f t="shared" si="15"/>
        <v>1</v>
      </c>
      <c r="W29" s="594">
        <v>6.0000000000000001E-3</v>
      </c>
      <c r="X29" s="595">
        <f t="shared" si="18"/>
        <v>1233.126</v>
      </c>
      <c r="Y29" s="582">
        <v>8.3000000000000004E-2</v>
      </c>
      <c r="Z29" s="596">
        <f t="shared" si="19"/>
        <v>727.33799999999997</v>
      </c>
      <c r="AA29" s="2326" t="s">
        <v>1330</v>
      </c>
      <c r="AB29" s="597">
        <f t="shared" si="25"/>
        <v>716.73713770395341</v>
      </c>
      <c r="AC29" s="597" t="str">
        <f t="shared" si="26"/>
        <v/>
      </c>
      <c r="AD29" s="597">
        <f t="shared" si="27"/>
        <v>9914.8637382380221</v>
      </c>
      <c r="AE29" s="598">
        <f t="shared" si="20"/>
        <v>716.73713770395341</v>
      </c>
      <c r="AF29" s="572">
        <f t="shared" si="21"/>
        <v>4978.6344840000002</v>
      </c>
      <c r="AG29" s="572">
        <f t="shared" si="22"/>
        <v>0</v>
      </c>
      <c r="AH29" s="600">
        <f t="shared" si="23"/>
        <v>0</v>
      </c>
      <c r="AI29" s="559" t="s">
        <v>570</v>
      </c>
      <c r="AK29" s="601"/>
    </row>
    <row r="30" spans="1:37" ht="14.4" x14ac:dyDescent="0.3">
      <c r="A30" s="560" t="s">
        <v>568</v>
      </c>
      <c r="B30" s="557" t="str">
        <f t="shared" si="24"/>
        <v>1980s</v>
      </c>
      <c r="C30" s="561">
        <v>1985</v>
      </c>
      <c r="D30" s="562">
        <f t="shared" si="1"/>
        <v>1981</v>
      </c>
      <c r="E30" s="563">
        <f t="shared" si="2"/>
        <v>1984</v>
      </c>
      <c r="F30" s="586">
        <f t="shared" si="3"/>
        <v>200758</v>
      </c>
      <c r="G30" s="587">
        <f t="shared" si="4"/>
        <v>205521</v>
      </c>
      <c r="H30" s="587">
        <f t="shared" si="5"/>
        <v>173308</v>
      </c>
      <c r="I30" s="2121">
        <f t="shared" si="6"/>
        <v>59983.547999999995</v>
      </c>
      <c r="J30" s="2125">
        <f t="shared" si="7"/>
        <v>0.58123593023255804</v>
      </c>
      <c r="K30" s="590">
        <f t="shared" si="8"/>
        <v>121223</v>
      </c>
      <c r="L30" s="591">
        <f t="shared" si="17"/>
        <v>119456.18961732557</v>
      </c>
      <c r="M30" s="591"/>
      <c r="N30" s="591"/>
      <c r="O30" s="569">
        <f t="shared" si="9"/>
        <v>2.870752867103605E-4</v>
      </c>
      <c r="P30" s="592">
        <f t="shared" si="10"/>
        <v>0.58123593023255804</v>
      </c>
      <c r="Q30" s="571">
        <f t="shared" si="11"/>
        <v>0.51892511237550554</v>
      </c>
      <c r="R30" s="572">
        <f t="shared" si="12"/>
        <v>0</v>
      </c>
      <c r="S30" s="573">
        <f t="shared" si="13"/>
        <v>0.30173448427077804</v>
      </c>
      <c r="T30" s="574">
        <v>2.1</v>
      </c>
      <c r="U30" s="557">
        <f t="shared" si="14"/>
        <v>4.0000000000000009</v>
      </c>
      <c r="V30" s="575">
        <f t="shared" si="15"/>
        <v>2</v>
      </c>
      <c r="W30" s="594">
        <v>1.0999999999999999E-2</v>
      </c>
      <c r="X30" s="595">
        <f t="shared" si="18"/>
        <v>2260.7309999999998</v>
      </c>
      <c r="Y30" s="576">
        <v>2.3E-2</v>
      </c>
      <c r="Z30" s="596">
        <f t="shared" si="19"/>
        <v>1333.453</v>
      </c>
      <c r="AA30" s="2326" t="s">
        <v>1330</v>
      </c>
      <c r="AB30" s="597">
        <f t="shared" si="25"/>
        <v>1314.0180857905812</v>
      </c>
      <c r="AC30" s="597" t="str">
        <f t="shared" si="26"/>
        <v/>
      </c>
      <c r="AD30" s="597">
        <f t="shared" si="27"/>
        <v>2747.4923611984882</v>
      </c>
      <c r="AE30" s="598">
        <f t="shared" si="20"/>
        <v>1314.0180857905812</v>
      </c>
      <c r="AF30" s="572">
        <f t="shared" si="21"/>
        <v>1379.6216039999999</v>
      </c>
      <c r="AG30" s="572">
        <f t="shared" si="22"/>
        <v>0</v>
      </c>
      <c r="AH30" s="600">
        <f t="shared" si="23"/>
        <v>0</v>
      </c>
      <c r="AI30" s="559" t="s">
        <v>570</v>
      </c>
      <c r="AK30" s="601"/>
    </row>
    <row r="31" spans="1:37" ht="14.4" x14ac:dyDescent="0.3">
      <c r="A31" s="560" t="s">
        <v>568</v>
      </c>
      <c r="B31" s="557" t="str">
        <f t="shared" si="24"/>
        <v>1980s</v>
      </c>
      <c r="C31" s="561">
        <v>1985</v>
      </c>
      <c r="D31" s="562">
        <f t="shared" si="1"/>
        <v>1980</v>
      </c>
      <c r="E31" s="563">
        <f t="shared" si="2"/>
        <v>1983</v>
      </c>
      <c r="F31" s="586">
        <f t="shared" si="3"/>
        <v>200758</v>
      </c>
      <c r="G31" s="587">
        <f t="shared" si="4"/>
        <v>205521</v>
      </c>
      <c r="H31" s="587">
        <f t="shared" si="5"/>
        <v>173308</v>
      </c>
      <c r="I31" s="2121">
        <f t="shared" si="6"/>
        <v>59983.547999999995</v>
      </c>
      <c r="J31" s="2125">
        <f t="shared" si="7"/>
        <v>0.58123593023255804</v>
      </c>
      <c r="K31" s="590">
        <f t="shared" si="8"/>
        <v>121223</v>
      </c>
      <c r="L31" s="591">
        <f t="shared" si="17"/>
        <v>119456.18961732557</v>
      </c>
      <c r="M31" s="591"/>
      <c r="N31" s="591"/>
      <c r="O31" s="569">
        <f t="shared" si="9"/>
        <v>2.870752867103605E-4</v>
      </c>
      <c r="P31" s="592">
        <f t="shared" si="10"/>
        <v>0.58123593023255804</v>
      </c>
      <c r="Q31" s="571">
        <f t="shared" si="11"/>
        <v>0.51892511237550554</v>
      </c>
      <c r="R31" s="572">
        <f t="shared" si="12"/>
        <v>0</v>
      </c>
      <c r="S31" s="573">
        <f t="shared" si="13"/>
        <v>0.30173448427077804</v>
      </c>
      <c r="T31" s="574">
        <v>2.2000000000000002</v>
      </c>
      <c r="U31" s="557">
        <f t="shared" si="14"/>
        <v>5.0000000000000018</v>
      </c>
      <c r="V31" s="575">
        <f t="shared" si="15"/>
        <v>2</v>
      </c>
      <c r="W31" s="594">
        <v>3.4000000000000002E-2</v>
      </c>
      <c r="X31" s="595">
        <f t="shared" si="18"/>
        <v>6987.7140000000009</v>
      </c>
      <c r="Y31" s="576">
        <v>1.6E-2</v>
      </c>
      <c r="Z31" s="596">
        <f t="shared" si="19"/>
        <v>4121.5820000000003</v>
      </c>
      <c r="AA31" s="2326" t="s">
        <v>1330</v>
      </c>
      <c r="AB31" s="597">
        <f t="shared" si="25"/>
        <v>4061.5104469890694</v>
      </c>
      <c r="AC31" s="597" t="str">
        <f t="shared" si="26"/>
        <v/>
      </c>
      <c r="AD31" s="597">
        <f t="shared" si="27"/>
        <v>1911.299033877209</v>
      </c>
      <c r="AE31" s="598">
        <f t="shared" si="20"/>
        <v>4061.5104469890694</v>
      </c>
      <c r="AF31" s="572">
        <f t="shared" si="21"/>
        <v>959.73676799999998</v>
      </c>
      <c r="AG31" s="572">
        <f t="shared" si="22"/>
        <v>0</v>
      </c>
      <c r="AH31" s="600">
        <f t="shared" si="23"/>
        <v>0</v>
      </c>
      <c r="AI31" s="559" t="s">
        <v>570</v>
      </c>
      <c r="AJ31" s="559"/>
    </row>
    <row r="32" spans="1:37" ht="14.4" x14ac:dyDescent="0.3">
      <c r="A32" s="560" t="s">
        <v>568</v>
      </c>
      <c r="B32" s="557" t="str">
        <f t="shared" si="24"/>
        <v>1980s</v>
      </c>
      <c r="C32" s="561">
        <v>1986</v>
      </c>
      <c r="D32" s="562">
        <f t="shared" si="1"/>
        <v>1983</v>
      </c>
      <c r="E32" s="563">
        <f t="shared" si="2"/>
        <v>1985</v>
      </c>
      <c r="F32" s="586">
        <f t="shared" si="3"/>
        <v>59963</v>
      </c>
      <c r="G32" s="587">
        <f t="shared" si="4"/>
        <v>62220</v>
      </c>
      <c r="H32" s="587">
        <f t="shared" si="5"/>
        <v>60380</v>
      </c>
      <c r="I32" s="2121">
        <f t="shared" si="6"/>
        <v>39380.015999999996</v>
      </c>
      <c r="J32" s="2125">
        <f t="shared" si="7"/>
        <v>0.79095396481079772</v>
      </c>
      <c r="K32" s="590">
        <f t="shared" si="8"/>
        <v>49135</v>
      </c>
      <c r="L32" s="591">
        <f t="shared" si="17"/>
        <v>49213.155690527834</v>
      </c>
      <c r="M32" s="589"/>
      <c r="N32" s="591"/>
      <c r="O32" s="569">
        <f t="shared" si="9"/>
        <v>3.8572806171648989E-4</v>
      </c>
      <c r="P32" s="592">
        <f t="shared" si="10"/>
        <v>0.79095396481079772</v>
      </c>
      <c r="Q32" s="593">
        <f t="shared" si="11"/>
        <v>0.6732987535805528</v>
      </c>
      <c r="R32" s="572">
        <f t="shared" si="12"/>
        <v>0</v>
      </c>
      <c r="S32" s="573">
        <f t="shared" si="13"/>
        <v>9.4998343822457768E-2</v>
      </c>
      <c r="T32" s="602">
        <v>1.1000000000000001</v>
      </c>
      <c r="U32" s="557">
        <f t="shared" si="14"/>
        <v>3.0000000000000009</v>
      </c>
      <c r="V32" s="575">
        <f t="shared" si="15"/>
        <v>1</v>
      </c>
      <c r="W32" s="576">
        <v>5.1999999999999998E-2</v>
      </c>
      <c r="X32" s="595">
        <f t="shared" si="18"/>
        <v>3235.44</v>
      </c>
      <c r="Y32" s="576">
        <v>5.1999999999999998E-2</v>
      </c>
      <c r="Z32" s="2328">
        <f>K32*Y32</f>
        <v>2555.02</v>
      </c>
      <c r="AA32" s="2329" t="s">
        <v>1329</v>
      </c>
      <c r="AB32" s="597">
        <f t="shared" si="25"/>
        <v>2559.0840959074471</v>
      </c>
      <c r="AC32" s="597" t="str">
        <f t="shared" si="26"/>
        <v/>
      </c>
      <c r="AD32" s="597">
        <f t="shared" si="27"/>
        <v>2559.0840959074471</v>
      </c>
      <c r="AE32" s="598">
        <f t="shared" si="20"/>
        <v>2559.0840959074471</v>
      </c>
      <c r="AF32" s="572">
        <f t="shared" si="21"/>
        <v>2047.7608319999997</v>
      </c>
      <c r="AG32" s="599">
        <f t="shared" si="22"/>
        <v>0</v>
      </c>
      <c r="AH32" s="600">
        <f t="shared" si="23"/>
        <v>0</v>
      </c>
      <c r="AI32" s="559" t="s">
        <v>571</v>
      </c>
      <c r="AJ32" s="559"/>
    </row>
    <row r="33" spans="1:40" ht="14.4" x14ac:dyDescent="0.3">
      <c r="A33" s="560" t="s">
        <v>568</v>
      </c>
      <c r="B33" s="557" t="str">
        <f t="shared" si="24"/>
        <v>1980s</v>
      </c>
      <c r="C33" s="561">
        <v>1986</v>
      </c>
      <c r="D33" s="562">
        <f t="shared" si="1"/>
        <v>1982</v>
      </c>
      <c r="E33" s="563">
        <f t="shared" si="2"/>
        <v>1984</v>
      </c>
      <c r="F33" s="586">
        <f t="shared" si="3"/>
        <v>59963</v>
      </c>
      <c r="G33" s="587">
        <f t="shared" si="4"/>
        <v>62220</v>
      </c>
      <c r="H33" s="587">
        <f t="shared" si="5"/>
        <v>60380</v>
      </c>
      <c r="I33" s="2121">
        <f t="shared" si="6"/>
        <v>39380.015999999996</v>
      </c>
      <c r="J33" s="2125">
        <f t="shared" si="7"/>
        <v>0.79095396481079772</v>
      </c>
      <c r="K33" s="590">
        <f t="shared" si="8"/>
        <v>49135</v>
      </c>
      <c r="L33" s="591">
        <f t="shared" si="17"/>
        <v>49213.155690527834</v>
      </c>
      <c r="M33" s="591"/>
      <c r="N33" s="591"/>
      <c r="O33" s="569">
        <f t="shared" si="9"/>
        <v>3.8572806171648989E-4</v>
      </c>
      <c r="P33" s="592">
        <f t="shared" si="10"/>
        <v>0.79095396481079772</v>
      </c>
      <c r="Q33" s="593">
        <f t="shared" si="11"/>
        <v>0.6732987535805528</v>
      </c>
      <c r="R33" s="572">
        <f t="shared" si="12"/>
        <v>0</v>
      </c>
      <c r="S33" s="573">
        <f t="shared" si="13"/>
        <v>9.4998343822457768E-2</v>
      </c>
      <c r="T33" s="574">
        <v>1.2</v>
      </c>
      <c r="U33" s="557">
        <f t="shared" si="14"/>
        <v>3.9999999999999996</v>
      </c>
      <c r="V33" s="575">
        <f t="shared" si="15"/>
        <v>1</v>
      </c>
      <c r="W33" s="576">
        <v>0.82499999999999996</v>
      </c>
      <c r="X33" s="595">
        <f t="shared" si="18"/>
        <v>51331.5</v>
      </c>
      <c r="Y33" s="576">
        <v>0.82499999999999996</v>
      </c>
      <c r="Z33" s="2328">
        <f>K33*Y33</f>
        <v>40536.375</v>
      </c>
      <c r="AA33" s="2329" t="s">
        <v>1329</v>
      </c>
      <c r="AB33" s="597">
        <f t="shared" si="25"/>
        <v>40600.853444685461</v>
      </c>
      <c r="AC33" s="597" t="str">
        <f t="shared" si="26"/>
        <v/>
      </c>
      <c r="AD33" s="597">
        <f t="shared" si="27"/>
        <v>40600.853444685461</v>
      </c>
      <c r="AE33" s="598">
        <f t="shared" si="20"/>
        <v>40600.853444685461</v>
      </c>
      <c r="AF33" s="572">
        <f t="shared" si="21"/>
        <v>32488.513199999994</v>
      </c>
      <c r="AG33" s="572">
        <f t="shared" si="22"/>
        <v>0</v>
      </c>
      <c r="AH33" s="600">
        <f t="shared" si="23"/>
        <v>0</v>
      </c>
      <c r="AI33" s="559" t="s">
        <v>571</v>
      </c>
      <c r="AJ33" s="559"/>
    </row>
    <row r="34" spans="1:40" ht="14.4" x14ac:dyDescent="0.3">
      <c r="A34" s="560" t="s">
        <v>568</v>
      </c>
      <c r="B34" s="557" t="str">
        <f t="shared" si="24"/>
        <v>1980s</v>
      </c>
      <c r="C34" s="561">
        <v>1986</v>
      </c>
      <c r="D34" s="562">
        <f t="shared" si="1"/>
        <v>1981</v>
      </c>
      <c r="E34" s="563">
        <f t="shared" si="2"/>
        <v>1983</v>
      </c>
      <c r="F34" s="586">
        <f t="shared" si="3"/>
        <v>59963</v>
      </c>
      <c r="G34" s="587">
        <f t="shared" si="4"/>
        <v>62220</v>
      </c>
      <c r="H34" s="587">
        <f t="shared" si="5"/>
        <v>60380</v>
      </c>
      <c r="I34" s="2121">
        <f t="shared" si="6"/>
        <v>39380.015999999996</v>
      </c>
      <c r="J34" s="2125">
        <f t="shared" si="7"/>
        <v>0.79095396481079772</v>
      </c>
      <c r="K34" s="590">
        <f t="shared" si="8"/>
        <v>49135</v>
      </c>
      <c r="L34" s="591">
        <f t="shared" si="17"/>
        <v>49213.155690527834</v>
      </c>
      <c r="M34" s="591"/>
      <c r="N34" s="591"/>
      <c r="O34" s="569">
        <f t="shared" si="9"/>
        <v>3.8572806171648989E-4</v>
      </c>
      <c r="P34" s="592">
        <f t="shared" si="10"/>
        <v>0.79095396481079772</v>
      </c>
      <c r="Q34" s="593">
        <f t="shared" si="11"/>
        <v>0.6732987535805528</v>
      </c>
      <c r="R34" s="572">
        <f t="shared" si="12"/>
        <v>0</v>
      </c>
      <c r="S34" s="573">
        <f t="shared" si="13"/>
        <v>9.4998343822457768E-2</v>
      </c>
      <c r="T34" s="574">
        <v>1.3</v>
      </c>
      <c r="U34" s="557">
        <f t="shared" si="14"/>
        <v>5</v>
      </c>
      <c r="V34" s="575">
        <f t="shared" si="15"/>
        <v>1</v>
      </c>
      <c r="W34" s="576">
        <v>8.3000000000000004E-2</v>
      </c>
      <c r="X34" s="595">
        <f t="shared" si="18"/>
        <v>5164.26</v>
      </c>
      <c r="Y34" s="576">
        <v>8.3000000000000004E-2</v>
      </c>
      <c r="Z34" s="2328">
        <f>K34*Y34</f>
        <v>4078.2050000000004</v>
      </c>
      <c r="AA34" s="2329" t="s">
        <v>1329</v>
      </c>
      <c r="AB34" s="597">
        <f t="shared" si="25"/>
        <v>4084.6919223138102</v>
      </c>
      <c r="AC34" s="597" t="str">
        <f t="shared" si="26"/>
        <v/>
      </c>
      <c r="AD34" s="597">
        <f t="shared" si="27"/>
        <v>4084.6919223138102</v>
      </c>
      <c r="AE34" s="598">
        <f t="shared" si="20"/>
        <v>4084.6919223138102</v>
      </c>
      <c r="AF34" s="572">
        <f t="shared" si="21"/>
        <v>3268.5413279999998</v>
      </c>
      <c r="AG34" s="572">
        <f t="shared" si="22"/>
        <v>0</v>
      </c>
      <c r="AH34" s="600">
        <f t="shared" si="23"/>
        <v>0</v>
      </c>
      <c r="AI34" s="559" t="s">
        <v>571</v>
      </c>
      <c r="AJ34" s="559"/>
    </row>
    <row r="35" spans="1:40" ht="14.4" x14ac:dyDescent="0.3">
      <c r="A35" s="560" t="s">
        <v>568</v>
      </c>
      <c r="B35" s="557" t="str">
        <f t="shared" si="24"/>
        <v>1980s</v>
      </c>
      <c r="C35" s="561">
        <v>1986</v>
      </c>
      <c r="D35" s="562">
        <f t="shared" si="1"/>
        <v>1982</v>
      </c>
      <c r="E35" s="563">
        <f t="shared" si="2"/>
        <v>1985</v>
      </c>
      <c r="F35" s="586">
        <f t="shared" si="3"/>
        <v>59963</v>
      </c>
      <c r="G35" s="587">
        <f t="shared" si="4"/>
        <v>62220</v>
      </c>
      <c r="H35" s="587">
        <f t="shared" si="5"/>
        <v>60380</v>
      </c>
      <c r="I35" s="2121">
        <f t="shared" si="6"/>
        <v>39380.015999999996</v>
      </c>
      <c r="J35" s="2125">
        <f t="shared" si="7"/>
        <v>0.79095396481079772</v>
      </c>
      <c r="K35" s="590">
        <f t="shared" si="8"/>
        <v>49135</v>
      </c>
      <c r="L35" s="591">
        <f t="shared" si="17"/>
        <v>49213.155690527834</v>
      </c>
      <c r="M35" s="591"/>
      <c r="N35" s="591"/>
      <c r="O35" s="569">
        <f t="shared" si="9"/>
        <v>3.8572806171648989E-4</v>
      </c>
      <c r="P35" s="592">
        <f t="shared" si="10"/>
        <v>0.79095396481079772</v>
      </c>
      <c r="Q35" s="593">
        <f t="shared" si="11"/>
        <v>0.6732987535805528</v>
      </c>
      <c r="R35" s="572">
        <f t="shared" si="12"/>
        <v>0</v>
      </c>
      <c r="S35" s="573">
        <f t="shared" si="13"/>
        <v>9.4998343822457768E-2</v>
      </c>
      <c r="T35" s="574">
        <v>2.1</v>
      </c>
      <c r="U35" s="557">
        <f t="shared" si="14"/>
        <v>4.0000000000000009</v>
      </c>
      <c r="V35" s="575">
        <f t="shared" si="15"/>
        <v>2</v>
      </c>
      <c r="W35" s="576">
        <v>2.3E-2</v>
      </c>
      <c r="X35" s="595">
        <f t="shared" si="18"/>
        <v>1431.06</v>
      </c>
      <c r="Y35" s="576">
        <v>2.3E-2</v>
      </c>
      <c r="Z35" s="2328">
        <f>K35*Y35</f>
        <v>1130.105</v>
      </c>
      <c r="AA35" s="2329" t="s">
        <v>1329</v>
      </c>
      <c r="AB35" s="597">
        <f t="shared" si="25"/>
        <v>1131.9025808821402</v>
      </c>
      <c r="AC35" s="597" t="str">
        <f t="shared" si="26"/>
        <v/>
      </c>
      <c r="AD35" s="597">
        <f t="shared" si="27"/>
        <v>1131.9025808821402</v>
      </c>
      <c r="AE35" s="598">
        <f t="shared" si="20"/>
        <v>1131.9025808821402</v>
      </c>
      <c r="AF35" s="572">
        <f t="shared" si="21"/>
        <v>905.74036799999988</v>
      </c>
      <c r="AG35" s="572">
        <f t="shared" si="22"/>
        <v>0</v>
      </c>
      <c r="AH35" s="600">
        <f t="shared" si="23"/>
        <v>0</v>
      </c>
      <c r="AI35" s="559" t="s">
        <v>571</v>
      </c>
      <c r="AJ35" s="559"/>
    </row>
    <row r="36" spans="1:40" ht="14.4" x14ac:dyDescent="0.3">
      <c r="A36" s="560" t="s">
        <v>568</v>
      </c>
      <c r="B36" s="557" t="str">
        <f t="shared" si="24"/>
        <v>1980s</v>
      </c>
      <c r="C36" s="561">
        <v>1986</v>
      </c>
      <c r="D36" s="562">
        <f t="shared" si="1"/>
        <v>1981</v>
      </c>
      <c r="E36" s="563">
        <f t="shared" si="2"/>
        <v>1984</v>
      </c>
      <c r="F36" s="586">
        <f t="shared" si="3"/>
        <v>59963</v>
      </c>
      <c r="G36" s="587">
        <f t="shared" si="4"/>
        <v>62220</v>
      </c>
      <c r="H36" s="587">
        <f t="shared" si="5"/>
        <v>60380</v>
      </c>
      <c r="I36" s="2121">
        <f t="shared" si="6"/>
        <v>39380.015999999996</v>
      </c>
      <c r="J36" s="2125">
        <f t="shared" si="7"/>
        <v>0.79095396481079772</v>
      </c>
      <c r="K36" s="590">
        <f t="shared" si="8"/>
        <v>49135</v>
      </c>
      <c r="L36" s="591">
        <f t="shared" si="17"/>
        <v>49213.155690527834</v>
      </c>
      <c r="M36" s="591"/>
      <c r="N36" s="591"/>
      <c r="O36" s="569">
        <f t="shared" si="9"/>
        <v>3.8572806171648989E-4</v>
      </c>
      <c r="P36" s="592">
        <f t="shared" si="10"/>
        <v>0.79095396481079772</v>
      </c>
      <c r="Q36" s="593">
        <f t="shared" si="11"/>
        <v>0.6732987535805528</v>
      </c>
      <c r="R36" s="572">
        <f t="shared" si="12"/>
        <v>0</v>
      </c>
      <c r="S36" s="573">
        <f t="shared" si="13"/>
        <v>9.4998343822457768E-2</v>
      </c>
      <c r="T36" s="574">
        <v>2.2000000000000002</v>
      </c>
      <c r="U36" s="557">
        <f t="shared" si="14"/>
        <v>5.0000000000000018</v>
      </c>
      <c r="V36" s="575">
        <f t="shared" si="15"/>
        <v>2</v>
      </c>
      <c r="W36" s="576">
        <v>1.6E-2</v>
      </c>
      <c r="X36" s="595">
        <f t="shared" si="18"/>
        <v>995.52</v>
      </c>
      <c r="Y36" s="576">
        <v>1.6E-2</v>
      </c>
      <c r="Z36" s="2328">
        <f>K36*Y36</f>
        <v>786.16</v>
      </c>
      <c r="AA36" s="2329" t="s">
        <v>1329</v>
      </c>
      <c r="AB36" s="597">
        <f t="shared" si="25"/>
        <v>787.41049104844535</v>
      </c>
      <c r="AC36" s="597" t="str">
        <f t="shared" si="26"/>
        <v/>
      </c>
      <c r="AD36" s="597">
        <f t="shared" si="27"/>
        <v>787.41049104844535</v>
      </c>
      <c r="AE36" s="598">
        <f t="shared" si="20"/>
        <v>787.41049104844535</v>
      </c>
      <c r="AF36" s="572">
        <f t="shared" si="21"/>
        <v>630.08025599999996</v>
      </c>
      <c r="AG36" s="572">
        <f t="shared" si="22"/>
        <v>0</v>
      </c>
      <c r="AH36" s="600">
        <f t="shared" si="23"/>
        <v>0</v>
      </c>
      <c r="AI36" s="559" t="s">
        <v>571</v>
      </c>
      <c r="AJ36" s="559"/>
      <c r="AN36" s="603"/>
    </row>
    <row r="37" spans="1:40" ht="14.4" x14ac:dyDescent="0.3">
      <c r="A37" s="560" t="s">
        <v>568</v>
      </c>
      <c r="B37" s="557" t="str">
        <f t="shared" si="24"/>
        <v>1980s</v>
      </c>
      <c r="C37" s="561">
        <v>1987</v>
      </c>
      <c r="D37" s="562">
        <f t="shared" si="1"/>
        <v>1984</v>
      </c>
      <c r="E37" s="563">
        <f t="shared" si="2"/>
        <v>1986</v>
      </c>
      <c r="F37" s="586">
        <f t="shared" si="3"/>
        <v>145546</v>
      </c>
      <c r="G37" s="587">
        <f t="shared" si="4"/>
        <v>150366</v>
      </c>
      <c r="H37" s="587">
        <f t="shared" si="5"/>
        <v>121813</v>
      </c>
      <c r="I37" s="2121">
        <f t="shared" si="6"/>
        <v>45415.839999999997</v>
      </c>
      <c r="J37" s="2125">
        <f t="shared" si="7"/>
        <v>0.6500234728344878</v>
      </c>
      <c r="K37" s="590">
        <f t="shared" si="8"/>
        <v>99205</v>
      </c>
      <c r="L37" s="591">
        <f t="shared" si="17"/>
        <v>97741.429516230593</v>
      </c>
      <c r="M37" s="589">
        <f t="shared" ref="M37:M74" si="28">VLOOKUP($C37,SockeyeReturnsData,12)</f>
        <v>45415.839999999997</v>
      </c>
      <c r="N37" s="591">
        <f>IF(M37,M37*G37,J37*G37)</f>
        <v>6828998197.4399996</v>
      </c>
      <c r="O37" s="569">
        <f t="shared" si="9"/>
        <v>3.6577417767314418E-4</v>
      </c>
      <c r="P37" s="592">
        <f t="shared" si="10"/>
        <v>0.6500234728344878</v>
      </c>
      <c r="Q37" s="571">
        <f t="shared" si="11"/>
        <v>0.58252145252856702</v>
      </c>
      <c r="R37" s="572">
        <f t="shared" si="12"/>
        <v>0.44000000000000006</v>
      </c>
      <c r="S37" s="573">
        <f t="shared" si="13"/>
        <v>0.33562099283327723</v>
      </c>
      <c r="T37" s="602">
        <v>1.1000000000000001</v>
      </c>
      <c r="U37" s="557">
        <f t="shared" si="14"/>
        <v>3.0000000000000009</v>
      </c>
      <c r="V37" s="575">
        <f t="shared" si="15"/>
        <v>1</v>
      </c>
      <c r="W37" s="594">
        <v>0.49199999999999999</v>
      </c>
      <c r="X37" s="595">
        <f t="shared" si="18"/>
        <v>73980.072</v>
      </c>
      <c r="Y37" s="582">
        <v>5.1999999999999998E-2</v>
      </c>
      <c r="Z37" s="596">
        <f t="shared" si="19"/>
        <v>48808.86</v>
      </c>
      <c r="AA37" s="2326" t="s">
        <v>1330</v>
      </c>
      <c r="AB37" s="597">
        <f t="shared" si="25"/>
        <v>48088.783321985451</v>
      </c>
      <c r="AC37" s="597">
        <f t="shared" si="26"/>
        <v>3359867113.1404796</v>
      </c>
      <c r="AD37" s="597">
        <f t="shared" si="27"/>
        <v>5082.5543348439905</v>
      </c>
      <c r="AE37" s="598">
        <f t="shared" si="20"/>
        <v>48088.783321985451</v>
      </c>
      <c r="AF37" s="572">
        <f t="shared" si="21"/>
        <v>2361.6236799999997</v>
      </c>
      <c r="AG37" s="599">
        <f t="shared" si="22"/>
        <v>2.2880000000000001E-2</v>
      </c>
      <c r="AH37" s="600">
        <f t="shared" si="23"/>
        <v>3.0927247543095119E-7</v>
      </c>
      <c r="AI37" s="559" t="s">
        <v>570</v>
      </c>
      <c r="AJ37" s="559"/>
      <c r="AN37" s="603"/>
    </row>
    <row r="38" spans="1:40" ht="14.4" x14ac:dyDescent="0.3">
      <c r="A38" s="560" t="s">
        <v>568</v>
      </c>
      <c r="B38" s="557" t="str">
        <f t="shared" si="24"/>
        <v>1980s</v>
      </c>
      <c r="C38" s="561">
        <v>1987</v>
      </c>
      <c r="D38" s="562">
        <f t="shared" si="1"/>
        <v>1983</v>
      </c>
      <c r="E38" s="563">
        <f t="shared" si="2"/>
        <v>1985</v>
      </c>
      <c r="F38" s="586">
        <f t="shared" si="3"/>
        <v>145546</v>
      </c>
      <c r="G38" s="587">
        <f t="shared" si="4"/>
        <v>150366</v>
      </c>
      <c r="H38" s="587">
        <f t="shared" si="5"/>
        <v>121813</v>
      </c>
      <c r="I38" s="2121">
        <f t="shared" si="6"/>
        <v>45415.839999999997</v>
      </c>
      <c r="J38" s="2125">
        <f t="shared" si="7"/>
        <v>0.6500234728344878</v>
      </c>
      <c r="K38" s="590">
        <f t="shared" si="8"/>
        <v>99205</v>
      </c>
      <c r="L38" s="591">
        <f t="shared" si="17"/>
        <v>97741.429516230593</v>
      </c>
      <c r="M38" s="589">
        <f t="shared" si="28"/>
        <v>45415.839999999997</v>
      </c>
      <c r="N38" s="591">
        <f t="shared" ref="N38:N74" si="29">IF(M38,M38*G38,J38*G38)</f>
        <v>6828998197.4399996</v>
      </c>
      <c r="O38" s="569">
        <f t="shared" si="9"/>
        <v>3.6577417767314418E-4</v>
      </c>
      <c r="P38" s="592">
        <f t="shared" si="10"/>
        <v>0.6500234728344878</v>
      </c>
      <c r="Q38" s="571">
        <f t="shared" si="11"/>
        <v>0.58252145252856702</v>
      </c>
      <c r="R38" s="572">
        <f t="shared" si="12"/>
        <v>0.44000000000000006</v>
      </c>
      <c r="S38" s="573">
        <f t="shared" si="13"/>
        <v>0.33562099283327723</v>
      </c>
      <c r="T38" s="574">
        <v>1.2</v>
      </c>
      <c r="U38" s="557">
        <f t="shared" si="14"/>
        <v>3.9999999999999996</v>
      </c>
      <c r="V38" s="575">
        <f t="shared" si="15"/>
        <v>1</v>
      </c>
      <c r="W38" s="594">
        <v>0.46</v>
      </c>
      <c r="X38" s="595">
        <f t="shared" si="18"/>
        <v>69168.36</v>
      </c>
      <c r="Y38" s="582">
        <v>0.82499999999999996</v>
      </c>
      <c r="Z38" s="596">
        <f t="shared" si="19"/>
        <v>45634.3</v>
      </c>
      <c r="AA38" s="2326" t="s">
        <v>1330</v>
      </c>
      <c r="AB38" s="597">
        <f t="shared" si="25"/>
        <v>44961.057577466076</v>
      </c>
      <c r="AC38" s="597">
        <f t="shared" si="26"/>
        <v>3141339170.8224001</v>
      </c>
      <c r="AD38" s="597">
        <f t="shared" si="27"/>
        <v>80636.679350890234</v>
      </c>
      <c r="AE38" s="598">
        <f t="shared" si="20"/>
        <v>44961.057577466076</v>
      </c>
      <c r="AF38" s="572">
        <f t="shared" si="21"/>
        <v>37468.067999999992</v>
      </c>
      <c r="AG38" s="572">
        <f t="shared" si="22"/>
        <v>0.36300000000000004</v>
      </c>
      <c r="AH38" s="600">
        <f t="shared" si="23"/>
        <v>5.2480642883538089E-6</v>
      </c>
      <c r="AI38" s="559" t="s">
        <v>570</v>
      </c>
      <c r="AJ38" s="559"/>
      <c r="AN38" s="603"/>
    </row>
    <row r="39" spans="1:40" ht="14.4" x14ac:dyDescent="0.3">
      <c r="A39" s="560" t="s">
        <v>568</v>
      </c>
      <c r="B39" s="557" t="str">
        <f t="shared" si="24"/>
        <v>1980s</v>
      </c>
      <c r="C39" s="561">
        <v>1987</v>
      </c>
      <c r="D39" s="562">
        <f t="shared" si="1"/>
        <v>1982</v>
      </c>
      <c r="E39" s="563">
        <f t="shared" si="2"/>
        <v>1984</v>
      </c>
      <c r="F39" s="586">
        <f t="shared" si="3"/>
        <v>145546</v>
      </c>
      <c r="G39" s="587">
        <f t="shared" si="4"/>
        <v>150366</v>
      </c>
      <c r="H39" s="587">
        <f t="shared" si="5"/>
        <v>121813</v>
      </c>
      <c r="I39" s="2121">
        <f t="shared" si="6"/>
        <v>45415.839999999997</v>
      </c>
      <c r="J39" s="2125">
        <f t="shared" si="7"/>
        <v>0.6500234728344878</v>
      </c>
      <c r="K39" s="590">
        <f t="shared" si="8"/>
        <v>99205</v>
      </c>
      <c r="L39" s="591">
        <f t="shared" si="17"/>
        <v>97741.429516230593</v>
      </c>
      <c r="M39" s="589">
        <f t="shared" si="28"/>
        <v>45415.839999999997</v>
      </c>
      <c r="N39" s="591">
        <f t="shared" si="29"/>
        <v>6828998197.4399996</v>
      </c>
      <c r="O39" s="569">
        <f t="shared" si="9"/>
        <v>3.6577417767314418E-4</v>
      </c>
      <c r="P39" s="592">
        <f t="shared" si="10"/>
        <v>0.6500234728344878</v>
      </c>
      <c r="Q39" s="571">
        <f t="shared" si="11"/>
        <v>0.58252145252856702</v>
      </c>
      <c r="R39" s="572">
        <f t="shared" si="12"/>
        <v>0.44000000000000006</v>
      </c>
      <c r="S39" s="573">
        <f t="shared" si="13"/>
        <v>0.33562099283327723</v>
      </c>
      <c r="T39" s="574">
        <v>1.3</v>
      </c>
      <c r="U39" s="557">
        <f t="shared" si="14"/>
        <v>5</v>
      </c>
      <c r="V39" s="575">
        <f t="shared" si="15"/>
        <v>1</v>
      </c>
      <c r="W39" s="594">
        <v>2.8000000000000001E-2</v>
      </c>
      <c r="X39" s="595">
        <f t="shared" si="18"/>
        <v>4210.2480000000005</v>
      </c>
      <c r="Y39" s="582">
        <v>8.3000000000000004E-2</v>
      </c>
      <c r="Z39" s="596">
        <f t="shared" si="19"/>
        <v>2777.7400000000002</v>
      </c>
      <c r="AA39" s="2326" t="s">
        <v>1330</v>
      </c>
      <c r="AB39" s="597">
        <f t="shared" si="25"/>
        <v>2736.7600264544567</v>
      </c>
      <c r="AC39" s="597">
        <f t="shared" si="26"/>
        <v>191211949.52831998</v>
      </c>
      <c r="AD39" s="597">
        <f t="shared" si="27"/>
        <v>8112.5386498471398</v>
      </c>
      <c r="AE39" s="598">
        <f t="shared" si="20"/>
        <v>2736.7600264544567</v>
      </c>
      <c r="AF39" s="572">
        <f t="shared" si="21"/>
        <v>3769.5147200000001</v>
      </c>
      <c r="AG39" s="572">
        <f t="shared" si="22"/>
        <v>3.6520000000000004E-2</v>
      </c>
      <c r="AH39" s="600">
        <f t="shared" si="23"/>
        <v>8.6740733562488473E-6</v>
      </c>
      <c r="AI39" s="559" t="s">
        <v>570</v>
      </c>
      <c r="AJ39" s="559"/>
    </row>
    <row r="40" spans="1:40" ht="14.4" x14ac:dyDescent="0.3">
      <c r="A40" s="560" t="s">
        <v>568</v>
      </c>
      <c r="B40" s="557" t="str">
        <f t="shared" si="24"/>
        <v>1980s</v>
      </c>
      <c r="C40" s="561">
        <v>1987</v>
      </c>
      <c r="D40" s="562">
        <f t="shared" si="1"/>
        <v>1983</v>
      </c>
      <c r="E40" s="563">
        <f t="shared" si="2"/>
        <v>1986</v>
      </c>
      <c r="F40" s="586">
        <f t="shared" si="3"/>
        <v>145546</v>
      </c>
      <c r="G40" s="587">
        <f t="shared" si="4"/>
        <v>150366</v>
      </c>
      <c r="H40" s="587">
        <f t="shared" si="5"/>
        <v>121813</v>
      </c>
      <c r="I40" s="2121">
        <f t="shared" si="6"/>
        <v>45415.839999999997</v>
      </c>
      <c r="J40" s="2125">
        <f t="shared" si="7"/>
        <v>0.6500234728344878</v>
      </c>
      <c r="K40" s="590">
        <f t="shared" si="8"/>
        <v>99205</v>
      </c>
      <c r="L40" s="591">
        <f t="shared" si="17"/>
        <v>97741.429516230593</v>
      </c>
      <c r="M40" s="589">
        <f t="shared" si="28"/>
        <v>45415.839999999997</v>
      </c>
      <c r="N40" s="591">
        <f t="shared" si="29"/>
        <v>6828998197.4399996</v>
      </c>
      <c r="O40" s="569">
        <f t="shared" si="9"/>
        <v>3.6577417767314418E-4</v>
      </c>
      <c r="P40" s="592">
        <f t="shared" si="10"/>
        <v>0.6500234728344878</v>
      </c>
      <c r="Q40" s="571">
        <f t="shared" si="11"/>
        <v>0.58252145252856702</v>
      </c>
      <c r="R40" s="572">
        <f t="shared" si="12"/>
        <v>0.44000000000000006</v>
      </c>
      <c r="S40" s="573">
        <f t="shared" si="13"/>
        <v>0.33562099283327723</v>
      </c>
      <c r="T40" s="574">
        <v>2.1</v>
      </c>
      <c r="U40" s="557">
        <f t="shared" si="14"/>
        <v>4.0000000000000009</v>
      </c>
      <c r="V40" s="575">
        <f t="shared" si="15"/>
        <v>2</v>
      </c>
      <c r="W40" s="594">
        <v>0.01</v>
      </c>
      <c r="X40" s="595">
        <f t="shared" si="18"/>
        <v>1503.66</v>
      </c>
      <c r="Y40" s="576">
        <v>2.3E-2</v>
      </c>
      <c r="Z40" s="596">
        <f t="shared" si="19"/>
        <v>992.05000000000007</v>
      </c>
      <c r="AA40" s="2326" t="s">
        <v>1330</v>
      </c>
      <c r="AB40" s="597">
        <f t="shared" si="25"/>
        <v>977.41429516230596</v>
      </c>
      <c r="AC40" s="597">
        <f t="shared" si="26"/>
        <v>68289981.974399999</v>
      </c>
      <c r="AD40" s="597">
        <f t="shared" si="27"/>
        <v>2248.0528788733036</v>
      </c>
      <c r="AE40" s="598">
        <f t="shared" si="20"/>
        <v>977.41429516230596</v>
      </c>
      <c r="AF40" s="572">
        <f t="shared" si="21"/>
        <v>1044.56432</v>
      </c>
      <c r="AG40" s="572">
        <f t="shared" si="22"/>
        <v>1.0120000000000001E-2</v>
      </c>
      <c r="AH40" s="600">
        <f t="shared" si="23"/>
        <v>6.730244869185853E-6</v>
      </c>
      <c r="AI40" s="559" t="s">
        <v>570</v>
      </c>
      <c r="AJ40" s="559"/>
    </row>
    <row r="41" spans="1:40" ht="14.4" x14ac:dyDescent="0.3">
      <c r="A41" s="560" t="s">
        <v>568</v>
      </c>
      <c r="B41" s="557" t="str">
        <f t="shared" si="24"/>
        <v>1980s</v>
      </c>
      <c r="C41" s="561">
        <v>1987</v>
      </c>
      <c r="D41" s="562">
        <f t="shared" si="1"/>
        <v>1982</v>
      </c>
      <c r="E41" s="563">
        <f t="shared" si="2"/>
        <v>1985</v>
      </c>
      <c r="F41" s="586">
        <f t="shared" si="3"/>
        <v>145546</v>
      </c>
      <c r="G41" s="587">
        <f t="shared" si="4"/>
        <v>150366</v>
      </c>
      <c r="H41" s="587">
        <f t="shared" si="5"/>
        <v>121813</v>
      </c>
      <c r="I41" s="2121">
        <f t="shared" si="6"/>
        <v>45415.839999999997</v>
      </c>
      <c r="J41" s="2125">
        <f t="shared" si="7"/>
        <v>0.6500234728344878</v>
      </c>
      <c r="K41" s="590">
        <f t="shared" si="8"/>
        <v>99205</v>
      </c>
      <c r="L41" s="591">
        <f t="shared" si="17"/>
        <v>97741.429516230593</v>
      </c>
      <c r="M41" s="589">
        <f t="shared" si="28"/>
        <v>45415.839999999997</v>
      </c>
      <c r="N41" s="591">
        <f t="shared" si="29"/>
        <v>6828998197.4399996</v>
      </c>
      <c r="O41" s="569">
        <f t="shared" si="9"/>
        <v>3.6577417767314418E-4</v>
      </c>
      <c r="P41" s="592">
        <f t="shared" si="10"/>
        <v>0.6500234728344878</v>
      </c>
      <c r="Q41" s="571">
        <f t="shared" si="11"/>
        <v>0.58252145252856702</v>
      </c>
      <c r="R41" s="572">
        <f t="shared" si="12"/>
        <v>0.44000000000000006</v>
      </c>
      <c r="S41" s="573">
        <f t="shared" si="13"/>
        <v>0.33562099283327723</v>
      </c>
      <c r="T41" s="574">
        <v>2.2000000000000002</v>
      </c>
      <c r="U41" s="557">
        <f t="shared" si="14"/>
        <v>5.0000000000000018</v>
      </c>
      <c r="V41" s="575">
        <f t="shared" si="15"/>
        <v>2</v>
      </c>
      <c r="W41" s="594">
        <v>0.01</v>
      </c>
      <c r="X41" s="595">
        <f t="shared" si="18"/>
        <v>1503.66</v>
      </c>
      <c r="Y41" s="576">
        <v>1.6E-2</v>
      </c>
      <c r="Z41" s="596">
        <f t="shared" si="19"/>
        <v>992.05000000000007</v>
      </c>
      <c r="AA41" s="2326" t="s">
        <v>1330</v>
      </c>
      <c r="AB41" s="597">
        <f t="shared" si="25"/>
        <v>977.41429516230596</v>
      </c>
      <c r="AC41" s="597">
        <f t="shared" si="26"/>
        <v>68289981.974399999</v>
      </c>
      <c r="AD41" s="597">
        <f t="shared" si="27"/>
        <v>1563.8628722596895</v>
      </c>
      <c r="AE41" s="598">
        <f t="shared" si="20"/>
        <v>977.41429516230596</v>
      </c>
      <c r="AF41" s="572">
        <f t="shared" si="21"/>
        <v>726.65343999999993</v>
      </c>
      <c r="AG41" s="572">
        <f t="shared" si="22"/>
        <v>7.0400000000000011E-3</v>
      </c>
      <c r="AH41" s="600">
        <f t="shared" si="23"/>
        <v>4.6819094742162461E-6</v>
      </c>
      <c r="AI41" s="559" t="s">
        <v>570</v>
      </c>
      <c r="AJ41" s="559"/>
    </row>
    <row r="42" spans="1:40" ht="14.4" x14ac:dyDescent="0.3">
      <c r="A42" s="560" t="s">
        <v>568</v>
      </c>
      <c r="B42" s="557" t="str">
        <f t="shared" si="24"/>
        <v>1980s</v>
      </c>
      <c r="C42" s="561">
        <v>1988</v>
      </c>
      <c r="D42" s="562">
        <f t="shared" si="1"/>
        <v>1985</v>
      </c>
      <c r="E42" s="563">
        <f t="shared" si="2"/>
        <v>1987</v>
      </c>
      <c r="F42" s="586">
        <f t="shared" si="3"/>
        <v>99780</v>
      </c>
      <c r="G42" s="587">
        <f t="shared" si="4"/>
        <v>100543</v>
      </c>
      <c r="H42" s="587">
        <f t="shared" si="5"/>
        <v>82911</v>
      </c>
      <c r="I42" s="2121">
        <f t="shared" si="6"/>
        <v>38463.095999999998</v>
      </c>
      <c r="J42" s="2125">
        <f t="shared" si="7"/>
        <v>0.78213587652764505</v>
      </c>
      <c r="K42" s="590">
        <f t="shared" si="8"/>
        <v>78388</v>
      </c>
      <c r="L42" s="591">
        <f t="shared" si="17"/>
        <v>78638.287433719015</v>
      </c>
      <c r="M42" s="589">
        <f t="shared" si="28"/>
        <v>38463.095999999998</v>
      </c>
      <c r="N42" s="591">
        <f t="shared" si="29"/>
        <v>3867195061.1279998</v>
      </c>
      <c r="O42" s="569">
        <f t="shared" si="9"/>
        <v>4.4756969654774573E-4</v>
      </c>
      <c r="P42" s="592">
        <f t="shared" si="10"/>
        <v>0.78213587652764505</v>
      </c>
      <c r="Q42" s="571">
        <f t="shared" si="11"/>
        <v>0.69249582195410264</v>
      </c>
      <c r="R42" s="572">
        <f t="shared" si="12"/>
        <v>0.69</v>
      </c>
      <c r="S42" s="573">
        <f t="shared" si="13"/>
        <v>0.24521474834461049</v>
      </c>
      <c r="T42" s="574">
        <v>1.1000000000000001</v>
      </c>
      <c r="U42" s="557">
        <f t="shared" si="14"/>
        <v>3.0000000000000009</v>
      </c>
      <c r="V42" s="575">
        <f t="shared" si="15"/>
        <v>1</v>
      </c>
      <c r="W42" s="812">
        <v>2E-3</v>
      </c>
      <c r="X42" s="595">
        <f t="shared" si="18"/>
        <v>201.08600000000001</v>
      </c>
      <c r="Y42" s="594">
        <v>2.1052631578947368E-3</v>
      </c>
      <c r="Z42" s="596">
        <f t="shared" si="19"/>
        <v>156.77600000000001</v>
      </c>
      <c r="AA42" s="2326" t="s">
        <v>1330</v>
      </c>
      <c r="AB42" s="597">
        <f t="shared" si="25"/>
        <v>157.27657486743803</v>
      </c>
      <c r="AC42" s="597">
        <f t="shared" si="26"/>
        <v>7734390.1222559996</v>
      </c>
      <c r="AD42" s="597">
        <f t="shared" si="27"/>
        <v>165.5542893341453</v>
      </c>
      <c r="AE42" s="598">
        <f t="shared" si="20"/>
        <v>157.27657486743803</v>
      </c>
      <c r="AF42" s="572">
        <f t="shared" si="21"/>
        <v>80.974938947368415</v>
      </c>
      <c r="AG42" s="599">
        <f t="shared" si="22"/>
        <v>1.4526315789473684E-3</v>
      </c>
      <c r="AH42" s="600">
        <f t="shared" si="23"/>
        <v>7.2239319442794042E-6</v>
      </c>
      <c r="AI42" s="559" t="s">
        <v>572</v>
      </c>
      <c r="AJ42" s="559"/>
    </row>
    <row r="43" spans="1:40" ht="14.4" x14ac:dyDescent="0.3">
      <c r="A43" s="560" t="s">
        <v>568</v>
      </c>
      <c r="B43" s="557" t="str">
        <f t="shared" si="24"/>
        <v>1980s</v>
      </c>
      <c r="C43" s="561">
        <v>1988</v>
      </c>
      <c r="D43" s="562">
        <f t="shared" si="1"/>
        <v>1984</v>
      </c>
      <c r="E43" s="563">
        <f t="shared" si="2"/>
        <v>1986</v>
      </c>
      <c r="F43" s="586">
        <f t="shared" si="3"/>
        <v>99780</v>
      </c>
      <c r="G43" s="587">
        <f t="shared" si="4"/>
        <v>100543</v>
      </c>
      <c r="H43" s="587">
        <f t="shared" si="5"/>
        <v>82911</v>
      </c>
      <c r="I43" s="2121">
        <f t="shared" si="6"/>
        <v>38463.095999999998</v>
      </c>
      <c r="J43" s="2125">
        <f t="shared" si="7"/>
        <v>0.78213587652764505</v>
      </c>
      <c r="K43" s="590">
        <f t="shared" si="8"/>
        <v>78388</v>
      </c>
      <c r="L43" s="591">
        <f t="shared" si="17"/>
        <v>78638.287433719015</v>
      </c>
      <c r="M43" s="589">
        <f t="shared" si="28"/>
        <v>38463.095999999998</v>
      </c>
      <c r="N43" s="591">
        <f t="shared" si="29"/>
        <v>3867195061.1279998</v>
      </c>
      <c r="O43" s="569">
        <f t="shared" si="9"/>
        <v>4.4756969654774573E-4</v>
      </c>
      <c r="P43" s="592">
        <f t="shared" si="10"/>
        <v>0.78213587652764505</v>
      </c>
      <c r="Q43" s="571">
        <f t="shared" si="11"/>
        <v>0.69249582195410264</v>
      </c>
      <c r="R43" s="572">
        <f t="shared" si="12"/>
        <v>0.69</v>
      </c>
      <c r="S43" s="573">
        <f t="shared" si="13"/>
        <v>0.24521474834461049</v>
      </c>
      <c r="T43" s="574">
        <v>1.2</v>
      </c>
      <c r="U43" s="557">
        <f t="shared" si="14"/>
        <v>3.9999999999999996</v>
      </c>
      <c r="V43" s="575">
        <f t="shared" si="15"/>
        <v>1</v>
      </c>
      <c r="W43" s="812">
        <v>0.96899999999999997</v>
      </c>
      <c r="X43" s="595">
        <f t="shared" si="18"/>
        <v>97426.167000000001</v>
      </c>
      <c r="Y43" s="594">
        <v>0.96210526315789469</v>
      </c>
      <c r="Z43" s="596">
        <f t="shared" si="19"/>
        <v>75957.971999999994</v>
      </c>
      <c r="AA43" s="2326" t="s">
        <v>1330</v>
      </c>
      <c r="AB43" s="597">
        <f t="shared" si="25"/>
        <v>76200.500523273717</v>
      </c>
      <c r="AC43" s="597">
        <f t="shared" si="26"/>
        <v>3747312014.2330317</v>
      </c>
      <c r="AD43" s="597">
        <f t="shared" si="27"/>
        <v>75658.310225704394</v>
      </c>
      <c r="AE43" s="598">
        <f t="shared" si="20"/>
        <v>76200.500523273717</v>
      </c>
      <c r="AF43" s="572">
        <f t="shared" si="21"/>
        <v>37005.547098947362</v>
      </c>
      <c r="AG43" s="572">
        <f t="shared" si="22"/>
        <v>0.66385263157894725</v>
      </c>
      <c r="AH43" s="600">
        <f t="shared" si="23"/>
        <v>6.8139048473388805E-6</v>
      </c>
      <c r="AI43" s="559" t="s">
        <v>573</v>
      </c>
      <c r="AJ43" s="559"/>
    </row>
    <row r="44" spans="1:40" ht="14.4" x14ac:dyDescent="0.3">
      <c r="A44" s="560" t="s">
        <v>568</v>
      </c>
      <c r="B44" s="557" t="str">
        <f t="shared" si="24"/>
        <v>1980s</v>
      </c>
      <c r="C44" s="561">
        <v>1988</v>
      </c>
      <c r="D44" s="562">
        <f t="shared" si="1"/>
        <v>1983</v>
      </c>
      <c r="E44" s="563">
        <f t="shared" si="2"/>
        <v>1985</v>
      </c>
      <c r="F44" s="586">
        <f t="shared" si="3"/>
        <v>99780</v>
      </c>
      <c r="G44" s="587">
        <f t="shared" si="4"/>
        <v>100543</v>
      </c>
      <c r="H44" s="587">
        <f t="shared" si="5"/>
        <v>82911</v>
      </c>
      <c r="I44" s="2121">
        <f t="shared" si="6"/>
        <v>38463.095999999998</v>
      </c>
      <c r="J44" s="2125">
        <f t="shared" si="7"/>
        <v>0.78213587652764505</v>
      </c>
      <c r="K44" s="590">
        <f t="shared" si="8"/>
        <v>78388</v>
      </c>
      <c r="L44" s="591">
        <f t="shared" si="17"/>
        <v>78638.287433719015</v>
      </c>
      <c r="M44" s="589">
        <f t="shared" si="28"/>
        <v>38463.095999999998</v>
      </c>
      <c r="N44" s="591">
        <f t="shared" si="29"/>
        <v>3867195061.1279998</v>
      </c>
      <c r="O44" s="569">
        <f t="shared" si="9"/>
        <v>4.4756969654774573E-4</v>
      </c>
      <c r="P44" s="592">
        <f t="shared" si="10"/>
        <v>0.78213587652764505</v>
      </c>
      <c r="Q44" s="571">
        <f t="shared" si="11"/>
        <v>0.69249582195410264</v>
      </c>
      <c r="R44" s="572">
        <f t="shared" si="12"/>
        <v>0.69</v>
      </c>
      <c r="S44" s="573">
        <f t="shared" si="13"/>
        <v>0.24521474834461049</v>
      </c>
      <c r="T44" s="574">
        <v>1.3</v>
      </c>
      <c r="U44" s="557">
        <f t="shared" si="14"/>
        <v>5</v>
      </c>
      <c r="V44" s="575">
        <f t="shared" si="15"/>
        <v>1</v>
      </c>
      <c r="W44" s="812">
        <v>1.2999999999999999E-2</v>
      </c>
      <c r="X44" s="595">
        <f t="shared" si="18"/>
        <v>1307.059</v>
      </c>
      <c r="Y44" s="594">
        <v>1.6842105263157894E-2</v>
      </c>
      <c r="Z44" s="596">
        <f t="shared" si="19"/>
        <v>1019.044</v>
      </c>
      <c r="AA44" s="2326" t="s">
        <v>1330</v>
      </c>
      <c r="AB44" s="597">
        <f t="shared" si="25"/>
        <v>1022.2977366383471</v>
      </c>
      <c r="AC44" s="597">
        <f t="shared" si="26"/>
        <v>50273535.794663996</v>
      </c>
      <c r="AD44" s="597">
        <f t="shared" si="27"/>
        <v>1324.4343146731624</v>
      </c>
      <c r="AE44" s="598">
        <f t="shared" si="20"/>
        <v>1022.2977366383471</v>
      </c>
      <c r="AF44" s="572">
        <f t="shared" si="21"/>
        <v>647.79951157894732</v>
      </c>
      <c r="AG44" s="572">
        <f t="shared" si="22"/>
        <v>1.1621052631578947E-2</v>
      </c>
      <c r="AH44" s="600">
        <f t="shared" si="23"/>
        <v>8.8909931621900374E-6</v>
      </c>
      <c r="AI44" s="559" t="s">
        <v>574</v>
      </c>
      <c r="AJ44" s="559"/>
    </row>
    <row r="45" spans="1:40" ht="14.4" x14ac:dyDescent="0.3">
      <c r="A45" s="560" t="s">
        <v>568</v>
      </c>
      <c r="B45" s="557" t="str">
        <f t="shared" si="24"/>
        <v>1980s</v>
      </c>
      <c r="C45" s="561">
        <v>1988</v>
      </c>
      <c r="D45" s="562">
        <f t="shared" si="1"/>
        <v>1984</v>
      </c>
      <c r="E45" s="563">
        <f t="shared" si="2"/>
        <v>1987</v>
      </c>
      <c r="F45" s="586">
        <f t="shared" si="3"/>
        <v>99780</v>
      </c>
      <c r="G45" s="587">
        <f t="shared" si="4"/>
        <v>100543</v>
      </c>
      <c r="H45" s="587">
        <f t="shared" si="5"/>
        <v>82911</v>
      </c>
      <c r="I45" s="2121">
        <f t="shared" si="6"/>
        <v>38463.095999999998</v>
      </c>
      <c r="J45" s="2125">
        <f t="shared" si="7"/>
        <v>0.78213587652764505</v>
      </c>
      <c r="K45" s="590">
        <f t="shared" si="8"/>
        <v>78388</v>
      </c>
      <c r="L45" s="591">
        <f t="shared" si="17"/>
        <v>78638.287433719015</v>
      </c>
      <c r="M45" s="589">
        <f t="shared" si="28"/>
        <v>38463.095999999998</v>
      </c>
      <c r="N45" s="591">
        <f t="shared" si="29"/>
        <v>3867195061.1279998</v>
      </c>
      <c r="O45" s="569">
        <f t="shared" si="9"/>
        <v>4.4756969654774573E-4</v>
      </c>
      <c r="P45" s="592">
        <f t="shared" si="10"/>
        <v>0.78213587652764505</v>
      </c>
      <c r="Q45" s="571">
        <f t="shared" si="11"/>
        <v>0.69249582195410264</v>
      </c>
      <c r="R45" s="572">
        <f t="shared" si="12"/>
        <v>0.69</v>
      </c>
      <c r="S45" s="573">
        <f t="shared" si="13"/>
        <v>0.24521474834461049</v>
      </c>
      <c r="T45" s="574">
        <v>2.1</v>
      </c>
      <c r="U45" s="557">
        <f t="shared" si="14"/>
        <v>4.0000000000000009</v>
      </c>
      <c r="V45" s="575">
        <f t="shared" si="15"/>
        <v>2</v>
      </c>
      <c r="W45" s="812">
        <v>0.01</v>
      </c>
      <c r="X45" s="595">
        <f t="shared" si="18"/>
        <v>1005.4300000000001</v>
      </c>
      <c r="Y45" s="594">
        <v>1.2631578947368421E-2</v>
      </c>
      <c r="Z45" s="596">
        <f t="shared" si="19"/>
        <v>783.88</v>
      </c>
      <c r="AA45" s="2326" t="s">
        <v>1330</v>
      </c>
      <c r="AB45" s="597">
        <f t="shared" si="25"/>
        <v>786.38287433719017</v>
      </c>
      <c r="AC45" s="597">
        <f t="shared" si="26"/>
        <v>38671950.611280002</v>
      </c>
      <c r="AD45" s="597">
        <f t="shared" si="27"/>
        <v>993.32573600487171</v>
      </c>
      <c r="AE45" s="598">
        <f t="shared" si="20"/>
        <v>786.38287433719017</v>
      </c>
      <c r="AF45" s="572">
        <f t="shared" si="21"/>
        <v>485.84963368421046</v>
      </c>
      <c r="AG45" s="572">
        <f t="shared" si="22"/>
        <v>8.7157894736842097E-3</v>
      </c>
      <c r="AH45" s="600">
        <f t="shared" si="23"/>
        <v>8.6687183331352847E-6</v>
      </c>
      <c r="AI45" s="559" t="s">
        <v>575</v>
      </c>
      <c r="AJ45" s="559"/>
    </row>
    <row r="46" spans="1:40" ht="14.4" x14ac:dyDescent="0.3">
      <c r="A46" s="560" t="s">
        <v>568</v>
      </c>
      <c r="B46" s="557" t="str">
        <f t="shared" si="24"/>
        <v>1980s</v>
      </c>
      <c r="C46" s="561">
        <v>1988</v>
      </c>
      <c r="D46" s="562">
        <f t="shared" si="1"/>
        <v>1983</v>
      </c>
      <c r="E46" s="563">
        <f t="shared" si="2"/>
        <v>1986</v>
      </c>
      <c r="F46" s="586">
        <f t="shared" si="3"/>
        <v>99780</v>
      </c>
      <c r="G46" s="587">
        <f t="shared" si="4"/>
        <v>100543</v>
      </c>
      <c r="H46" s="587">
        <f t="shared" si="5"/>
        <v>82911</v>
      </c>
      <c r="I46" s="2121">
        <f t="shared" si="6"/>
        <v>38463.095999999998</v>
      </c>
      <c r="J46" s="2125">
        <f t="shared" si="7"/>
        <v>0.78213587652764505</v>
      </c>
      <c r="K46" s="590">
        <f t="shared" si="8"/>
        <v>78388</v>
      </c>
      <c r="L46" s="591">
        <f t="shared" si="17"/>
        <v>78638.287433719015</v>
      </c>
      <c r="M46" s="589">
        <f t="shared" si="28"/>
        <v>38463.095999999998</v>
      </c>
      <c r="N46" s="591">
        <f t="shared" si="29"/>
        <v>3867195061.1279998</v>
      </c>
      <c r="O46" s="569">
        <f t="shared" si="9"/>
        <v>4.4756969654774573E-4</v>
      </c>
      <c r="P46" s="592">
        <f t="shared" si="10"/>
        <v>0.78213587652764505</v>
      </c>
      <c r="Q46" s="571">
        <f t="shared" si="11"/>
        <v>0.69249582195410264</v>
      </c>
      <c r="R46" s="572">
        <f t="shared" si="12"/>
        <v>0.69</v>
      </c>
      <c r="S46" s="573">
        <f t="shared" si="13"/>
        <v>0.24521474834461049</v>
      </c>
      <c r="T46" s="574">
        <v>2.2000000000000002</v>
      </c>
      <c r="U46" s="557">
        <f t="shared" si="14"/>
        <v>5.0000000000000018</v>
      </c>
      <c r="V46" s="575">
        <f t="shared" si="15"/>
        <v>2</v>
      </c>
      <c r="W46" s="812">
        <v>6.0000000000000001E-3</v>
      </c>
      <c r="X46" s="595">
        <f t="shared" si="18"/>
        <v>603.25800000000004</v>
      </c>
      <c r="Y46" s="594">
        <v>6.3157894736842104E-3</v>
      </c>
      <c r="Z46" s="596">
        <f t="shared" si="19"/>
        <v>470.32800000000003</v>
      </c>
      <c r="AA46" s="2326" t="s">
        <v>1330</v>
      </c>
      <c r="AB46" s="597">
        <f t="shared" si="25"/>
        <v>471.82972460231412</v>
      </c>
      <c r="AC46" s="597">
        <f t="shared" si="26"/>
        <v>23203170.366767999</v>
      </c>
      <c r="AD46" s="597">
        <f t="shared" si="27"/>
        <v>496.66286800243586</v>
      </c>
      <c r="AE46" s="598">
        <f t="shared" si="20"/>
        <v>471.82972460231412</v>
      </c>
      <c r="AF46" s="572">
        <f t="shared" si="21"/>
        <v>242.92481684210523</v>
      </c>
      <c r="AG46" s="572">
        <f t="shared" si="22"/>
        <v>4.3578947368421049E-3</v>
      </c>
      <c r="AH46" s="600">
        <f t="shared" si="23"/>
        <v>7.2239319442794042E-6</v>
      </c>
      <c r="AI46" s="559" t="s">
        <v>576</v>
      </c>
      <c r="AJ46" s="559"/>
    </row>
    <row r="47" spans="1:40" ht="14.4" x14ac:dyDescent="0.3">
      <c r="A47" s="560" t="s">
        <v>568</v>
      </c>
      <c r="B47" s="557" t="str">
        <f t="shared" si="24"/>
        <v>1980s</v>
      </c>
      <c r="C47" s="561">
        <v>1989</v>
      </c>
      <c r="D47" s="562">
        <f t="shared" si="1"/>
        <v>1986</v>
      </c>
      <c r="E47" s="563">
        <f t="shared" si="2"/>
        <v>1988</v>
      </c>
      <c r="F47" s="586">
        <f t="shared" si="3"/>
        <v>47478</v>
      </c>
      <c r="G47" s="587">
        <f t="shared" si="4"/>
        <v>43470</v>
      </c>
      <c r="H47" s="587">
        <f t="shared" si="5"/>
        <v>43434</v>
      </c>
      <c r="I47" s="2121">
        <f t="shared" si="6"/>
        <v>18084.831999999999</v>
      </c>
      <c r="J47" s="2125">
        <f t="shared" si="7"/>
        <v>0.48406937901498925</v>
      </c>
      <c r="K47" s="590">
        <f t="shared" si="8"/>
        <v>18256</v>
      </c>
      <c r="L47" s="591">
        <f t="shared" si="17"/>
        <v>21042.495905781583</v>
      </c>
      <c r="M47" s="589">
        <f t="shared" si="28"/>
        <v>18084.831999999999</v>
      </c>
      <c r="N47" s="591">
        <f t="shared" si="29"/>
        <v>786147647.03999996</v>
      </c>
      <c r="O47" s="569">
        <f t="shared" si="9"/>
        <v>9.2017483321831149E-5</v>
      </c>
      <c r="P47" s="592">
        <f t="shared" si="10"/>
        <v>0.48406937901498925</v>
      </c>
      <c r="Q47" s="571">
        <f t="shared" si="11"/>
        <v>0.42991308091816688</v>
      </c>
      <c r="R47" s="572">
        <f t="shared" si="12"/>
        <v>0.41499999999999992</v>
      </c>
      <c r="S47" s="573">
        <f t="shared" si="13"/>
        <v>9.0528157664502465E-2</v>
      </c>
      <c r="T47" s="574">
        <v>1.1000000000000001</v>
      </c>
      <c r="U47" s="557">
        <f t="shared" si="14"/>
        <v>3.0000000000000009</v>
      </c>
      <c r="V47" s="575">
        <f t="shared" si="15"/>
        <v>1</v>
      </c>
      <c r="W47" s="812">
        <v>0.03</v>
      </c>
      <c r="X47" s="595">
        <f t="shared" si="18"/>
        <v>1304.0999999999999</v>
      </c>
      <c r="Y47" s="594">
        <v>3.325942350332594E-2</v>
      </c>
      <c r="Z47" s="596">
        <f t="shared" si="19"/>
        <v>547.67999999999995</v>
      </c>
      <c r="AA47" s="2326" t="s">
        <v>1330</v>
      </c>
      <c r="AB47" s="597">
        <f t="shared" si="25"/>
        <v>631.27487717344752</v>
      </c>
      <c r="AC47" s="597">
        <f t="shared" si="26"/>
        <v>23584429.411199998</v>
      </c>
      <c r="AD47" s="597">
        <f t="shared" si="27"/>
        <v>699.86128289739179</v>
      </c>
      <c r="AE47" s="598">
        <f t="shared" si="20"/>
        <v>631.27487717344752</v>
      </c>
      <c r="AF47" s="572">
        <f t="shared" si="21"/>
        <v>601.491086474501</v>
      </c>
      <c r="AG47" s="599">
        <f t="shared" si="22"/>
        <v>1.3802660753880262E-2</v>
      </c>
      <c r="AH47" s="600">
        <f t="shared" si="23"/>
        <v>1.0584050880975586E-5</v>
      </c>
      <c r="AI47" s="559" t="s">
        <v>577</v>
      </c>
      <c r="AJ47" s="559"/>
    </row>
    <row r="48" spans="1:40" ht="14.4" x14ac:dyDescent="0.3">
      <c r="A48" s="560" t="s">
        <v>568</v>
      </c>
      <c r="B48" s="557" t="str">
        <f t="shared" si="24"/>
        <v>1980s</v>
      </c>
      <c r="C48" s="561">
        <v>1989</v>
      </c>
      <c r="D48" s="562">
        <f t="shared" si="1"/>
        <v>1985</v>
      </c>
      <c r="E48" s="563">
        <f t="shared" si="2"/>
        <v>1987</v>
      </c>
      <c r="F48" s="586">
        <f t="shared" si="3"/>
        <v>47478</v>
      </c>
      <c r="G48" s="587">
        <f t="shared" si="4"/>
        <v>43470</v>
      </c>
      <c r="H48" s="587">
        <f t="shared" si="5"/>
        <v>43434</v>
      </c>
      <c r="I48" s="2121">
        <f t="shared" si="6"/>
        <v>18084.831999999999</v>
      </c>
      <c r="J48" s="2125">
        <f t="shared" si="7"/>
        <v>0.48406937901498925</v>
      </c>
      <c r="K48" s="590">
        <f t="shared" si="8"/>
        <v>18256</v>
      </c>
      <c r="L48" s="591">
        <f t="shared" si="17"/>
        <v>21042.495905781583</v>
      </c>
      <c r="M48" s="589">
        <f t="shared" si="28"/>
        <v>18084.831999999999</v>
      </c>
      <c r="N48" s="591">
        <f t="shared" si="29"/>
        <v>786147647.03999996</v>
      </c>
      <c r="O48" s="569">
        <f t="shared" si="9"/>
        <v>9.2017483321831149E-5</v>
      </c>
      <c r="P48" s="592">
        <f t="shared" si="10"/>
        <v>0.48406937901498925</v>
      </c>
      <c r="Q48" s="571">
        <f t="shared" si="11"/>
        <v>0.42991308091816688</v>
      </c>
      <c r="R48" s="572">
        <f t="shared" si="12"/>
        <v>0.41499999999999992</v>
      </c>
      <c r="S48" s="573">
        <f t="shared" si="13"/>
        <v>9.0528157664502465E-2</v>
      </c>
      <c r="T48" s="574">
        <v>1.2</v>
      </c>
      <c r="U48" s="557">
        <f t="shared" si="14"/>
        <v>3.9999999999999996</v>
      </c>
      <c r="V48" s="575">
        <f t="shared" si="15"/>
        <v>1</v>
      </c>
      <c r="W48" s="812">
        <v>0.93100000000000005</v>
      </c>
      <c r="X48" s="595">
        <f t="shared" si="18"/>
        <v>40470.57</v>
      </c>
      <c r="Y48" s="594">
        <v>0.92904656319290468</v>
      </c>
      <c r="Z48" s="596">
        <f t="shared" si="19"/>
        <v>16996.335999999999</v>
      </c>
      <c r="AA48" s="2326" t="s">
        <v>1330</v>
      </c>
      <c r="AB48" s="597">
        <f t="shared" si="25"/>
        <v>19590.563688282655</v>
      </c>
      <c r="AC48" s="597">
        <f t="shared" si="26"/>
        <v>731903459.39424002</v>
      </c>
      <c r="AD48" s="597">
        <f t="shared" si="27"/>
        <v>19549.458502267149</v>
      </c>
      <c r="AE48" s="598">
        <f t="shared" si="20"/>
        <v>19590.563688282655</v>
      </c>
      <c r="AF48" s="572">
        <f t="shared" si="21"/>
        <v>16801.651015521064</v>
      </c>
      <c r="AG48" s="572">
        <f t="shared" si="22"/>
        <v>0.38555432372505538</v>
      </c>
      <c r="AH48" s="600">
        <f t="shared" si="23"/>
        <v>9.5267826404484884E-6</v>
      </c>
      <c r="AI48" s="559" t="s">
        <v>577</v>
      </c>
      <c r="AJ48" s="559"/>
    </row>
    <row r="49" spans="1:36" ht="14.4" x14ac:dyDescent="0.3">
      <c r="A49" s="560" t="s">
        <v>568</v>
      </c>
      <c r="B49" s="557" t="str">
        <f t="shared" si="24"/>
        <v>1980s</v>
      </c>
      <c r="C49" s="561">
        <v>1989</v>
      </c>
      <c r="D49" s="562">
        <f t="shared" si="1"/>
        <v>1984</v>
      </c>
      <c r="E49" s="563">
        <f t="shared" si="2"/>
        <v>1986</v>
      </c>
      <c r="F49" s="586">
        <f t="shared" si="3"/>
        <v>47478</v>
      </c>
      <c r="G49" s="587">
        <f t="shared" si="4"/>
        <v>43470</v>
      </c>
      <c r="H49" s="587">
        <f t="shared" si="5"/>
        <v>43434</v>
      </c>
      <c r="I49" s="2121">
        <f t="shared" si="6"/>
        <v>18084.831999999999</v>
      </c>
      <c r="J49" s="2125">
        <f t="shared" si="7"/>
        <v>0.48406937901498925</v>
      </c>
      <c r="K49" s="590">
        <f t="shared" si="8"/>
        <v>18256</v>
      </c>
      <c r="L49" s="591">
        <f t="shared" si="17"/>
        <v>21042.495905781583</v>
      </c>
      <c r="M49" s="589">
        <f t="shared" si="28"/>
        <v>18084.831999999999</v>
      </c>
      <c r="N49" s="591">
        <f t="shared" si="29"/>
        <v>786147647.03999996</v>
      </c>
      <c r="O49" s="569">
        <f t="shared" si="9"/>
        <v>9.2017483321831149E-5</v>
      </c>
      <c r="P49" s="592">
        <f t="shared" si="10"/>
        <v>0.48406937901498925</v>
      </c>
      <c r="Q49" s="571">
        <f t="shared" si="11"/>
        <v>0.42991308091816688</v>
      </c>
      <c r="R49" s="572">
        <f t="shared" si="12"/>
        <v>0.41499999999999992</v>
      </c>
      <c r="S49" s="573">
        <f t="shared" si="13"/>
        <v>9.0528157664502465E-2</v>
      </c>
      <c r="T49" s="574">
        <v>1.3</v>
      </c>
      <c r="U49" s="557">
        <f t="shared" si="14"/>
        <v>5</v>
      </c>
      <c r="V49" s="575">
        <f t="shared" si="15"/>
        <v>1</v>
      </c>
      <c r="W49" s="812">
        <v>2.7E-2</v>
      </c>
      <c r="X49" s="595">
        <f t="shared" si="18"/>
        <v>1173.69</v>
      </c>
      <c r="Y49" s="594">
        <v>2.6607538802660754E-2</v>
      </c>
      <c r="Z49" s="596">
        <f t="shared" si="19"/>
        <v>492.91199999999998</v>
      </c>
      <c r="AA49" s="2326" t="s">
        <v>1330</v>
      </c>
      <c r="AB49" s="597">
        <f t="shared" si="25"/>
        <v>568.1473894561027</v>
      </c>
      <c r="AC49" s="597">
        <f t="shared" si="26"/>
        <v>21225986.470079999</v>
      </c>
      <c r="AD49" s="597">
        <f t="shared" si="27"/>
        <v>559.88902631791348</v>
      </c>
      <c r="AE49" s="598">
        <f t="shared" si="20"/>
        <v>568.1473894561027</v>
      </c>
      <c r="AF49" s="572">
        <f t="shared" si="21"/>
        <v>481.19286917960085</v>
      </c>
      <c r="AG49" s="572">
        <f t="shared" si="22"/>
        <v>1.1042128603104211E-2</v>
      </c>
      <c r="AH49" s="600">
        <f t="shared" si="23"/>
        <v>9.4080452275338546E-6</v>
      </c>
      <c r="AI49" s="559" t="s">
        <v>577</v>
      </c>
      <c r="AJ49" s="559"/>
    </row>
    <row r="50" spans="1:36" ht="14.4" x14ac:dyDescent="0.3">
      <c r="A50" s="560" t="s">
        <v>568</v>
      </c>
      <c r="B50" s="557" t="str">
        <f t="shared" si="24"/>
        <v>1980s</v>
      </c>
      <c r="C50" s="561">
        <v>1989</v>
      </c>
      <c r="D50" s="562">
        <f t="shared" si="1"/>
        <v>1985</v>
      </c>
      <c r="E50" s="563">
        <f t="shared" si="2"/>
        <v>1988</v>
      </c>
      <c r="F50" s="586">
        <f t="shared" si="3"/>
        <v>47478</v>
      </c>
      <c r="G50" s="587">
        <f t="shared" si="4"/>
        <v>43470</v>
      </c>
      <c r="H50" s="587">
        <f t="shared" si="5"/>
        <v>43434</v>
      </c>
      <c r="I50" s="2121">
        <f t="shared" si="6"/>
        <v>18084.831999999999</v>
      </c>
      <c r="J50" s="2125">
        <f t="shared" si="7"/>
        <v>0.48406937901498925</v>
      </c>
      <c r="K50" s="590">
        <f t="shared" si="8"/>
        <v>18256</v>
      </c>
      <c r="L50" s="591">
        <f t="shared" si="17"/>
        <v>21042.495905781583</v>
      </c>
      <c r="M50" s="589">
        <f t="shared" si="28"/>
        <v>18084.831999999999</v>
      </c>
      <c r="N50" s="591">
        <f t="shared" si="29"/>
        <v>786147647.03999996</v>
      </c>
      <c r="O50" s="569">
        <f t="shared" si="9"/>
        <v>9.2017483321831149E-5</v>
      </c>
      <c r="P50" s="592">
        <f t="shared" si="10"/>
        <v>0.48406937901498925</v>
      </c>
      <c r="Q50" s="571">
        <f t="shared" si="11"/>
        <v>0.42991308091816688</v>
      </c>
      <c r="R50" s="572">
        <f t="shared" si="12"/>
        <v>0.41499999999999992</v>
      </c>
      <c r="S50" s="573">
        <f t="shared" si="13"/>
        <v>9.0528157664502465E-2</v>
      </c>
      <c r="T50" s="574">
        <v>2.1</v>
      </c>
      <c r="U50" s="557">
        <f t="shared" si="14"/>
        <v>4.0000000000000009</v>
      </c>
      <c r="V50" s="575">
        <f t="shared" si="15"/>
        <v>2</v>
      </c>
      <c r="W50" s="812">
        <v>6.0000000000000001E-3</v>
      </c>
      <c r="X50" s="595">
        <f t="shared" si="18"/>
        <v>260.82</v>
      </c>
      <c r="Y50" s="594">
        <v>6.6518847006651885E-3</v>
      </c>
      <c r="Z50" s="596">
        <f t="shared" si="19"/>
        <v>109.536</v>
      </c>
      <c r="AA50" s="2326" t="s">
        <v>1330</v>
      </c>
      <c r="AB50" s="597">
        <f t="shared" si="25"/>
        <v>126.2549754346895</v>
      </c>
      <c r="AC50" s="597">
        <f t="shared" si="26"/>
        <v>4716885.8822400002</v>
      </c>
      <c r="AD50" s="597">
        <f t="shared" si="27"/>
        <v>139.97225657947837</v>
      </c>
      <c r="AE50" s="598">
        <f t="shared" si="20"/>
        <v>126.2549754346895</v>
      </c>
      <c r="AF50" s="572">
        <f t="shared" si="21"/>
        <v>120.29821729490021</v>
      </c>
      <c r="AG50" s="572">
        <f t="shared" si="22"/>
        <v>2.7605321507760527E-3</v>
      </c>
      <c r="AH50" s="600">
        <f t="shared" si="23"/>
        <v>1.0584050880975588E-5</v>
      </c>
      <c r="AI50" s="559" t="s">
        <v>577</v>
      </c>
      <c r="AJ50" s="559"/>
    </row>
    <row r="51" spans="1:36" ht="14.4" x14ac:dyDescent="0.3">
      <c r="A51" s="560" t="s">
        <v>568</v>
      </c>
      <c r="B51" s="557" t="str">
        <f t="shared" si="24"/>
        <v>1980s</v>
      </c>
      <c r="C51" s="561">
        <v>1989</v>
      </c>
      <c r="D51" s="562">
        <f t="shared" si="1"/>
        <v>1984</v>
      </c>
      <c r="E51" s="563">
        <f t="shared" si="2"/>
        <v>1987</v>
      </c>
      <c r="F51" s="586">
        <f t="shared" si="3"/>
        <v>47478</v>
      </c>
      <c r="G51" s="587">
        <f t="shared" si="4"/>
        <v>43470</v>
      </c>
      <c r="H51" s="587">
        <f t="shared" si="5"/>
        <v>43434</v>
      </c>
      <c r="I51" s="2121">
        <f t="shared" si="6"/>
        <v>18084.831999999999</v>
      </c>
      <c r="J51" s="2125">
        <f t="shared" si="7"/>
        <v>0.48406937901498925</v>
      </c>
      <c r="K51" s="590">
        <f t="shared" si="8"/>
        <v>18256</v>
      </c>
      <c r="L51" s="591">
        <f t="shared" si="17"/>
        <v>21042.495905781583</v>
      </c>
      <c r="M51" s="589">
        <f t="shared" si="28"/>
        <v>18084.831999999999</v>
      </c>
      <c r="N51" s="591">
        <f t="shared" si="29"/>
        <v>786147647.03999996</v>
      </c>
      <c r="O51" s="569">
        <f t="shared" si="9"/>
        <v>9.2017483321831149E-5</v>
      </c>
      <c r="P51" s="592">
        <f t="shared" si="10"/>
        <v>0.48406937901498925</v>
      </c>
      <c r="Q51" s="571">
        <f t="shared" si="11"/>
        <v>0.42991308091816688</v>
      </c>
      <c r="R51" s="572">
        <f t="shared" si="12"/>
        <v>0.41499999999999992</v>
      </c>
      <c r="S51" s="573">
        <f t="shared" si="13"/>
        <v>9.0528157664502465E-2</v>
      </c>
      <c r="T51" s="574">
        <v>2.2000000000000002</v>
      </c>
      <c r="U51" s="557">
        <f t="shared" si="14"/>
        <v>5.0000000000000018</v>
      </c>
      <c r="V51" s="575">
        <f t="shared" si="15"/>
        <v>2</v>
      </c>
      <c r="W51" s="812">
        <v>5.0000000000000001E-3</v>
      </c>
      <c r="X51" s="595">
        <f t="shared" si="18"/>
        <v>217.35</v>
      </c>
      <c r="Y51" s="594">
        <v>4.434589800443459E-3</v>
      </c>
      <c r="Z51" s="596">
        <f t="shared" si="19"/>
        <v>91.28</v>
      </c>
      <c r="AA51" s="2326" t="s">
        <v>1330</v>
      </c>
      <c r="AB51" s="597">
        <f t="shared" si="25"/>
        <v>105.21247952890792</v>
      </c>
      <c r="AC51" s="597">
        <f t="shared" si="26"/>
        <v>3930738.2352</v>
      </c>
      <c r="AD51" s="597">
        <f t="shared" si="27"/>
        <v>93.31483771965226</v>
      </c>
      <c r="AE51" s="598">
        <f t="shared" si="20"/>
        <v>105.21247952890792</v>
      </c>
      <c r="AF51" s="572">
        <f t="shared" si="21"/>
        <v>80.198811529933479</v>
      </c>
      <c r="AG51" s="572">
        <f t="shared" si="22"/>
        <v>1.840354767184035E-3</v>
      </c>
      <c r="AH51" s="600">
        <f t="shared" si="23"/>
        <v>8.4672407047804691E-6</v>
      </c>
      <c r="AI51" s="559" t="s">
        <v>577</v>
      </c>
      <c r="AJ51" s="559"/>
    </row>
    <row r="52" spans="1:36" ht="14.4" x14ac:dyDescent="0.3">
      <c r="A52" s="560" t="s">
        <v>568</v>
      </c>
      <c r="B52" s="557" t="str">
        <f t="shared" si="24"/>
        <v>1980s</v>
      </c>
      <c r="C52" s="561">
        <v>1990</v>
      </c>
      <c r="D52" s="562">
        <f t="shared" si="1"/>
        <v>1987</v>
      </c>
      <c r="E52" s="563">
        <f t="shared" si="2"/>
        <v>1989</v>
      </c>
      <c r="F52" s="586">
        <f t="shared" si="3"/>
        <v>49754</v>
      </c>
      <c r="G52" s="587">
        <f t="shared" si="4"/>
        <v>51639</v>
      </c>
      <c r="H52" s="587">
        <f t="shared" si="5"/>
        <v>51466</v>
      </c>
      <c r="I52" s="2121">
        <f t="shared" si="6"/>
        <v>8613.387999999999</v>
      </c>
      <c r="J52" s="2125">
        <f t="shared" si="7"/>
        <v>0.19512466302698048</v>
      </c>
      <c r="K52" s="590">
        <f t="shared" si="8"/>
        <v>12393</v>
      </c>
      <c r="L52" s="591">
        <f t="shared" si="17"/>
        <v>10076.042474050244</v>
      </c>
      <c r="M52" s="589">
        <f t="shared" si="28"/>
        <v>8613.387999999999</v>
      </c>
      <c r="N52" s="591">
        <f t="shared" si="29"/>
        <v>444786742.93199992</v>
      </c>
      <c r="O52" s="569">
        <f t="shared" si="9"/>
        <v>1.9365208466469142E-5</v>
      </c>
      <c r="P52" s="592">
        <f t="shared" si="10"/>
        <v>0.19512466302698048</v>
      </c>
      <c r="Q52" s="571">
        <f t="shared" si="11"/>
        <v>0.18606498026300422</v>
      </c>
      <c r="R52" s="572">
        <f t="shared" si="12"/>
        <v>0.25</v>
      </c>
      <c r="S52" s="573">
        <f t="shared" si="13"/>
        <v>8.9495977927175216E-2</v>
      </c>
      <c r="T52" s="602">
        <v>1.1000000000000001</v>
      </c>
      <c r="U52" s="557">
        <f t="shared" si="14"/>
        <v>3.0000000000000009</v>
      </c>
      <c r="V52" s="575">
        <f t="shared" si="15"/>
        <v>1</v>
      </c>
      <c r="W52" s="604">
        <v>0.45200000000000001</v>
      </c>
      <c r="X52" s="595">
        <f t="shared" si="18"/>
        <v>23340.828000000001</v>
      </c>
      <c r="Y52" s="605">
        <v>0.58128078817733986</v>
      </c>
      <c r="Z52" s="596">
        <f t="shared" si="19"/>
        <v>5601.6360000000004</v>
      </c>
      <c r="AA52" s="2326" t="s">
        <v>1330</v>
      </c>
      <c r="AB52" s="597">
        <f t="shared" si="25"/>
        <v>4554.37119827071</v>
      </c>
      <c r="AC52" s="597">
        <f t="shared" si="26"/>
        <v>201043607.80526397</v>
      </c>
      <c r="AD52" s="597">
        <f t="shared" si="27"/>
        <v>5857.0099110242791</v>
      </c>
      <c r="AE52" s="598">
        <f t="shared" si="20"/>
        <v>4554.37119827071</v>
      </c>
      <c r="AF52" s="572">
        <f t="shared" si="21"/>
        <v>5006.7969655172401</v>
      </c>
      <c r="AG52" s="599">
        <f t="shared" si="22"/>
        <v>0.14532019704433496</v>
      </c>
      <c r="AH52" s="600">
        <f t="shared" si="23"/>
        <v>6.2260086507785825E-6</v>
      </c>
      <c r="AI52" s="559" t="s">
        <v>578</v>
      </c>
      <c r="AJ52" s="559"/>
    </row>
    <row r="53" spans="1:36" ht="14.4" x14ac:dyDescent="0.3">
      <c r="A53" s="560" t="s">
        <v>568</v>
      </c>
      <c r="B53" s="557" t="str">
        <f t="shared" si="24"/>
        <v>1980s</v>
      </c>
      <c r="C53" s="561">
        <v>1990</v>
      </c>
      <c r="D53" s="562">
        <f t="shared" si="1"/>
        <v>1986</v>
      </c>
      <c r="E53" s="563">
        <f t="shared" si="2"/>
        <v>1988</v>
      </c>
      <c r="F53" s="586">
        <f t="shared" si="3"/>
        <v>49754</v>
      </c>
      <c r="G53" s="587">
        <f t="shared" si="4"/>
        <v>51639</v>
      </c>
      <c r="H53" s="587">
        <f t="shared" si="5"/>
        <v>51466</v>
      </c>
      <c r="I53" s="2121">
        <f t="shared" si="6"/>
        <v>8613.387999999999</v>
      </c>
      <c r="J53" s="2125">
        <f t="shared" si="7"/>
        <v>0.19512466302698048</v>
      </c>
      <c r="K53" s="590">
        <f t="shared" si="8"/>
        <v>12393</v>
      </c>
      <c r="L53" s="591">
        <f t="shared" si="17"/>
        <v>10076.042474050244</v>
      </c>
      <c r="M53" s="589">
        <f t="shared" si="28"/>
        <v>8613.387999999999</v>
      </c>
      <c r="N53" s="591">
        <f t="shared" si="29"/>
        <v>444786742.93199992</v>
      </c>
      <c r="O53" s="569">
        <f t="shared" si="9"/>
        <v>1.9365208466469142E-5</v>
      </c>
      <c r="P53" s="592">
        <f t="shared" si="10"/>
        <v>0.19512466302698048</v>
      </c>
      <c r="Q53" s="571">
        <f t="shared" si="11"/>
        <v>0.18606498026300422</v>
      </c>
      <c r="R53" s="572">
        <f t="shared" si="12"/>
        <v>0.25</v>
      </c>
      <c r="S53" s="573">
        <f t="shared" si="13"/>
        <v>8.9495977927175216E-2</v>
      </c>
      <c r="T53" s="574">
        <v>1.2</v>
      </c>
      <c r="U53" s="557">
        <f t="shared" si="14"/>
        <v>3.9999999999999996</v>
      </c>
      <c r="V53" s="575">
        <f t="shared" si="15"/>
        <v>1</v>
      </c>
      <c r="W53" s="594">
        <v>0.26200000000000001</v>
      </c>
      <c r="X53" s="595">
        <f t="shared" si="18"/>
        <v>13529.418</v>
      </c>
      <c r="Y53" s="594">
        <v>0.25123152709359609</v>
      </c>
      <c r="Z53" s="596">
        <f t="shared" si="19"/>
        <v>3246.9660000000003</v>
      </c>
      <c r="AA53" s="2326" t="s">
        <v>1330</v>
      </c>
      <c r="AB53" s="597">
        <f t="shared" si="25"/>
        <v>2639.9231282011642</v>
      </c>
      <c r="AC53" s="597">
        <f t="shared" si="26"/>
        <v>116534126.64818399</v>
      </c>
      <c r="AD53" s="597">
        <f t="shared" si="27"/>
        <v>2531.4195378155787</v>
      </c>
      <c r="AE53" s="598">
        <f t="shared" si="20"/>
        <v>2639.9231282011642</v>
      </c>
      <c r="AF53" s="572">
        <f t="shared" si="21"/>
        <v>2163.9546206896553</v>
      </c>
      <c r="AG53" s="572">
        <f t="shared" si="22"/>
        <v>6.2807881773399021E-2</v>
      </c>
      <c r="AH53" s="600">
        <f t="shared" si="23"/>
        <v>4.6423195567909143E-6</v>
      </c>
      <c r="AI53" s="559" t="s">
        <v>578</v>
      </c>
      <c r="AJ53" s="559"/>
    </row>
    <row r="54" spans="1:36" ht="14.4" x14ac:dyDescent="0.3">
      <c r="A54" s="560" t="s">
        <v>568</v>
      </c>
      <c r="B54" s="557" t="str">
        <f t="shared" si="24"/>
        <v>1980s</v>
      </c>
      <c r="C54" s="561">
        <v>1990</v>
      </c>
      <c r="D54" s="562">
        <f t="shared" si="1"/>
        <v>1985</v>
      </c>
      <c r="E54" s="563">
        <f t="shared" si="2"/>
        <v>1987</v>
      </c>
      <c r="F54" s="586">
        <f t="shared" si="3"/>
        <v>49754</v>
      </c>
      <c r="G54" s="587">
        <f t="shared" si="4"/>
        <v>51639</v>
      </c>
      <c r="H54" s="587">
        <f t="shared" si="5"/>
        <v>51466</v>
      </c>
      <c r="I54" s="2121">
        <f t="shared" si="6"/>
        <v>8613.387999999999</v>
      </c>
      <c r="J54" s="2125">
        <f t="shared" si="7"/>
        <v>0.19512466302698048</v>
      </c>
      <c r="K54" s="590">
        <f t="shared" si="8"/>
        <v>12393</v>
      </c>
      <c r="L54" s="591">
        <f t="shared" si="17"/>
        <v>10076.042474050244</v>
      </c>
      <c r="M54" s="589">
        <f t="shared" si="28"/>
        <v>8613.387999999999</v>
      </c>
      <c r="N54" s="591">
        <f t="shared" si="29"/>
        <v>444786742.93199992</v>
      </c>
      <c r="O54" s="569">
        <f t="shared" si="9"/>
        <v>1.9365208466469142E-5</v>
      </c>
      <c r="P54" s="592">
        <f t="shared" si="10"/>
        <v>0.19512466302698048</v>
      </c>
      <c r="Q54" s="571">
        <f t="shared" si="11"/>
        <v>0.18606498026300422</v>
      </c>
      <c r="R54" s="572">
        <f t="shared" si="12"/>
        <v>0.25</v>
      </c>
      <c r="S54" s="573">
        <f t="shared" si="13"/>
        <v>8.9495977927175216E-2</v>
      </c>
      <c r="T54" s="574">
        <v>1.3</v>
      </c>
      <c r="U54" s="557">
        <f t="shared" si="14"/>
        <v>5</v>
      </c>
      <c r="V54" s="575">
        <f t="shared" si="15"/>
        <v>1</v>
      </c>
      <c r="W54" s="604">
        <v>0.22600000000000001</v>
      </c>
      <c r="X54" s="595">
        <f t="shared" si="18"/>
        <v>11670.414000000001</v>
      </c>
      <c r="Y54" s="605">
        <v>0.10591133004926108</v>
      </c>
      <c r="Z54" s="596">
        <f t="shared" si="19"/>
        <v>2800.8180000000002</v>
      </c>
      <c r="AA54" s="2326" t="s">
        <v>1330</v>
      </c>
      <c r="AB54" s="597">
        <f t="shared" si="25"/>
        <v>2277.185599135355</v>
      </c>
      <c r="AC54" s="597">
        <f t="shared" si="26"/>
        <v>100521803.90263198</v>
      </c>
      <c r="AD54" s="597">
        <f t="shared" si="27"/>
        <v>1067.1670600595085</v>
      </c>
      <c r="AE54" s="598">
        <f t="shared" si="20"/>
        <v>2277.185599135355</v>
      </c>
      <c r="AF54" s="572">
        <f t="shared" si="21"/>
        <v>912.25537931034467</v>
      </c>
      <c r="AG54" s="572">
        <f t="shared" si="22"/>
        <v>2.647783251231527E-2</v>
      </c>
      <c r="AH54" s="600">
        <f t="shared" si="23"/>
        <v>2.2687997625718565E-6</v>
      </c>
      <c r="AI54" s="559" t="s">
        <v>578</v>
      </c>
      <c r="AJ54" s="559"/>
    </row>
    <row r="55" spans="1:36" ht="14.4" x14ac:dyDescent="0.3">
      <c r="A55" s="560" t="s">
        <v>568</v>
      </c>
      <c r="B55" s="557" t="str">
        <f t="shared" si="24"/>
        <v>1980s</v>
      </c>
      <c r="C55" s="561">
        <v>1990</v>
      </c>
      <c r="D55" s="562">
        <f t="shared" si="1"/>
        <v>1986</v>
      </c>
      <c r="E55" s="563">
        <f t="shared" si="2"/>
        <v>1989</v>
      </c>
      <c r="F55" s="586">
        <f t="shared" si="3"/>
        <v>49754</v>
      </c>
      <c r="G55" s="587">
        <f t="shared" si="4"/>
        <v>51639</v>
      </c>
      <c r="H55" s="587">
        <f t="shared" si="5"/>
        <v>51466</v>
      </c>
      <c r="I55" s="2121">
        <f t="shared" si="6"/>
        <v>8613.387999999999</v>
      </c>
      <c r="J55" s="2125">
        <f t="shared" si="7"/>
        <v>0.19512466302698048</v>
      </c>
      <c r="K55" s="590">
        <f t="shared" si="8"/>
        <v>12393</v>
      </c>
      <c r="L55" s="591">
        <f t="shared" si="17"/>
        <v>10076.042474050244</v>
      </c>
      <c r="M55" s="589">
        <f t="shared" si="28"/>
        <v>8613.387999999999</v>
      </c>
      <c r="N55" s="591">
        <f t="shared" si="29"/>
        <v>444786742.93199992</v>
      </c>
      <c r="O55" s="569">
        <f t="shared" si="9"/>
        <v>1.9365208466469142E-5</v>
      </c>
      <c r="P55" s="592">
        <f t="shared" si="10"/>
        <v>0.19512466302698048</v>
      </c>
      <c r="Q55" s="571">
        <f t="shared" si="11"/>
        <v>0.18606498026300422</v>
      </c>
      <c r="R55" s="572">
        <f t="shared" si="12"/>
        <v>0.25</v>
      </c>
      <c r="S55" s="573">
        <f t="shared" si="13"/>
        <v>8.9495977927175216E-2</v>
      </c>
      <c r="T55" s="574">
        <v>2.1</v>
      </c>
      <c r="U55" s="557">
        <f t="shared" si="14"/>
        <v>4.0000000000000009</v>
      </c>
      <c r="V55" s="575">
        <f t="shared" si="15"/>
        <v>2</v>
      </c>
      <c r="W55" s="594">
        <v>1.9E-2</v>
      </c>
      <c r="X55" s="595">
        <f t="shared" si="18"/>
        <v>981.14099999999996</v>
      </c>
      <c r="Y55" s="594">
        <v>2.4630541871921183E-2</v>
      </c>
      <c r="Z55" s="596">
        <f t="shared" si="19"/>
        <v>235.46699999999998</v>
      </c>
      <c r="AA55" s="2326" t="s">
        <v>1330</v>
      </c>
      <c r="AB55" s="597">
        <f t="shared" si="25"/>
        <v>191.44480700695462</v>
      </c>
      <c r="AC55" s="597">
        <f t="shared" si="26"/>
        <v>8450948.1157079991</v>
      </c>
      <c r="AD55" s="597">
        <f t="shared" si="27"/>
        <v>248.17838606035085</v>
      </c>
      <c r="AE55" s="598">
        <f t="shared" si="20"/>
        <v>191.44480700695462</v>
      </c>
      <c r="AF55" s="572">
        <f t="shared" si="21"/>
        <v>212.15241379310342</v>
      </c>
      <c r="AG55" s="572">
        <f t="shared" si="22"/>
        <v>6.1576354679802959E-3</v>
      </c>
      <c r="AH55" s="600">
        <f t="shared" si="23"/>
        <v>6.2759944472611949E-6</v>
      </c>
      <c r="AI55" s="559" t="s">
        <v>578</v>
      </c>
      <c r="AJ55" s="559"/>
    </row>
    <row r="56" spans="1:36" ht="14.4" x14ac:dyDescent="0.3">
      <c r="A56" s="560" t="s">
        <v>568</v>
      </c>
      <c r="B56" s="557" t="str">
        <f t="shared" si="24"/>
        <v>1980s</v>
      </c>
      <c r="C56" s="561">
        <v>1990</v>
      </c>
      <c r="D56" s="562">
        <f t="shared" si="1"/>
        <v>1985</v>
      </c>
      <c r="E56" s="563">
        <f t="shared" si="2"/>
        <v>1988</v>
      </c>
      <c r="F56" s="586">
        <f t="shared" si="3"/>
        <v>49754</v>
      </c>
      <c r="G56" s="587">
        <f t="shared" si="4"/>
        <v>51639</v>
      </c>
      <c r="H56" s="587">
        <f t="shared" si="5"/>
        <v>51466</v>
      </c>
      <c r="I56" s="2121">
        <f t="shared" si="6"/>
        <v>8613.387999999999</v>
      </c>
      <c r="J56" s="2125">
        <f t="shared" si="7"/>
        <v>0.19512466302698048</v>
      </c>
      <c r="K56" s="590">
        <f t="shared" si="8"/>
        <v>12393</v>
      </c>
      <c r="L56" s="591">
        <f t="shared" si="17"/>
        <v>10076.042474050244</v>
      </c>
      <c r="M56" s="589">
        <f t="shared" si="28"/>
        <v>8613.387999999999</v>
      </c>
      <c r="N56" s="591">
        <f t="shared" si="29"/>
        <v>444786742.93199992</v>
      </c>
      <c r="O56" s="569">
        <f t="shared" si="9"/>
        <v>1.9365208466469142E-5</v>
      </c>
      <c r="P56" s="592">
        <f t="shared" si="10"/>
        <v>0.19512466302698048</v>
      </c>
      <c r="Q56" s="571">
        <f t="shared" si="11"/>
        <v>0.18606498026300422</v>
      </c>
      <c r="R56" s="572">
        <f t="shared" si="12"/>
        <v>0.25</v>
      </c>
      <c r="S56" s="573">
        <f t="shared" si="13"/>
        <v>8.9495977927175216E-2</v>
      </c>
      <c r="T56" s="574">
        <v>2.2000000000000002</v>
      </c>
      <c r="U56" s="557">
        <f t="shared" si="14"/>
        <v>5.0000000000000018</v>
      </c>
      <c r="V56" s="575">
        <f t="shared" si="15"/>
        <v>2</v>
      </c>
      <c r="W56" s="594">
        <v>3.5000000000000003E-2</v>
      </c>
      <c r="X56" s="595">
        <f t="shared" si="18"/>
        <v>1807.3650000000002</v>
      </c>
      <c r="Y56" s="594">
        <v>2.9556650246305417E-2</v>
      </c>
      <c r="Z56" s="596">
        <f t="shared" si="19"/>
        <v>433.75500000000005</v>
      </c>
      <c r="AA56" s="2326" t="s">
        <v>1330</v>
      </c>
      <c r="AB56" s="597">
        <f t="shared" si="25"/>
        <v>352.66148659175855</v>
      </c>
      <c r="AC56" s="597">
        <f t="shared" si="26"/>
        <v>15567536.002619999</v>
      </c>
      <c r="AD56" s="597">
        <f t="shared" si="27"/>
        <v>297.81406327242098</v>
      </c>
      <c r="AE56" s="598">
        <f t="shared" si="20"/>
        <v>352.66148659175855</v>
      </c>
      <c r="AF56" s="572">
        <f t="shared" si="21"/>
        <v>254.5828965517241</v>
      </c>
      <c r="AG56" s="572">
        <f t="shared" si="22"/>
        <v>7.3891625615763543E-3</v>
      </c>
      <c r="AH56" s="600">
        <f t="shared" si="23"/>
        <v>4.0883620970730063E-6</v>
      </c>
      <c r="AI56" s="559" t="s">
        <v>578</v>
      </c>
      <c r="AJ56" s="559"/>
    </row>
    <row r="57" spans="1:36" ht="14.4" x14ac:dyDescent="0.3">
      <c r="A57" s="560" t="s">
        <v>568</v>
      </c>
      <c r="B57" s="557" t="str">
        <f t="shared" si="24"/>
        <v>1980s</v>
      </c>
      <c r="C57" s="561">
        <v>1990</v>
      </c>
      <c r="D57" s="562">
        <f t="shared" si="1"/>
        <v>1984</v>
      </c>
      <c r="E57" s="563">
        <f t="shared" si="2"/>
        <v>1987</v>
      </c>
      <c r="F57" s="586">
        <f t="shared" si="3"/>
        <v>49754</v>
      </c>
      <c r="G57" s="587">
        <f t="shared" si="4"/>
        <v>51639</v>
      </c>
      <c r="H57" s="587">
        <f t="shared" si="5"/>
        <v>51466</v>
      </c>
      <c r="I57" s="2121">
        <f t="shared" si="6"/>
        <v>8613.387999999999</v>
      </c>
      <c r="J57" s="2125">
        <f t="shared" si="7"/>
        <v>0.19512466302698048</v>
      </c>
      <c r="K57" s="590">
        <f t="shared" si="8"/>
        <v>12393</v>
      </c>
      <c r="L57" s="591">
        <f t="shared" si="17"/>
        <v>10076.042474050244</v>
      </c>
      <c r="M57" s="589">
        <f t="shared" si="28"/>
        <v>8613.387999999999</v>
      </c>
      <c r="N57" s="591">
        <f t="shared" si="29"/>
        <v>444786742.93199992</v>
      </c>
      <c r="O57" s="569">
        <f t="shared" si="9"/>
        <v>1.9365208466469142E-5</v>
      </c>
      <c r="P57" s="592">
        <f t="shared" si="10"/>
        <v>0.19512466302698048</v>
      </c>
      <c r="Q57" s="571">
        <f t="shared" si="11"/>
        <v>0.18606498026300422</v>
      </c>
      <c r="R57" s="572">
        <f t="shared" si="12"/>
        <v>0.25</v>
      </c>
      <c r="S57" s="573">
        <f t="shared" si="13"/>
        <v>8.9495977927175216E-2</v>
      </c>
      <c r="T57" s="574">
        <v>2.2999999999999998</v>
      </c>
      <c r="U57" s="557">
        <f t="shared" si="14"/>
        <v>5.9999999999999982</v>
      </c>
      <c r="V57" s="575">
        <f t="shared" si="15"/>
        <v>2</v>
      </c>
      <c r="W57" s="594">
        <v>6.0000000000000001E-3</v>
      </c>
      <c r="X57" s="595">
        <f t="shared" si="18"/>
        <v>309.834</v>
      </c>
      <c r="Y57" s="594">
        <v>5.6650246305418716E-3</v>
      </c>
      <c r="Z57" s="596">
        <f t="shared" si="19"/>
        <v>74.358000000000004</v>
      </c>
      <c r="AA57" s="2326" t="s">
        <v>1330</v>
      </c>
      <c r="AB57" s="597">
        <f t="shared" si="25"/>
        <v>60.456254844301462</v>
      </c>
      <c r="AC57" s="597">
        <f t="shared" si="26"/>
        <v>2668720.4575919998</v>
      </c>
      <c r="AD57" s="597">
        <f t="shared" si="27"/>
        <v>57.081028793880691</v>
      </c>
      <c r="AE57" s="598">
        <f t="shared" si="20"/>
        <v>60.456254844301462</v>
      </c>
      <c r="AF57" s="572">
        <f t="shared" si="21"/>
        <v>48.795055172413782</v>
      </c>
      <c r="AG57" s="599">
        <f t="shared" si="22"/>
        <v>1.4162561576354679E-3</v>
      </c>
      <c r="AH57" s="600">
        <f t="shared" si="23"/>
        <v>4.5710159557552361E-6</v>
      </c>
      <c r="AI57" s="559" t="s">
        <v>578</v>
      </c>
      <c r="AJ57" s="559"/>
    </row>
    <row r="58" spans="1:36" ht="14.4" x14ac:dyDescent="0.3">
      <c r="A58" s="560" t="s">
        <v>568</v>
      </c>
      <c r="B58" s="557" t="str">
        <f t="shared" si="24"/>
        <v>1990s</v>
      </c>
      <c r="C58" s="561">
        <v>1991</v>
      </c>
      <c r="D58" s="562">
        <f t="shared" si="1"/>
        <v>1988</v>
      </c>
      <c r="E58" s="563">
        <f t="shared" si="2"/>
        <v>1990</v>
      </c>
      <c r="F58" s="586">
        <f t="shared" si="3"/>
        <v>76484</v>
      </c>
      <c r="G58" s="587">
        <f t="shared" si="4"/>
        <v>79540</v>
      </c>
      <c r="H58" s="587">
        <f t="shared" si="5"/>
        <v>79537</v>
      </c>
      <c r="I58" s="2121">
        <f t="shared" si="6"/>
        <v>31118.679999999997</v>
      </c>
      <c r="J58" s="2125">
        <f t="shared" si="7"/>
        <v>0.50095268758350897</v>
      </c>
      <c r="K58" s="590">
        <f t="shared" si="8"/>
        <v>39765</v>
      </c>
      <c r="L58" s="591">
        <f t="shared" si="17"/>
        <v>39845.776770392302</v>
      </c>
      <c r="M58" s="589">
        <f t="shared" si="28"/>
        <v>31118.679999999997</v>
      </c>
      <c r="N58" s="591">
        <f t="shared" si="29"/>
        <v>2475179807.1999998</v>
      </c>
      <c r="O58" s="569">
        <f t="shared" si="9"/>
        <v>1.2572290671360322E-4</v>
      </c>
      <c r="P58" s="592">
        <f t="shared" si="10"/>
        <v>0.50095268758350897</v>
      </c>
      <c r="Q58" s="571">
        <f t="shared" si="11"/>
        <v>0.44221024692351002</v>
      </c>
      <c r="R58" s="572">
        <f t="shared" si="12"/>
        <v>0.53000000000000014</v>
      </c>
      <c r="S58" s="573">
        <f t="shared" si="13"/>
        <v>0.17774117706224776</v>
      </c>
      <c r="T58" s="574">
        <v>1.1000000000000001</v>
      </c>
      <c r="U58" s="557">
        <f t="shared" si="14"/>
        <v>3.0000000000000009</v>
      </c>
      <c r="V58" s="575">
        <f t="shared" si="15"/>
        <v>1</v>
      </c>
      <c r="W58" s="594">
        <v>0.154</v>
      </c>
      <c r="X58" s="595">
        <f t="shared" si="18"/>
        <v>12249.16</v>
      </c>
      <c r="Y58" s="594">
        <v>0.14497041420118342</v>
      </c>
      <c r="Z58" s="596">
        <f t="shared" si="19"/>
        <v>6123.8099999999995</v>
      </c>
      <c r="AA58" s="2326" t="s">
        <v>1330</v>
      </c>
      <c r="AB58" s="597">
        <f t="shared" si="25"/>
        <v>6136.2496226404146</v>
      </c>
      <c r="AC58" s="597">
        <f t="shared" si="26"/>
        <v>381177690.30879998</v>
      </c>
      <c r="AD58" s="597">
        <f t="shared" si="27"/>
        <v>5776.4587625716649</v>
      </c>
      <c r="AE58" s="598">
        <f t="shared" si="20"/>
        <v>6136.2496226404146</v>
      </c>
      <c r="AF58" s="572">
        <f t="shared" si="21"/>
        <v>4511.287928994082</v>
      </c>
      <c r="AG58" s="599">
        <f t="shared" si="22"/>
        <v>7.683431952662724E-2</v>
      </c>
      <c r="AH58" s="600">
        <f t="shared" si="23"/>
        <v>6.2726194715904801E-6</v>
      </c>
      <c r="AI58" s="559" t="s">
        <v>579</v>
      </c>
      <c r="AJ58" s="559"/>
    </row>
    <row r="59" spans="1:36" ht="14.4" x14ac:dyDescent="0.3">
      <c r="A59" s="560" t="s">
        <v>568</v>
      </c>
      <c r="B59" s="557" t="str">
        <f t="shared" si="24"/>
        <v>1980s</v>
      </c>
      <c r="C59" s="561">
        <v>1991</v>
      </c>
      <c r="D59" s="562">
        <f t="shared" si="1"/>
        <v>1987</v>
      </c>
      <c r="E59" s="563">
        <f t="shared" si="2"/>
        <v>1989</v>
      </c>
      <c r="F59" s="586">
        <f t="shared" si="3"/>
        <v>76484</v>
      </c>
      <c r="G59" s="587">
        <f t="shared" si="4"/>
        <v>79540</v>
      </c>
      <c r="H59" s="587">
        <f t="shared" si="5"/>
        <v>79537</v>
      </c>
      <c r="I59" s="2121">
        <f t="shared" si="6"/>
        <v>31118.679999999997</v>
      </c>
      <c r="J59" s="2125">
        <f t="shared" si="7"/>
        <v>0.50095268758350897</v>
      </c>
      <c r="K59" s="590">
        <f t="shared" si="8"/>
        <v>39765</v>
      </c>
      <c r="L59" s="591">
        <f t="shared" si="17"/>
        <v>39845.776770392302</v>
      </c>
      <c r="M59" s="589">
        <f t="shared" si="28"/>
        <v>31118.679999999997</v>
      </c>
      <c r="N59" s="591">
        <f t="shared" si="29"/>
        <v>2475179807.1999998</v>
      </c>
      <c r="O59" s="569">
        <f t="shared" si="9"/>
        <v>1.2572290671360322E-4</v>
      </c>
      <c r="P59" s="592">
        <f t="shared" si="10"/>
        <v>0.50095268758350897</v>
      </c>
      <c r="Q59" s="571">
        <f t="shared" si="11"/>
        <v>0.44221024692351002</v>
      </c>
      <c r="R59" s="572">
        <f t="shared" si="12"/>
        <v>0.53000000000000014</v>
      </c>
      <c r="S59" s="573">
        <f t="shared" si="13"/>
        <v>0.17774117706224776</v>
      </c>
      <c r="T59" s="574">
        <v>1.2</v>
      </c>
      <c r="U59" s="557">
        <f t="shared" si="14"/>
        <v>3.9999999999999996</v>
      </c>
      <c r="V59" s="575">
        <f t="shared" si="15"/>
        <v>1</v>
      </c>
      <c r="W59" s="594">
        <v>0.76</v>
      </c>
      <c r="X59" s="595">
        <f t="shared" si="18"/>
        <v>60450.400000000001</v>
      </c>
      <c r="Y59" s="594">
        <v>0.78402366863905326</v>
      </c>
      <c r="Z59" s="596">
        <f t="shared" si="19"/>
        <v>30221.4</v>
      </c>
      <c r="AA59" s="2326" t="s">
        <v>1330</v>
      </c>
      <c r="AB59" s="597">
        <f t="shared" si="25"/>
        <v>30282.79034549815</v>
      </c>
      <c r="AC59" s="597">
        <f t="shared" si="26"/>
        <v>1881136653.4719999</v>
      </c>
      <c r="AD59" s="597">
        <f t="shared" si="27"/>
        <v>31240.03208329574</v>
      </c>
      <c r="AE59" s="598">
        <f t="shared" si="20"/>
        <v>30282.79034549815</v>
      </c>
      <c r="AF59" s="572">
        <f t="shared" si="21"/>
        <v>24397.781656804731</v>
      </c>
      <c r="AG59" s="572">
        <f t="shared" si="22"/>
        <v>0.41553254437869835</v>
      </c>
      <c r="AH59" s="600">
        <f t="shared" si="23"/>
        <v>6.873942014919642E-6</v>
      </c>
      <c r="AI59" s="559" t="s">
        <v>579</v>
      </c>
      <c r="AJ59" s="559"/>
    </row>
    <row r="60" spans="1:36" ht="14.4" x14ac:dyDescent="0.3">
      <c r="A60" s="560" t="s">
        <v>568</v>
      </c>
      <c r="B60" s="557" t="str">
        <f t="shared" si="24"/>
        <v>1980s</v>
      </c>
      <c r="C60" s="561">
        <v>1991</v>
      </c>
      <c r="D60" s="562">
        <f t="shared" si="1"/>
        <v>1986</v>
      </c>
      <c r="E60" s="563">
        <f t="shared" si="2"/>
        <v>1988</v>
      </c>
      <c r="F60" s="586">
        <f t="shared" si="3"/>
        <v>76484</v>
      </c>
      <c r="G60" s="587">
        <f t="shared" si="4"/>
        <v>79540</v>
      </c>
      <c r="H60" s="587">
        <f t="shared" si="5"/>
        <v>79537</v>
      </c>
      <c r="I60" s="2121">
        <f t="shared" si="6"/>
        <v>31118.679999999997</v>
      </c>
      <c r="J60" s="2125">
        <f t="shared" si="7"/>
        <v>0.50095268758350897</v>
      </c>
      <c r="K60" s="590">
        <f t="shared" si="8"/>
        <v>39765</v>
      </c>
      <c r="L60" s="591">
        <f t="shared" si="17"/>
        <v>39845.776770392302</v>
      </c>
      <c r="M60" s="589">
        <f t="shared" si="28"/>
        <v>31118.679999999997</v>
      </c>
      <c r="N60" s="591">
        <f t="shared" si="29"/>
        <v>2475179807.1999998</v>
      </c>
      <c r="O60" s="569">
        <f t="shared" si="9"/>
        <v>1.2572290671360322E-4</v>
      </c>
      <c r="P60" s="592">
        <f t="shared" si="10"/>
        <v>0.50095268758350897</v>
      </c>
      <c r="Q60" s="571">
        <f t="shared" si="11"/>
        <v>0.44221024692351002</v>
      </c>
      <c r="R60" s="572">
        <f t="shared" si="12"/>
        <v>0.53000000000000014</v>
      </c>
      <c r="S60" s="573">
        <f t="shared" si="13"/>
        <v>0.17774117706224776</v>
      </c>
      <c r="T60" s="574">
        <v>1.3</v>
      </c>
      <c r="U60" s="557">
        <f t="shared" si="14"/>
        <v>5</v>
      </c>
      <c r="V60" s="575">
        <f t="shared" si="15"/>
        <v>1</v>
      </c>
      <c r="W60" s="594">
        <v>1.4999999999999999E-2</v>
      </c>
      <c r="X60" s="595">
        <f t="shared" si="18"/>
        <v>1193.0999999999999</v>
      </c>
      <c r="Y60" s="594">
        <v>1.7751479289940829E-2</v>
      </c>
      <c r="Z60" s="596">
        <f t="shared" si="19"/>
        <v>596.47500000000002</v>
      </c>
      <c r="AA60" s="2326" t="s">
        <v>1330</v>
      </c>
      <c r="AB60" s="597">
        <f t="shared" si="25"/>
        <v>597.68665155588451</v>
      </c>
      <c r="AC60" s="597">
        <f t="shared" si="26"/>
        <v>37127697.107999995</v>
      </c>
      <c r="AD60" s="597">
        <f t="shared" si="27"/>
        <v>707.32148113122435</v>
      </c>
      <c r="AE60" s="598">
        <f t="shared" si="20"/>
        <v>597.68665155588451</v>
      </c>
      <c r="AF60" s="572">
        <f t="shared" si="21"/>
        <v>552.40260355029579</v>
      </c>
      <c r="AG60" s="572">
        <f t="shared" si="22"/>
        <v>9.4082840236686411E-3</v>
      </c>
      <c r="AH60" s="600">
        <f t="shared" si="23"/>
        <v>7.8855787642851748E-6</v>
      </c>
      <c r="AI60" s="559" t="s">
        <v>579</v>
      </c>
      <c r="AJ60" s="559"/>
    </row>
    <row r="61" spans="1:36" ht="14.4" x14ac:dyDescent="0.3">
      <c r="A61" s="560" t="s">
        <v>568</v>
      </c>
      <c r="B61" s="557" t="str">
        <f t="shared" si="24"/>
        <v>1990s</v>
      </c>
      <c r="C61" s="561">
        <v>1991</v>
      </c>
      <c r="D61" s="562">
        <f t="shared" si="1"/>
        <v>1987</v>
      </c>
      <c r="E61" s="563">
        <f t="shared" si="2"/>
        <v>1990</v>
      </c>
      <c r="F61" s="586">
        <f t="shared" si="3"/>
        <v>76484</v>
      </c>
      <c r="G61" s="587">
        <f t="shared" si="4"/>
        <v>79540</v>
      </c>
      <c r="H61" s="587">
        <f t="shared" si="5"/>
        <v>79537</v>
      </c>
      <c r="I61" s="2121">
        <f t="shared" si="6"/>
        <v>31118.679999999997</v>
      </c>
      <c r="J61" s="2125">
        <f t="shared" si="7"/>
        <v>0.50095268758350897</v>
      </c>
      <c r="K61" s="590">
        <f t="shared" si="8"/>
        <v>39765</v>
      </c>
      <c r="L61" s="591">
        <f t="shared" si="17"/>
        <v>39845.776770392302</v>
      </c>
      <c r="M61" s="589">
        <f t="shared" si="28"/>
        <v>31118.679999999997</v>
      </c>
      <c r="N61" s="591">
        <f t="shared" si="29"/>
        <v>2475179807.1999998</v>
      </c>
      <c r="O61" s="569">
        <f t="shared" si="9"/>
        <v>1.2572290671360322E-4</v>
      </c>
      <c r="P61" s="592">
        <f t="shared" si="10"/>
        <v>0.50095268758350897</v>
      </c>
      <c r="Q61" s="571">
        <f t="shared" si="11"/>
        <v>0.44221024692351002</v>
      </c>
      <c r="R61" s="572">
        <f t="shared" si="12"/>
        <v>0.53000000000000014</v>
      </c>
      <c r="S61" s="573">
        <f t="shared" si="13"/>
        <v>0.17774117706224776</v>
      </c>
      <c r="T61" s="574">
        <v>2.1</v>
      </c>
      <c r="U61" s="557">
        <f t="shared" si="14"/>
        <v>4.0000000000000009</v>
      </c>
      <c r="V61" s="575">
        <f t="shared" si="15"/>
        <v>2</v>
      </c>
      <c r="W61" s="594">
        <v>6.7000000000000004E-2</v>
      </c>
      <c r="X61" s="595">
        <f t="shared" si="18"/>
        <v>5329.18</v>
      </c>
      <c r="Y61" s="594">
        <v>5.0295857988165681E-2</v>
      </c>
      <c r="Z61" s="596">
        <f t="shared" si="19"/>
        <v>2664.2550000000001</v>
      </c>
      <c r="AA61" s="2326" t="s">
        <v>1330</v>
      </c>
      <c r="AB61" s="597">
        <f t="shared" si="25"/>
        <v>2669.6670436162844</v>
      </c>
      <c r="AC61" s="597">
        <f t="shared" si="26"/>
        <v>165837047.08239999</v>
      </c>
      <c r="AD61" s="597">
        <f t="shared" si="27"/>
        <v>2004.0775298718022</v>
      </c>
      <c r="AE61" s="598">
        <f t="shared" si="20"/>
        <v>2669.6670436162844</v>
      </c>
      <c r="AF61" s="572">
        <f t="shared" si="21"/>
        <v>1565.1407100591714</v>
      </c>
      <c r="AG61" s="572">
        <f t="shared" si="22"/>
        <v>2.6656804733727817E-2</v>
      </c>
      <c r="AH61" s="600">
        <f t="shared" si="23"/>
        <v>5.0020462310764162E-6</v>
      </c>
      <c r="AI61" s="559" t="s">
        <v>579</v>
      </c>
      <c r="AJ61" s="559"/>
    </row>
    <row r="62" spans="1:36" ht="14.4" x14ac:dyDescent="0.3">
      <c r="A62" s="560" t="s">
        <v>568</v>
      </c>
      <c r="B62" s="557" t="str">
        <f t="shared" si="24"/>
        <v>1980s</v>
      </c>
      <c r="C62" s="561">
        <v>1991</v>
      </c>
      <c r="D62" s="562">
        <f t="shared" si="1"/>
        <v>1986</v>
      </c>
      <c r="E62" s="563">
        <f t="shared" si="2"/>
        <v>1989</v>
      </c>
      <c r="F62" s="586">
        <f t="shared" si="3"/>
        <v>76484</v>
      </c>
      <c r="G62" s="587">
        <f t="shared" si="4"/>
        <v>79540</v>
      </c>
      <c r="H62" s="587">
        <f t="shared" si="5"/>
        <v>79537</v>
      </c>
      <c r="I62" s="2121">
        <f t="shared" si="6"/>
        <v>31118.679999999997</v>
      </c>
      <c r="J62" s="2125">
        <f t="shared" si="7"/>
        <v>0.50095268758350897</v>
      </c>
      <c r="K62" s="590">
        <f t="shared" si="8"/>
        <v>39765</v>
      </c>
      <c r="L62" s="591">
        <f t="shared" si="17"/>
        <v>39845.776770392302</v>
      </c>
      <c r="M62" s="589">
        <f t="shared" si="28"/>
        <v>31118.679999999997</v>
      </c>
      <c r="N62" s="591">
        <f t="shared" si="29"/>
        <v>2475179807.1999998</v>
      </c>
      <c r="O62" s="569">
        <f t="shared" si="9"/>
        <v>1.2572290671360322E-4</v>
      </c>
      <c r="P62" s="592">
        <f t="shared" si="10"/>
        <v>0.50095268758350897</v>
      </c>
      <c r="Q62" s="571">
        <f t="shared" si="11"/>
        <v>0.44221024692351002</v>
      </c>
      <c r="R62" s="572">
        <f t="shared" si="12"/>
        <v>0.53000000000000014</v>
      </c>
      <c r="S62" s="573">
        <f t="shared" si="13"/>
        <v>0.17774117706224776</v>
      </c>
      <c r="T62" s="574">
        <v>2.2000000000000002</v>
      </c>
      <c r="U62" s="557">
        <f t="shared" si="14"/>
        <v>5.0000000000000018</v>
      </c>
      <c r="V62" s="575">
        <f t="shared" si="15"/>
        <v>2</v>
      </c>
      <c r="W62" s="594">
        <v>1E-3</v>
      </c>
      <c r="X62" s="595">
        <f t="shared" si="18"/>
        <v>79.540000000000006</v>
      </c>
      <c r="Y62" s="594">
        <v>2.9585798816568047E-3</v>
      </c>
      <c r="Z62" s="596">
        <f t="shared" si="19"/>
        <v>39.765000000000001</v>
      </c>
      <c r="AA62" s="2326" t="s">
        <v>1330</v>
      </c>
      <c r="AB62" s="597">
        <f t="shared" si="25"/>
        <v>39.845776770392305</v>
      </c>
      <c r="AC62" s="597">
        <f t="shared" si="26"/>
        <v>2475179.8071999997</v>
      </c>
      <c r="AD62" s="597">
        <f t="shared" si="27"/>
        <v>117.88691352187071</v>
      </c>
      <c r="AE62" s="598">
        <f t="shared" si="20"/>
        <v>39.845776770392305</v>
      </c>
      <c r="AF62" s="572">
        <f t="shared" si="21"/>
        <v>92.06710059171597</v>
      </c>
      <c r="AG62" s="572">
        <f t="shared" si="22"/>
        <v>1.5680473372781068E-3</v>
      </c>
      <c r="AH62" s="600">
        <f t="shared" si="23"/>
        <v>1.9713946910712932E-5</v>
      </c>
      <c r="AI62" s="559" t="s">
        <v>579</v>
      </c>
      <c r="AJ62" s="559"/>
    </row>
    <row r="63" spans="1:36" ht="14.4" x14ac:dyDescent="0.3">
      <c r="A63" s="560" t="s">
        <v>568</v>
      </c>
      <c r="B63" s="557" t="str">
        <f t="shared" si="24"/>
        <v>1980s</v>
      </c>
      <c r="C63" s="561">
        <v>1991</v>
      </c>
      <c r="D63" s="562">
        <f>C62-U62</f>
        <v>1986</v>
      </c>
      <c r="E63" s="563">
        <f>C62-(T62-INT(T62))*10</f>
        <v>1989</v>
      </c>
      <c r="F63" s="586">
        <f t="shared" si="3"/>
        <v>76484</v>
      </c>
      <c r="G63" s="587">
        <f t="shared" si="4"/>
        <v>79540</v>
      </c>
      <c r="H63" s="587">
        <f t="shared" si="5"/>
        <v>79537</v>
      </c>
      <c r="I63" s="2121">
        <f t="shared" si="6"/>
        <v>31118.679999999997</v>
      </c>
      <c r="J63" s="2125">
        <f t="shared" si="7"/>
        <v>0.50095268758350897</v>
      </c>
      <c r="K63" s="590">
        <f t="shared" si="8"/>
        <v>39765</v>
      </c>
      <c r="L63" s="591">
        <f t="shared" si="17"/>
        <v>39845.776770392302</v>
      </c>
      <c r="M63" s="589">
        <f t="shared" si="28"/>
        <v>31118.679999999997</v>
      </c>
      <c r="N63" s="591">
        <f t="shared" si="29"/>
        <v>2475179807.1999998</v>
      </c>
      <c r="O63" s="569">
        <f t="shared" si="9"/>
        <v>1.2572290671360322E-4</v>
      </c>
      <c r="P63" s="592">
        <f t="shared" si="10"/>
        <v>0.50095268758350897</v>
      </c>
      <c r="Q63" s="571">
        <f t="shared" si="11"/>
        <v>0.44221024692351002</v>
      </c>
      <c r="R63" s="572">
        <f t="shared" si="12"/>
        <v>0.53000000000000014</v>
      </c>
      <c r="S63" s="573">
        <f t="shared" si="13"/>
        <v>0.17774117706224776</v>
      </c>
      <c r="T63" s="574">
        <v>2.2999999999999998</v>
      </c>
      <c r="U63" s="557">
        <f t="shared" si="14"/>
        <v>5.9999999999999982</v>
      </c>
      <c r="V63" s="575">
        <f t="shared" si="15"/>
        <v>2</v>
      </c>
      <c r="W63" s="594">
        <v>3.0000000000000001E-3</v>
      </c>
      <c r="X63" s="595">
        <f t="shared" si="18"/>
        <v>238.62</v>
      </c>
      <c r="Y63" s="594">
        <v>1.7751479289940801E-2</v>
      </c>
      <c r="Z63" s="596">
        <f t="shared" si="19"/>
        <v>119.295</v>
      </c>
      <c r="AA63" s="2326" t="s">
        <v>1330</v>
      </c>
      <c r="AB63" s="597">
        <f t="shared" si="25"/>
        <v>119.5373303111769</v>
      </c>
      <c r="AC63" s="597">
        <f t="shared" si="26"/>
        <v>7425539.4216</v>
      </c>
      <c r="AD63" s="597">
        <f t="shared" si="27"/>
        <v>707.32148113122321</v>
      </c>
      <c r="AE63" s="598">
        <f t="shared" si="20"/>
        <v>119.5373303111769</v>
      </c>
      <c r="AF63" s="572">
        <f t="shared" si="21"/>
        <v>552.402603550295</v>
      </c>
      <c r="AG63" s="572">
        <f t="shared" si="22"/>
        <v>9.4082840236686272E-3</v>
      </c>
      <c r="AH63" s="600">
        <f t="shared" si="23"/>
        <v>3.942789382142581E-5</v>
      </c>
      <c r="AI63" s="559" t="s">
        <v>579</v>
      </c>
      <c r="AJ63" s="559"/>
    </row>
    <row r="64" spans="1:36" ht="14.4" x14ac:dyDescent="0.3">
      <c r="A64" s="560" t="s">
        <v>568</v>
      </c>
      <c r="B64" s="557" t="str">
        <f t="shared" si="24"/>
        <v>1990s</v>
      </c>
      <c r="C64" s="561">
        <v>1992</v>
      </c>
      <c r="D64" s="562">
        <f t="shared" ref="D64:D127" si="30">C64-U64</f>
        <v>1989</v>
      </c>
      <c r="E64" s="563">
        <f t="shared" ref="E64:E127" si="31">C64-(T64-INT(T64))*10</f>
        <v>1991</v>
      </c>
      <c r="F64" s="586">
        <f t="shared" si="3"/>
        <v>85000</v>
      </c>
      <c r="G64" s="587">
        <f t="shared" si="4"/>
        <v>88427</v>
      </c>
      <c r="H64" s="587">
        <f t="shared" si="5"/>
        <v>88419</v>
      </c>
      <c r="I64" s="2121">
        <f t="shared" si="6"/>
        <v>47488.531999999992</v>
      </c>
      <c r="J64" s="2125">
        <f t="shared" si="7"/>
        <v>0.69469319328837453</v>
      </c>
      <c r="K64" s="590">
        <f t="shared" si="8"/>
        <v>60990</v>
      </c>
      <c r="L64" s="591">
        <f t="shared" si="17"/>
        <v>61429.635002911098</v>
      </c>
      <c r="M64" s="589">
        <f t="shared" si="28"/>
        <v>47488.531999999992</v>
      </c>
      <c r="N64" s="591">
        <f t="shared" si="29"/>
        <v>4199268419.1639991</v>
      </c>
      <c r="O64" s="569">
        <f t="shared" si="9"/>
        <v>3.958067106200595E-4</v>
      </c>
      <c r="P64" s="592">
        <f t="shared" si="10"/>
        <v>0.69469319328837453</v>
      </c>
      <c r="Q64" s="571">
        <f t="shared" si="11"/>
        <v>0.58903167877886586</v>
      </c>
      <c r="R64" s="572">
        <f t="shared" si="12"/>
        <v>0.63</v>
      </c>
      <c r="S64" s="573">
        <f t="shared" si="13"/>
        <v>0.20176658862914079</v>
      </c>
      <c r="T64" s="574">
        <v>1.1000000000000001</v>
      </c>
      <c r="U64" s="557">
        <f t="shared" si="14"/>
        <v>3.0000000000000009</v>
      </c>
      <c r="V64" s="575">
        <f t="shared" si="15"/>
        <v>1</v>
      </c>
      <c r="W64" s="594">
        <v>0.16900000000000001</v>
      </c>
      <c r="X64" s="595">
        <f t="shared" si="18"/>
        <v>14944.163</v>
      </c>
      <c r="Y64" s="594">
        <v>0.182</v>
      </c>
      <c r="Z64" s="596">
        <f t="shared" si="19"/>
        <v>10307.310000000001</v>
      </c>
      <c r="AA64" s="2326" t="s">
        <v>1330</v>
      </c>
      <c r="AB64" s="597">
        <f t="shared" si="25"/>
        <v>10381.608315491976</v>
      </c>
      <c r="AC64" s="597">
        <f t="shared" si="26"/>
        <v>709676362.83871591</v>
      </c>
      <c r="AD64" s="597">
        <f t="shared" si="27"/>
        <v>11180.19357052982</v>
      </c>
      <c r="AE64" s="598">
        <f t="shared" si="20"/>
        <v>10381.608315491976</v>
      </c>
      <c r="AF64" s="572">
        <f t="shared" si="21"/>
        <v>8642.9128239999991</v>
      </c>
      <c r="AG64" s="599">
        <f t="shared" si="22"/>
        <v>0.11466</v>
      </c>
      <c r="AH64" s="600">
        <f t="shared" si="23"/>
        <v>7.6725608520196138E-6</v>
      </c>
      <c r="AI64" s="559" t="s">
        <v>580</v>
      </c>
      <c r="AJ64" s="559"/>
    </row>
    <row r="65" spans="1:36" ht="14.4" x14ac:dyDescent="0.3">
      <c r="A65" s="560" t="s">
        <v>568</v>
      </c>
      <c r="B65" s="557" t="str">
        <f t="shared" si="24"/>
        <v>1990s</v>
      </c>
      <c r="C65" s="561">
        <v>1992</v>
      </c>
      <c r="D65" s="562">
        <f t="shared" si="30"/>
        <v>1988</v>
      </c>
      <c r="E65" s="563">
        <f t="shared" si="31"/>
        <v>1990</v>
      </c>
      <c r="F65" s="586">
        <f t="shared" si="3"/>
        <v>85000</v>
      </c>
      <c r="G65" s="587">
        <f t="shared" si="4"/>
        <v>88427</v>
      </c>
      <c r="H65" s="587">
        <f t="shared" si="5"/>
        <v>88419</v>
      </c>
      <c r="I65" s="2121">
        <f t="shared" si="6"/>
        <v>47488.531999999992</v>
      </c>
      <c r="J65" s="2125">
        <f t="shared" si="7"/>
        <v>0.69469319328837453</v>
      </c>
      <c r="K65" s="590">
        <f t="shared" si="8"/>
        <v>60990</v>
      </c>
      <c r="L65" s="591">
        <f t="shared" si="17"/>
        <v>61429.635002911098</v>
      </c>
      <c r="M65" s="589">
        <f t="shared" si="28"/>
        <v>47488.531999999992</v>
      </c>
      <c r="N65" s="591">
        <f t="shared" si="29"/>
        <v>4199268419.1639991</v>
      </c>
      <c r="O65" s="569">
        <f t="shared" si="9"/>
        <v>3.958067106200595E-4</v>
      </c>
      <c r="P65" s="592">
        <f t="shared" si="10"/>
        <v>0.69469319328837453</v>
      </c>
      <c r="Q65" s="571">
        <f t="shared" si="11"/>
        <v>0.58903167877886586</v>
      </c>
      <c r="R65" s="572">
        <f t="shared" si="12"/>
        <v>0.63</v>
      </c>
      <c r="S65" s="573">
        <f t="shared" si="13"/>
        <v>0.20176658862914079</v>
      </c>
      <c r="T65" s="574">
        <v>1.2</v>
      </c>
      <c r="U65" s="557">
        <f t="shared" si="14"/>
        <v>3.9999999999999996</v>
      </c>
      <c r="V65" s="575">
        <f t="shared" si="15"/>
        <v>1</v>
      </c>
      <c r="W65" s="594">
        <v>0.73299999999999998</v>
      </c>
      <c r="X65" s="595">
        <f t="shared" si="18"/>
        <v>64816.991000000002</v>
      </c>
      <c r="Y65" s="594">
        <v>0.72199999999999998</v>
      </c>
      <c r="Z65" s="596">
        <f t="shared" si="19"/>
        <v>44705.67</v>
      </c>
      <c r="AA65" s="2326" t="s">
        <v>1330</v>
      </c>
      <c r="AB65" s="597">
        <f t="shared" si="25"/>
        <v>45027.922457133835</v>
      </c>
      <c r="AC65" s="597">
        <f t="shared" si="26"/>
        <v>3078063751.2472115</v>
      </c>
      <c r="AD65" s="597">
        <f t="shared" si="27"/>
        <v>44352.196472101808</v>
      </c>
      <c r="AE65" s="598">
        <f t="shared" si="20"/>
        <v>45027.922457133835</v>
      </c>
      <c r="AF65" s="572">
        <f t="shared" si="21"/>
        <v>34286.720103999993</v>
      </c>
      <c r="AG65" s="572">
        <f t="shared" si="22"/>
        <v>0.45485999999999999</v>
      </c>
      <c r="AH65" s="600">
        <f t="shared" si="23"/>
        <v>7.0176043809253654E-6</v>
      </c>
      <c r="AI65" s="559" t="s">
        <v>580</v>
      </c>
      <c r="AJ65" s="559"/>
    </row>
    <row r="66" spans="1:36" ht="14.4" x14ac:dyDescent="0.3">
      <c r="A66" s="560" t="s">
        <v>568</v>
      </c>
      <c r="B66" s="557" t="str">
        <f t="shared" si="24"/>
        <v>1980s</v>
      </c>
      <c r="C66" s="561">
        <v>1992</v>
      </c>
      <c r="D66" s="562">
        <f t="shared" si="30"/>
        <v>1987</v>
      </c>
      <c r="E66" s="563">
        <f t="shared" si="31"/>
        <v>1989</v>
      </c>
      <c r="F66" s="586">
        <f t="shared" ref="F66:F129" si="32">VLOOKUP($C66,SockeyeReturnsData,2)</f>
        <v>85000</v>
      </c>
      <c r="G66" s="587">
        <f t="shared" ref="G66:G129" si="33">VLOOKUP($C66,SockeyeReturnsData,3)</f>
        <v>88427</v>
      </c>
      <c r="H66" s="587">
        <f t="shared" ref="H66:H129" si="34">VLOOKUP($C66,SockeyeReturnsData,5)</f>
        <v>88419</v>
      </c>
      <c r="I66" s="2121">
        <f t="shared" ref="I66:I129" si="35">VLOOKUP($C66,SockeyeReturnsData,12)</f>
        <v>47488.531999999992</v>
      </c>
      <c r="J66" s="2125">
        <f t="shared" ref="J66:J129" si="36">VLOOKUP($C66,SockeyeReturnsData,18)</f>
        <v>0.69469319328837453</v>
      </c>
      <c r="K66" s="590">
        <f t="shared" ref="K66:K129" si="37">VLOOKUP($C66,SockeyeReturnsData,30)</f>
        <v>60990</v>
      </c>
      <c r="L66" s="591">
        <f t="shared" si="17"/>
        <v>61429.635002911098</v>
      </c>
      <c r="M66" s="589">
        <f t="shared" si="28"/>
        <v>47488.531999999992</v>
      </c>
      <c r="N66" s="591">
        <f t="shared" si="29"/>
        <v>4199268419.1639991</v>
      </c>
      <c r="O66" s="569">
        <f t="shared" ref="O66:O129" si="38">VLOOKUP($C66,SockeyeReturnsData,6)/G66</f>
        <v>3.958067106200595E-4</v>
      </c>
      <c r="P66" s="592">
        <f t="shared" ref="P66:P129" si="39">VLOOKUP($C66,SockeyeReturnsData,18)</f>
        <v>0.69469319328837453</v>
      </c>
      <c r="Q66" s="571">
        <f t="shared" ref="Q66:Q129" si="40">VLOOKUP($C66,SockeyeReturnsData,20)</f>
        <v>0.58903167877886586</v>
      </c>
      <c r="R66" s="572">
        <f t="shared" ref="R66:R129" si="41">VLOOKUP($C66,SockeyeReturnsData,19)</f>
        <v>0.63</v>
      </c>
      <c r="S66" s="573">
        <f t="shared" ref="S66:S129" si="42">VLOOKUP($C66,SockeyeReturnsData,24)</f>
        <v>0.20176658862914079</v>
      </c>
      <c r="T66" s="574">
        <v>1.3</v>
      </c>
      <c r="U66" s="557">
        <f t="shared" ref="U66:U129" si="43">INT(T66) + (T66-INT(T66))*10 + 1</f>
        <v>5</v>
      </c>
      <c r="V66" s="575">
        <f t="shared" ref="V66:V129" si="44">INT(T66)</f>
        <v>1</v>
      </c>
      <c r="W66" s="594">
        <v>1.4E-2</v>
      </c>
      <c r="X66" s="595">
        <f t="shared" si="18"/>
        <v>1237.9780000000001</v>
      </c>
      <c r="Y66" s="594">
        <v>1.6E-2</v>
      </c>
      <c r="Z66" s="596">
        <f t="shared" si="19"/>
        <v>853.86</v>
      </c>
      <c r="AA66" s="2326" t="s">
        <v>1330</v>
      </c>
      <c r="AB66" s="597">
        <f t="shared" si="25"/>
        <v>860.0148900407554</v>
      </c>
      <c r="AC66" s="597">
        <f t="shared" si="26"/>
        <v>58789757.86829599</v>
      </c>
      <c r="AD66" s="597">
        <f t="shared" si="27"/>
        <v>982.87416004657757</v>
      </c>
      <c r="AE66" s="598">
        <f t="shared" si="20"/>
        <v>860.0148900407554</v>
      </c>
      <c r="AF66" s="572">
        <f t="shared" si="21"/>
        <v>759.81651199999988</v>
      </c>
      <c r="AG66" s="572">
        <f t="shared" si="22"/>
        <v>1.008E-2</v>
      </c>
      <c r="AH66" s="600">
        <f t="shared" si="23"/>
        <v>8.1423094756126519E-6</v>
      </c>
      <c r="AI66" s="559" t="s">
        <v>580</v>
      </c>
      <c r="AJ66" s="559"/>
    </row>
    <row r="67" spans="1:36" ht="14.4" x14ac:dyDescent="0.3">
      <c r="A67" s="560" t="s">
        <v>568</v>
      </c>
      <c r="B67" s="557" t="str">
        <f t="shared" si="24"/>
        <v>1990s</v>
      </c>
      <c r="C67" s="561">
        <v>1992</v>
      </c>
      <c r="D67" s="562">
        <f t="shared" si="30"/>
        <v>1988</v>
      </c>
      <c r="E67" s="563">
        <f t="shared" si="31"/>
        <v>1991</v>
      </c>
      <c r="F67" s="586">
        <f t="shared" si="32"/>
        <v>85000</v>
      </c>
      <c r="G67" s="587">
        <f t="shared" si="33"/>
        <v>88427</v>
      </c>
      <c r="H67" s="587">
        <f t="shared" si="34"/>
        <v>88419</v>
      </c>
      <c r="I67" s="2121">
        <f t="shared" si="35"/>
        <v>47488.531999999992</v>
      </c>
      <c r="J67" s="2125">
        <f t="shared" si="36"/>
        <v>0.69469319328837453</v>
      </c>
      <c r="K67" s="590">
        <f t="shared" si="37"/>
        <v>60990</v>
      </c>
      <c r="L67" s="591">
        <f t="shared" ref="L67:L130" si="45">J67*G67</f>
        <v>61429.635002911098</v>
      </c>
      <c r="M67" s="589">
        <f t="shared" si="28"/>
        <v>47488.531999999992</v>
      </c>
      <c r="N67" s="591">
        <f t="shared" si="29"/>
        <v>4199268419.1639991</v>
      </c>
      <c r="O67" s="569">
        <f t="shared" si="38"/>
        <v>3.958067106200595E-4</v>
      </c>
      <c r="P67" s="592">
        <f t="shared" si="39"/>
        <v>0.69469319328837453</v>
      </c>
      <c r="Q67" s="571">
        <f t="shared" si="40"/>
        <v>0.58903167877886586</v>
      </c>
      <c r="R67" s="572">
        <f t="shared" si="41"/>
        <v>0.63</v>
      </c>
      <c r="S67" s="573">
        <f t="shared" si="42"/>
        <v>0.20176658862914079</v>
      </c>
      <c r="T67" s="574">
        <v>2.1</v>
      </c>
      <c r="U67" s="557">
        <f t="shared" si="43"/>
        <v>4.0000000000000009</v>
      </c>
      <c r="V67" s="575">
        <f t="shared" si="44"/>
        <v>2</v>
      </c>
      <c r="W67" s="594">
        <v>7.0000000000000007E-2</v>
      </c>
      <c r="X67" s="595">
        <f t="shared" si="18"/>
        <v>6189.89</v>
      </c>
      <c r="Y67" s="594">
        <v>6.9000000000000006E-2</v>
      </c>
      <c r="Z67" s="596">
        <f t="shared" si="19"/>
        <v>4269.3</v>
      </c>
      <c r="AA67" s="2326" t="s">
        <v>1330</v>
      </c>
      <c r="AB67" s="597">
        <f t="shared" si="25"/>
        <v>4300.0744502037769</v>
      </c>
      <c r="AC67" s="597">
        <f t="shared" si="26"/>
        <v>293948789.34147996</v>
      </c>
      <c r="AD67" s="597">
        <f t="shared" si="27"/>
        <v>4238.6448152008661</v>
      </c>
      <c r="AE67" s="598">
        <f t="shared" si="20"/>
        <v>4300.0744502037769</v>
      </c>
      <c r="AF67" s="572">
        <f t="shared" si="21"/>
        <v>3276.7087079999997</v>
      </c>
      <c r="AG67" s="572">
        <f t="shared" si="22"/>
        <v>4.3470000000000002E-2</v>
      </c>
      <c r="AH67" s="600">
        <f t="shared" si="23"/>
        <v>7.0227419227159122E-6</v>
      </c>
      <c r="AI67" s="559" t="s">
        <v>580</v>
      </c>
      <c r="AJ67" s="559"/>
    </row>
    <row r="68" spans="1:36" ht="14.4" x14ac:dyDescent="0.3">
      <c r="A68" s="560" t="s">
        <v>568</v>
      </c>
      <c r="B68" s="557" t="str">
        <f t="shared" si="24"/>
        <v>1990s</v>
      </c>
      <c r="C68" s="561">
        <v>1992</v>
      </c>
      <c r="D68" s="562">
        <f t="shared" si="30"/>
        <v>1987</v>
      </c>
      <c r="E68" s="563">
        <f t="shared" si="31"/>
        <v>1990</v>
      </c>
      <c r="F68" s="586">
        <f t="shared" si="32"/>
        <v>85000</v>
      </c>
      <c r="G68" s="587">
        <f t="shared" si="33"/>
        <v>88427</v>
      </c>
      <c r="H68" s="587">
        <f t="shared" si="34"/>
        <v>88419</v>
      </c>
      <c r="I68" s="2121">
        <f t="shared" si="35"/>
        <v>47488.531999999992</v>
      </c>
      <c r="J68" s="2125">
        <f t="shared" si="36"/>
        <v>0.69469319328837453</v>
      </c>
      <c r="K68" s="590">
        <f t="shared" si="37"/>
        <v>60990</v>
      </c>
      <c r="L68" s="591">
        <f t="shared" si="45"/>
        <v>61429.635002911098</v>
      </c>
      <c r="M68" s="589">
        <f t="shared" si="28"/>
        <v>47488.531999999992</v>
      </c>
      <c r="N68" s="591">
        <f t="shared" si="29"/>
        <v>4199268419.1639991</v>
      </c>
      <c r="O68" s="569">
        <f t="shared" si="38"/>
        <v>3.958067106200595E-4</v>
      </c>
      <c r="P68" s="592">
        <f t="shared" si="39"/>
        <v>0.69469319328837453</v>
      </c>
      <c r="Q68" s="571">
        <f t="shared" si="40"/>
        <v>0.58903167877886586</v>
      </c>
      <c r="R68" s="572">
        <f t="shared" si="41"/>
        <v>0.63</v>
      </c>
      <c r="S68" s="573">
        <f t="shared" si="42"/>
        <v>0.20176658862914079</v>
      </c>
      <c r="T68" s="574">
        <v>2.2000000000000002</v>
      </c>
      <c r="U68" s="557">
        <f t="shared" si="43"/>
        <v>5.0000000000000018</v>
      </c>
      <c r="V68" s="575">
        <f t="shared" si="44"/>
        <v>2</v>
      </c>
      <c r="W68" s="594">
        <v>1.4E-2</v>
      </c>
      <c r="X68" s="595">
        <f t="shared" si="18"/>
        <v>1237.9780000000001</v>
      </c>
      <c r="Y68" s="594">
        <v>1.0999999999999999E-2</v>
      </c>
      <c r="Z68" s="596">
        <f t="shared" si="19"/>
        <v>853.86</v>
      </c>
      <c r="AA68" s="2326" t="s">
        <v>1330</v>
      </c>
      <c r="AB68" s="597">
        <f t="shared" si="25"/>
        <v>860.0148900407554</v>
      </c>
      <c r="AC68" s="597">
        <f t="shared" si="26"/>
        <v>58789757.86829599</v>
      </c>
      <c r="AD68" s="597">
        <f t="shared" si="27"/>
        <v>675.72598503202209</v>
      </c>
      <c r="AE68" s="598">
        <f t="shared" si="20"/>
        <v>860.0148900407554</v>
      </c>
      <c r="AF68" s="572">
        <f t="shared" si="21"/>
        <v>522.37385199999983</v>
      </c>
      <c r="AG68" s="572">
        <f t="shared" si="22"/>
        <v>6.9299999999999995E-3</v>
      </c>
      <c r="AH68" s="600">
        <f t="shared" si="23"/>
        <v>5.5978377644836975E-6</v>
      </c>
      <c r="AI68" s="559" t="s">
        <v>580</v>
      </c>
      <c r="AJ68" s="559"/>
    </row>
    <row r="69" spans="1:36" ht="14.4" x14ac:dyDescent="0.3">
      <c r="A69" s="560" t="s">
        <v>568</v>
      </c>
      <c r="B69" s="557" t="str">
        <f t="shared" si="24"/>
        <v>1990s</v>
      </c>
      <c r="C69" s="561">
        <v>1993</v>
      </c>
      <c r="D69" s="562">
        <f t="shared" si="30"/>
        <v>1990</v>
      </c>
      <c r="E69" s="563">
        <f t="shared" si="31"/>
        <v>1992</v>
      </c>
      <c r="F69" s="586">
        <f t="shared" si="32"/>
        <v>88025</v>
      </c>
      <c r="G69" s="587">
        <f t="shared" si="33"/>
        <v>83459</v>
      </c>
      <c r="H69" s="587">
        <f t="shared" si="34"/>
        <v>83395</v>
      </c>
      <c r="I69" s="2121">
        <f t="shared" si="35"/>
        <v>31525.067999999996</v>
      </c>
      <c r="J69" s="2125">
        <f t="shared" si="36"/>
        <v>0.48034539082736549</v>
      </c>
      <c r="K69" s="590">
        <f t="shared" si="37"/>
        <v>40052</v>
      </c>
      <c r="L69" s="591">
        <f t="shared" si="45"/>
        <v>40089.145973061095</v>
      </c>
      <c r="M69" s="589">
        <f t="shared" si="28"/>
        <v>31525.067999999996</v>
      </c>
      <c r="N69" s="591">
        <f t="shared" si="29"/>
        <v>2631050650.2119994</v>
      </c>
      <c r="O69" s="569">
        <f t="shared" si="38"/>
        <v>2.15674762458213E-4</v>
      </c>
      <c r="P69" s="592">
        <f t="shared" si="39"/>
        <v>0.48034539082736549</v>
      </c>
      <c r="Q69" s="571">
        <f t="shared" si="40"/>
        <v>0.42734137581729442</v>
      </c>
      <c r="R69" s="572">
        <f t="shared" si="41"/>
        <v>0.57999999999999996</v>
      </c>
      <c r="S69" s="573">
        <f t="shared" si="42"/>
        <v>0.15261106780982073</v>
      </c>
      <c r="T69" s="574">
        <v>1.1000000000000001</v>
      </c>
      <c r="U69" s="557">
        <f t="shared" si="43"/>
        <v>3.0000000000000009</v>
      </c>
      <c r="V69" s="575">
        <f t="shared" si="44"/>
        <v>1</v>
      </c>
      <c r="W69" s="594">
        <v>0</v>
      </c>
      <c r="X69" s="595">
        <f t="shared" si="18"/>
        <v>0</v>
      </c>
      <c r="Y69" s="594">
        <v>0</v>
      </c>
      <c r="Z69" s="596">
        <f t="shared" si="19"/>
        <v>0</v>
      </c>
      <c r="AA69" s="2326" t="s">
        <v>1330</v>
      </c>
      <c r="AB69" s="597">
        <f t="shared" si="25"/>
        <v>0</v>
      </c>
      <c r="AC69" s="597">
        <f t="shared" si="26"/>
        <v>0</v>
      </c>
      <c r="AD69" s="597">
        <f>IF(Y69,L69*Y69,0)</f>
        <v>0</v>
      </c>
      <c r="AE69" s="598">
        <f t="shared" si="20"/>
        <v>0</v>
      </c>
      <c r="AF69" s="572">
        <f t="shared" si="21"/>
        <v>0</v>
      </c>
      <c r="AG69" s="599">
        <f t="shared" si="22"/>
        <v>0</v>
      </c>
      <c r="AH69" s="600">
        <f t="shared" si="23"/>
        <v>0</v>
      </c>
      <c r="AI69" s="559" t="s">
        <v>581</v>
      </c>
    </row>
    <row r="70" spans="1:36" ht="14.4" x14ac:dyDescent="0.3">
      <c r="A70" s="560" t="s">
        <v>568</v>
      </c>
      <c r="B70" s="557" t="str">
        <f t="shared" si="24"/>
        <v>1990s</v>
      </c>
      <c r="C70" s="561">
        <v>1993</v>
      </c>
      <c r="D70" s="562">
        <f t="shared" si="30"/>
        <v>1989</v>
      </c>
      <c r="E70" s="563">
        <f t="shared" si="31"/>
        <v>1991</v>
      </c>
      <c r="F70" s="586">
        <f t="shared" si="32"/>
        <v>88025</v>
      </c>
      <c r="G70" s="587">
        <f t="shared" si="33"/>
        <v>83459</v>
      </c>
      <c r="H70" s="587">
        <f t="shared" si="34"/>
        <v>83395</v>
      </c>
      <c r="I70" s="2121">
        <f t="shared" si="35"/>
        <v>31525.067999999996</v>
      </c>
      <c r="J70" s="2125">
        <f t="shared" si="36"/>
        <v>0.48034539082736549</v>
      </c>
      <c r="K70" s="590">
        <f t="shared" si="37"/>
        <v>40052</v>
      </c>
      <c r="L70" s="591">
        <f t="shared" si="45"/>
        <v>40089.145973061095</v>
      </c>
      <c r="M70" s="589">
        <f t="shared" si="28"/>
        <v>31525.067999999996</v>
      </c>
      <c r="N70" s="591">
        <f t="shared" si="29"/>
        <v>2631050650.2119994</v>
      </c>
      <c r="O70" s="569">
        <f t="shared" si="38"/>
        <v>2.15674762458213E-4</v>
      </c>
      <c r="P70" s="592">
        <f t="shared" si="39"/>
        <v>0.48034539082736549</v>
      </c>
      <c r="Q70" s="571">
        <f t="shared" si="40"/>
        <v>0.42734137581729442</v>
      </c>
      <c r="R70" s="572">
        <f t="shared" si="41"/>
        <v>0.57999999999999996</v>
      </c>
      <c r="S70" s="573">
        <f t="shared" si="42"/>
        <v>0.15261106780982073</v>
      </c>
      <c r="T70" s="574">
        <v>1.2</v>
      </c>
      <c r="U70" s="557">
        <f t="shared" si="43"/>
        <v>3.9999999999999996</v>
      </c>
      <c r="V70" s="575">
        <f t="shared" si="44"/>
        <v>1</v>
      </c>
      <c r="W70" s="594">
        <v>0.88700000000000001</v>
      </c>
      <c r="X70" s="595">
        <f t="shared" si="18"/>
        <v>74028.133000000002</v>
      </c>
      <c r="Y70" s="594">
        <v>0.89700000000000002</v>
      </c>
      <c r="Z70" s="596">
        <f t="shared" si="19"/>
        <v>35526.124000000003</v>
      </c>
      <c r="AA70" s="2326" t="s">
        <v>1330</v>
      </c>
      <c r="AB70" s="597">
        <f t="shared" si="25"/>
        <v>35559.07247810519</v>
      </c>
      <c r="AC70" s="597">
        <f t="shared" si="26"/>
        <v>2333741926.7380433</v>
      </c>
      <c r="AD70" s="597">
        <f t="shared" si="27"/>
        <v>35959.963937835804</v>
      </c>
      <c r="AE70" s="598">
        <f t="shared" si="20"/>
        <v>35559.07247810519</v>
      </c>
      <c r="AF70" s="572">
        <f t="shared" si="21"/>
        <v>28277.985995999996</v>
      </c>
      <c r="AG70" s="572">
        <f t="shared" si="22"/>
        <v>0.52025999999999994</v>
      </c>
      <c r="AH70" s="600">
        <f t="shared" si="23"/>
        <v>7.0278687158029493E-6</v>
      </c>
      <c r="AI70" s="559" t="s">
        <v>581</v>
      </c>
    </row>
    <row r="71" spans="1:36" ht="14.4" x14ac:dyDescent="0.3">
      <c r="A71" s="560" t="s">
        <v>568</v>
      </c>
      <c r="B71" s="557" t="str">
        <f t="shared" si="24"/>
        <v>1990s</v>
      </c>
      <c r="C71" s="561">
        <v>1993</v>
      </c>
      <c r="D71" s="562">
        <f t="shared" si="30"/>
        <v>1988</v>
      </c>
      <c r="E71" s="563">
        <f t="shared" si="31"/>
        <v>1990</v>
      </c>
      <c r="F71" s="586">
        <f t="shared" si="32"/>
        <v>88025</v>
      </c>
      <c r="G71" s="587">
        <f t="shared" si="33"/>
        <v>83459</v>
      </c>
      <c r="H71" s="587">
        <f t="shared" si="34"/>
        <v>83395</v>
      </c>
      <c r="I71" s="2121">
        <f t="shared" si="35"/>
        <v>31525.067999999996</v>
      </c>
      <c r="J71" s="2125">
        <f t="shared" si="36"/>
        <v>0.48034539082736549</v>
      </c>
      <c r="K71" s="590">
        <f t="shared" si="37"/>
        <v>40052</v>
      </c>
      <c r="L71" s="591">
        <f t="shared" si="45"/>
        <v>40089.145973061095</v>
      </c>
      <c r="M71" s="589">
        <f t="shared" si="28"/>
        <v>31525.067999999996</v>
      </c>
      <c r="N71" s="591">
        <f t="shared" si="29"/>
        <v>2631050650.2119994</v>
      </c>
      <c r="O71" s="569">
        <f t="shared" si="38"/>
        <v>2.15674762458213E-4</v>
      </c>
      <c r="P71" s="592">
        <f t="shared" si="39"/>
        <v>0.48034539082736549</v>
      </c>
      <c r="Q71" s="571">
        <f t="shared" si="40"/>
        <v>0.42734137581729442</v>
      </c>
      <c r="R71" s="572">
        <f t="shared" si="41"/>
        <v>0.57999999999999996</v>
      </c>
      <c r="S71" s="573">
        <f t="shared" si="42"/>
        <v>0.15261106780982073</v>
      </c>
      <c r="T71" s="574">
        <v>1.3</v>
      </c>
      <c r="U71" s="557">
        <f t="shared" si="43"/>
        <v>5</v>
      </c>
      <c r="V71" s="575">
        <f t="shared" si="44"/>
        <v>1</v>
      </c>
      <c r="W71" s="594">
        <v>5.2999999999999999E-2</v>
      </c>
      <c r="X71" s="595">
        <f t="shared" si="18"/>
        <v>4423.3270000000002</v>
      </c>
      <c r="Y71" s="594">
        <v>4.8000000000000001E-2</v>
      </c>
      <c r="Z71" s="596">
        <f t="shared" si="19"/>
        <v>2122.7559999999999</v>
      </c>
      <c r="AA71" s="2326" t="s">
        <v>1330</v>
      </c>
      <c r="AB71" s="597">
        <f t="shared" si="25"/>
        <v>2124.7247365722378</v>
      </c>
      <c r="AC71" s="597">
        <f t="shared" si="26"/>
        <v>139445684.46123597</v>
      </c>
      <c r="AD71" s="597">
        <f t="shared" si="27"/>
        <v>1924.2790067069327</v>
      </c>
      <c r="AE71" s="598">
        <f t="shared" si="20"/>
        <v>2124.7247365722378</v>
      </c>
      <c r="AF71" s="572">
        <f t="shared" si="21"/>
        <v>1513.2032639999998</v>
      </c>
      <c r="AG71" s="572">
        <f t="shared" si="22"/>
        <v>2.784E-2</v>
      </c>
      <c r="AH71" s="600">
        <f t="shared" si="23"/>
        <v>6.2939050176484798E-6</v>
      </c>
      <c r="AI71" s="559" t="s">
        <v>581</v>
      </c>
    </row>
    <row r="72" spans="1:36" ht="14.4" x14ac:dyDescent="0.3">
      <c r="A72" s="560" t="s">
        <v>568</v>
      </c>
      <c r="B72" s="557" t="str">
        <f t="shared" si="24"/>
        <v>1990s</v>
      </c>
      <c r="C72" s="561">
        <v>1993</v>
      </c>
      <c r="D72" s="562">
        <f t="shared" si="30"/>
        <v>1989</v>
      </c>
      <c r="E72" s="563">
        <f t="shared" si="31"/>
        <v>1992</v>
      </c>
      <c r="F72" s="586">
        <f t="shared" si="32"/>
        <v>88025</v>
      </c>
      <c r="G72" s="587">
        <f t="shared" si="33"/>
        <v>83459</v>
      </c>
      <c r="H72" s="587">
        <f t="shared" si="34"/>
        <v>83395</v>
      </c>
      <c r="I72" s="2121">
        <f t="shared" si="35"/>
        <v>31525.067999999996</v>
      </c>
      <c r="J72" s="2125">
        <f t="shared" si="36"/>
        <v>0.48034539082736549</v>
      </c>
      <c r="K72" s="590">
        <f t="shared" si="37"/>
        <v>40052</v>
      </c>
      <c r="L72" s="591">
        <f t="shared" si="45"/>
        <v>40089.145973061095</v>
      </c>
      <c r="M72" s="589">
        <f t="shared" si="28"/>
        <v>31525.067999999996</v>
      </c>
      <c r="N72" s="591">
        <f t="shared" si="29"/>
        <v>2631050650.2119994</v>
      </c>
      <c r="O72" s="569">
        <f t="shared" si="38"/>
        <v>2.15674762458213E-4</v>
      </c>
      <c r="P72" s="592">
        <f t="shared" si="39"/>
        <v>0.48034539082736549</v>
      </c>
      <c r="Q72" s="571">
        <f t="shared" si="40"/>
        <v>0.42734137581729442</v>
      </c>
      <c r="R72" s="572">
        <f t="shared" si="41"/>
        <v>0.57999999999999996</v>
      </c>
      <c r="S72" s="573">
        <f t="shared" si="42"/>
        <v>0.15261106780982073</v>
      </c>
      <c r="T72" s="574">
        <v>2.1</v>
      </c>
      <c r="U72" s="557">
        <f t="shared" si="43"/>
        <v>4.0000000000000009</v>
      </c>
      <c r="V72" s="575">
        <f t="shared" si="44"/>
        <v>2</v>
      </c>
      <c r="W72" s="594">
        <v>2E-3</v>
      </c>
      <c r="X72" s="595">
        <f t="shared" si="18"/>
        <v>166.91800000000001</v>
      </c>
      <c r="Y72" s="594">
        <v>4.0000000000000001E-3</v>
      </c>
      <c r="Z72" s="596">
        <f t="shared" si="19"/>
        <v>80.103999999999999</v>
      </c>
      <c r="AA72" s="2326" t="s">
        <v>1330</v>
      </c>
      <c r="AB72" s="597">
        <f t="shared" si="25"/>
        <v>80.178291946122187</v>
      </c>
      <c r="AC72" s="597">
        <f t="shared" si="26"/>
        <v>5262101.3004239993</v>
      </c>
      <c r="AD72" s="597">
        <f t="shared" si="27"/>
        <v>160.35658389224437</v>
      </c>
      <c r="AE72" s="598">
        <f t="shared" si="20"/>
        <v>80.178291946122187</v>
      </c>
      <c r="AF72" s="572">
        <f t="shared" si="21"/>
        <v>126.10027199999999</v>
      </c>
      <c r="AG72" s="572">
        <f t="shared" si="22"/>
        <v>2.32E-3</v>
      </c>
      <c r="AH72" s="600">
        <f t="shared" si="23"/>
        <v>1.3899040247307061E-5</v>
      </c>
      <c r="AI72" s="559" t="s">
        <v>581</v>
      </c>
    </row>
    <row r="73" spans="1:36" ht="14.4" x14ac:dyDescent="0.3">
      <c r="A73" s="560" t="s">
        <v>568</v>
      </c>
      <c r="B73" s="557" t="str">
        <f t="shared" si="24"/>
        <v>1990s</v>
      </c>
      <c r="C73" s="561">
        <v>1993</v>
      </c>
      <c r="D73" s="562">
        <f t="shared" si="30"/>
        <v>1988</v>
      </c>
      <c r="E73" s="563">
        <f t="shared" si="31"/>
        <v>1991</v>
      </c>
      <c r="F73" s="586">
        <f t="shared" si="32"/>
        <v>88025</v>
      </c>
      <c r="G73" s="587">
        <f t="shared" si="33"/>
        <v>83459</v>
      </c>
      <c r="H73" s="587">
        <f t="shared" si="34"/>
        <v>83395</v>
      </c>
      <c r="I73" s="2121">
        <f t="shared" si="35"/>
        <v>31525.067999999996</v>
      </c>
      <c r="J73" s="2125">
        <f t="shared" si="36"/>
        <v>0.48034539082736549</v>
      </c>
      <c r="K73" s="590">
        <f t="shared" si="37"/>
        <v>40052</v>
      </c>
      <c r="L73" s="591">
        <f t="shared" si="45"/>
        <v>40089.145973061095</v>
      </c>
      <c r="M73" s="589">
        <f t="shared" si="28"/>
        <v>31525.067999999996</v>
      </c>
      <c r="N73" s="591">
        <f t="shared" si="29"/>
        <v>2631050650.2119994</v>
      </c>
      <c r="O73" s="569">
        <f t="shared" si="38"/>
        <v>2.15674762458213E-4</v>
      </c>
      <c r="P73" s="592">
        <f t="shared" si="39"/>
        <v>0.48034539082736549</v>
      </c>
      <c r="Q73" s="571">
        <f t="shared" si="40"/>
        <v>0.42734137581729442</v>
      </c>
      <c r="R73" s="572">
        <f t="shared" si="41"/>
        <v>0.57999999999999996</v>
      </c>
      <c r="S73" s="573">
        <f t="shared" si="42"/>
        <v>0.15261106780982073</v>
      </c>
      <c r="T73" s="574">
        <v>2.2000000000000002</v>
      </c>
      <c r="U73" s="557">
        <f t="shared" si="43"/>
        <v>5.0000000000000018</v>
      </c>
      <c r="V73" s="575">
        <f t="shared" si="44"/>
        <v>2</v>
      </c>
      <c r="W73" s="594">
        <v>5.7000000000000002E-2</v>
      </c>
      <c r="X73" s="595">
        <f t="shared" si="18"/>
        <v>4757.1630000000005</v>
      </c>
      <c r="Y73" s="594">
        <v>0.05</v>
      </c>
      <c r="Z73" s="596">
        <f t="shared" si="19"/>
        <v>2282.9639999999999</v>
      </c>
      <c r="AA73" s="2326" t="s">
        <v>1330</v>
      </c>
      <c r="AB73" s="597">
        <f t="shared" si="25"/>
        <v>2285.0813204644824</v>
      </c>
      <c r="AC73" s="597">
        <f t="shared" si="26"/>
        <v>149969887.06208396</v>
      </c>
      <c r="AD73" s="597">
        <f t="shared" si="27"/>
        <v>2004.4572986530547</v>
      </c>
      <c r="AE73" s="598">
        <f t="shared" si="20"/>
        <v>2285.0813204644824</v>
      </c>
      <c r="AF73" s="572">
        <f t="shared" si="21"/>
        <v>1576.2533999999998</v>
      </c>
      <c r="AG73" s="572">
        <f t="shared" si="22"/>
        <v>2.8999999999999998E-2</v>
      </c>
      <c r="AH73" s="600">
        <f t="shared" si="23"/>
        <v>6.0960702839066046E-6</v>
      </c>
      <c r="AI73" s="559" t="s">
        <v>581</v>
      </c>
    </row>
    <row r="74" spans="1:36" ht="14.4" x14ac:dyDescent="0.3">
      <c r="A74" s="560" t="s">
        <v>568</v>
      </c>
      <c r="B74" s="557" t="str">
        <f t="shared" si="24"/>
        <v>1990s</v>
      </c>
      <c r="C74" s="561">
        <v>1993</v>
      </c>
      <c r="D74" s="562">
        <f t="shared" si="30"/>
        <v>1987</v>
      </c>
      <c r="E74" s="563">
        <f t="shared" si="31"/>
        <v>1990</v>
      </c>
      <c r="F74" s="586">
        <f t="shared" si="32"/>
        <v>88025</v>
      </c>
      <c r="G74" s="587">
        <f t="shared" si="33"/>
        <v>83459</v>
      </c>
      <c r="H74" s="587">
        <f t="shared" si="34"/>
        <v>83395</v>
      </c>
      <c r="I74" s="2121">
        <f t="shared" si="35"/>
        <v>31525.067999999996</v>
      </c>
      <c r="J74" s="2125">
        <f t="shared" si="36"/>
        <v>0.48034539082736549</v>
      </c>
      <c r="K74" s="590">
        <f t="shared" si="37"/>
        <v>40052</v>
      </c>
      <c r="L74" s="591">
        <f t="shared" si="45"/>
        <v>40089.145973061095</v>
      </c>
      <c r="M74" s="589">
        <f t="shared" si="28"/>
        <v>31525.067999999996</v>
      </c>
      <c r="N74" s="591">
        <f t="shared" si="29"/>
        <v>2631050650.2119994</v>
      </c>
      <c r="O74" s="569">
        <f t="shared" si="38"/>
        <v>2.15674762458213E-4</v>
      </c>
      <c r="P74" s="592">
        <f t="shared" si="39"/>
        <v>0.48034539082736549</v>
      </c>
      <c r="Q74" s="571">
        <f t="shared" si="40"/>
        <v>0.42734137581729442</v>
      </c>
      <c r="R74" s="572">
        <f t="shared" si="41"/>
        <v>0.57999999999999996</v>
      </c>
      <c r="S74" s="573">
        <f t="shared" si="42"/>
        <v>0.15261106780982073</v>
      </c>
      <c r="T74" s="574">
        <v>2.2999999999999998</v>
      </c>
      <c r="U74" s="557">
        <f t="shared" si="43"/>
        <v>5.9999999999999982</v>
      </c>
      <c r="V74" s="575">
        <f t="shared" si="44"/>
        <v>2</v>
      </c>
      <c r="W74" s="594">
        <v>2E-3</v>
      </c>
      <c r="X74" s="595">
        <f t="shared" si="18"/>
        <v>166.91800000000001</v>
      </c>
      <c r="Y74" s="594">
        <v>2E-3</v>
      </c>
      <c r="Z74" s="596">
        <f t="shared" si="19"/>
        <v>80.103999999999999</v>
      </c>
      <c r="AA74" s="2326" t="s">
        <v>1330</v>
      </c>
      <c r="AB74" s="597">
        <f t="shared" si="25"/>
        <v>80.178291946122187</v>
      </c>
      <c r="AC74" s="597">
        <f t="shared" si="26"/>
        <v>5262101.3004239993</v>
      </c>
      <c r="AD74" s="597">
        <f t="shared" si="27"/>
        <v>80.178291946122187</v>
      </c>
      <c r="AE74" s="598">
        <f t="shared" si="20"/>
        <v>80.178291946122187</v>
      </c>
      <c r="AF74" s="572">
        <f t="shared" si="21"/>
        <v>63.050135999999995</v>
      </c>
      <c r="AG74" s="599">
        <f t="shared" si="22"/>
        <v>1.16E-3</v>
      </c>
      <c r="AH74" s="600">
        <f t="shared" si="23"/>
        <v>6.9495201236535303E-6</v>
      </c>
      <c r="AI74" s="559" t="s">
        <v>581</v>
      </c>
    </row>
    <row r="75" spans="1:36" ht="14.4" x14ac:dyDescent="0.3">
      <c r="A75" s="560" t="s">
        <v>568</v>
      </c>
      <c r="B75" s="557" t="str">
        <f t="shared" si="24"/>
        <v>1990s</v>
      </c>
      <c r="C75" s="561">
        <v>1994</v>
      </c>
      <c r="D75" s="562">
        <f t="shared" si="30"/>
        <v>1991</v>
      </c>
      <c r="E75" s="563">
        <f t="shared" si="31"/>
        <v>1993</v>
      </c>
      <c r="F75" s="586">
        <f t="shared" si="32"/>
        <v>12873</v>
      </c>
      <c r="G75" s="587">
        <f t="shared" si="33"/>
        <v>12957</v>
      </c>
      <c r="H75" s="587">
        <f t="shared" si="34"/>
        <v>12956</v>
      </c>
      <c r="I75" s="2121">
        <f t="shared" si="35"/>
        <v>1885.9119999999998</v>
      </c>
      <c r="J75" s="2125">
        <f t="shared" si="36"/>
        <v>0.16591114630069498</v>
      </c>
      <c r="K75" s="590">
        <f t="shared" si="37"/>
        <v>2202</v>
      </c>
      <c r="L75" s="591">
        <f t="shared" si="45"/>
        <v>2149.7107226181047</v>
      </c>
      <c r="M75" s="606"/>
      <c r="N75" s="591"/>
      <c r="O75" s="569">
        <f t="shared" si="38"/>
        <v>3.8589179594041831E-4</v>
      </c>
      <c r="P75" s="592">
        <f t="shared" si="39"/>
        <v>0.16591114630069498</v>
      </c>
      <c r="Q75" s="571">
        <f t="shared" si="40"/>
        <v>0.1516531560251389</v>
      </c>
      <c r="R75" s="572">
        <f t="shared" si="41"/>
        <v>0</v>
      </c>
      <c r="S75" s="573">
        <f t="shared" si="42"/>
        <v>8.5828959555418333E-2</v>
      </c>
      <c r="T75" s="602">
        <v>1.1000000000000001</v>
      </c>
      <c r="U75" s="557">
        <f t="shared" si="43"/>
        <v>3.0000000000000009</v>
      </c>
      <c r="V75" s="575">
        <f t="shared" si="44"/>
        <v>1</v>
      </c>
      <c r="W75" s="594">
        <v>0.14299999999999999</v>
      </c>
      <c r="X75" s="595">
        <f t="shared" si="18"/>
        <v>1852.8509999999999</v>
      </c>
      <c r="Y75" s="576">
        <v>5.1999999999999998E-2</v>
      </c>
      <c r="Z75" s="596">
        <f t="shared" si="19"/>
        <v>314.88599999999997</v>
      </c>
      <c r="AA75" s="2326" t="s">
        <v>1330</v>
      </c>
      <c r="AB75" s="597">
        <f t="shared" si="25"/>
        <v>307.40863333438892</v>
      </c>
      <c r="AC75" s="597" t="str">
        <f t="shared" si="26"/>
        <v/>
      </c>
      <c r="AD75" s="597">
        <f t="shared" si="27"/>
        <v>111.78495757614144</v>
      </c>
      <c r="AE75" s="598">
        <f t="shared" si="20"/>
        <v>307.40863333438892</v>
      </c>
      <c r="AF75" s="572">
        <f t="shared" si="21"/>
        <v>98.067423999999988</v>
      </c>
      <c r="AG75" s="599">
        <f t="shared" si="22"/>
        <v>0</v>
      </c>
      <c r="AH75" s="600">
        <f t="shared" si="23"/>
        <v>0</v>
      </c>
    </row>
    <row r="76" spans="1:36" ht="14.4" x14ac:dyDescent="0.3">
      <c r="A76" s="560" t="s">
        <v>568</v>
      </c>
      <c r="B76" s="557" t="str">
        <f t="shared" si="24"/>
        <v>1990s</v>
      </c>
      <c r="C76" s="561">
        <v>1994</v>
      </c>
      <c r="D76" s="562">
        <f t="shared" si="30"/>
        <v>1990</v>
      </c>
      <c r="E76" s="563">
        <f t="shared" si="31"/>
        <v>1992</v>
      </c>
      <c r="F76" s="586">
        <f t="shared" si="32"/>
        <v>12873</v>
      </c>
      <c r="G76" s="587">
        <f t="shared" si="33"/>
        <v>12957</v>
      </c>
      <c r="H76" s="587">
        <f t="shared" si="34"/>
        <v>12956</v>
      </c>
      <c r="I76" s="2121">
        <f t="shared" si="35"/>
        <v>1885.9119999999998</v>
      </c>
      <c r="J76" s="2125">
        <f t="shared" si="36"/>
        <v>0.16591114630069498</v>
      </c>
      <c r="K76" s="590">
        <f t="shared" si="37"/>
        <v>2202</v>
      </c>
      <c r="L76" s="591">
        <f t="shared" si="45"/>
        <v>2149.7107226181047</v>
      </c>
      <c r="M76" s="607"/>
      <c r="N76" s="591"/>
      <c r="O76" s="569">
        <f t="shared" si="38"/>
        <v>3.8589179594041831E-4</v>
      </c>
      <c r="P76" s="592">
        <f t="shared" si="39"/>
        <v>0.16591114630069498</v>
      </c>
      <c r="Q76" s="571">
        <f t="shared" si="40"/>
        <v>0.1516531560251389</v>
      </c>
      <c r="R76" s="572">
        <f t="shared" si="41"/>
        <v>0</v>
      </c>
      <c r="S76" s="573">
        <f t="shared" si="42"/>
        <v>8.5828959555418333E-2</v>
      </c>
      <c r="T76" s="574">
        <v>1.2</v>
      </c>
      <c r="U76" s="557">
        <f t="shared" si="43"/>
        <v>3.9999999999999996</v>
      </c>
      <c r="V76" s="575">
        <f t="shared" si="44"/>
        <v>1</v>
      </c>
      <c r="W76" s="594">
        <v>0.126</v>
      </c>
      <c r="X76" s="595">
        <f t="shared" si="18"/>
        <v>1632.5820000000001</v>
      </c>
      <c r="Y76" s="576">
        <v>0.82499999999999996</v>
      </c>
      <c r="Z76" s="596">
        <f t="shared" si="19"/>
        <v>277.452</v>
      </c>
      <c r="AA76" s="2326" t="s">
        <v>1330</v>
      </c>
      <c r="AB76" s="597">
        <f t="shared" si="25"/>
        <v>270.86355104988121</v>
      </c>
      <c r="AC76" s="597" t="str">
        <f t="shared" si="26"/>
        <v/>
      </c>
      <c r="AD76" s="597">
        <f t="shared" si="27"/>
        <v>1773.5113461599362</v>
      </c>
      <c r="AE76" s="598">
        <f t="shared" si="20"/>
        <v>270.86355104988121</v>
      </c>
      <c r="AF76" s="572">
        <f t="shared" si="21"/>
        <v>1555.8773999999999</v>
      </c>
      <c r="AG76" s="572">
        <f t="shared" si="22"/>
        <v>0</v>
      </c>
      <c r="AH76" s="600">
        <f t="shared" si="23"/>
        <v>0</v>
      </c>
    </row>
    <row r="77" spans="1:36" ht="14.4" x14ac:dyDescent="0.3">
      <c r="A77" s="560" t="s">
        <v>568</v>
      </c>
      <c r="B77" s="557" t="str">
        <f t="shared" si="24"/>
        <v>1990s</v>
      </c>
      <c r="C77" s="561">
        <v>1994</v>
      </c>
      <c r="D77" s="562">
        <f t="shared" si="30"/>
        <v>1989</v>
      </c>
      <c r="E77" s="563">
        <f t="shared" si="31"/>
        <v>1991</v>
      </c>
      <c r="F77" s="586">
        <f t="shared" si="32"/>
        <v>12873</v>
      </c>
      <c r="G77" s="587">
        <f t="shared" si="33"/>
        <v>12957</v>
      </c>
      <c r="H77" s="587">
        <f t="shared" si="34"/>
        <v>12956</v>
      </c>
      <c r="I77" s="2121">
        <f t="shared" si="35"/>
        <v>1885.9119999999998</v>
      </c>
      <c r="J77" s="2125">
        <f t="shared" si="36"/>
        <v>0.16591114630069498</v>
      </c>
      <c r="K77" s="590">
        <f t="shared" si="37"/>
        <v>2202</v>
      </c>
      <c r="L77" s="591">
        <f t="shared" si="45"/>
        <v>2149.7107226181047</v>
      </c>
      <c r="M77" s="607"/>
      <c r="N77" s="591"/>
      <c r="O77" s="569">
        <f t="shared" si="38"/>
        <v>3.8589179594041831E-4</v>
      </c>
      <c r="P77" s="592">
        <f t="shared" si="39"/>
        <v>0.16591114630069498</v>
      </c>
      <c r="Q77" s="571">
        <f t="shared" si="40"/>
        <v>0.1516531560251389</v>
      </c>
      <c r="R77" s="572">
        <f t="shared" si="41"/>
        <v>0</v>
      </c>
      <c r="S77" s="573">
        <f t="shared" si="42"/>
        <v>8.5828959555418333E-2</v>
      </c>
      <c r="T77" s="574">
        <v>1.3</v>
      </c>
      <c r="U77" s="557">
        <f t="shared" si="43"/>
        <v>5</v>
      </c>
      <c r="V77" s="575">
        <f t="shared" si="44"/>
        <v>1</v>
      </c>
      <c r="W77" s="594">
        <v>0.69799999999999995</v>
      </c>
      <c r="X77" s="595">
        <f t="shared" si="18"/>
        <v>9043.985999999999</v>
      </c>
      <c r="Y77" s="576">
        <v>8.3000000000000004E-2</v>
      </c>
      <c r="Z77" s="596">
        <f t="shared" si="19"/>
        <v>1536.9959999999999</v>
      </c>
      <c r="AA77" s="2326" t="s">
        <v>1330</v>
      </c>
      <c r="AB77" s="597">
        <f t="shared" si="25"/>
        <v>1500.4980843874371</v>
      </c>
      <c r="AC77" s="597" t="str">
        <f t="shared" si="26"/>
        <v/>
      </c>
      <c r="AD77" s="597">
        <f t="shared" si="27"/>
        <v>178.42598997730269</v>
      </c>
      <c r="AE77" s="598">
        <f t="shared" si="20"/>
        <v>1500.4980843874371</v>
      </c>
      <c r="AF77" s="572">
        <f t="shared" si="21"/>
        <v>156.53069600000001</v>
      </c>
      <c r="AG77" s="572">
        <f t="shared" si="22"/>
        <v>0</v>
      </c>
      <c r="AH77" s="600">
        <f t="shared" si="23"/>
        <v>0</v>
      </c>
    </row>
    <row r="78" spans="1:36" ht="14.4" x14ac:dyDescent="0.3">
      <c r="A78" s="560" t="s">
        <v>568</v>
      </c>
      <c r="B78" s="557" t="str">
        <f t="shared" si="24"/>
        <v>1990s</v>
      </c>
      <c r="C78" s="561">
        <v>1994</v>
      </c>
      <c r="D78" s="562">
        <f t="shared" si="30"/>
        <v>1990</v>
      </c>
      <c r="E78" s="563">
        <f t="shared" si="31"/>
        <v>1993</v>
      </c>
      <c r="F78" s="586">
        <f t="shared" si="32"/>
        <v>12873</v>
      </c>
      <c r="G78" s="587">
        <f t="shared" si="33"/>
        <v>12957</v>
      </c>
      <c r="H78" s="587">
        <f t="shared" si="34"/>
        <v>12956</v>
      </c>
      <c r="I78" s="2121">
        <f t="shared" si="35"/>
        <v>1885.9119999999998</v>
      </c>
      <c r="J78" s="2125">
        <f t="shared" si="36"/>
        <v>0.16591114630069498</v>
      </c>
      <c r="K78" s="590">
        <f t="shared" si="37"/>
        <v>2202</v>
      </c>
      <c r="L78" s="591">
        <f t="shared" si="45"/>
        <v>2149.7107226181047</v>
      </c>
      <c r="M78" s="607"/>
      <c r="N78" s="591"/>
      <c r="O78" s="569">
        <f t="shared" si="38"/>
        <v>3.8589179594041831E-4</v>
      </c>
      <c r="P78" s="592">
        <f t="shared" si="39"/>
        <v>0.16591114630069498</v>
      </c>
      <c r="Q78" s="571">
        <f t="shared" si="40"/>
        <v>0.1516531560251389</v>
      </c>
      <c r="R78" s="572">
        <f t="shared" si="41"/>
        <v>0</v>
      </c>
      <c r="S78" s="573">
        <f t="shared" si="42"/>
        <v>8.5828959555418333E-2</v>
      </c>
      <c r="T78" s="574">
        <v>2.1</v>
      </c>
      <c r="U78" s="557">
        <f t="shared" si="43"/>
        <v>4.0000000000000009</v>
      </c>
      <c r="V78" s="575">
        <f t="shared" si="44"/>
        <v>2</v>
      </c>
      <c r="W78" s="594">
        <v>1.6E-2</v>
      </c>
      <c r="X78" s="595">
        <f t="shared" si="18"/>
        <v>207.31200000000001</v>
      </c>
      <c r="Y78" s="576">
        <v>2.3E-2</v>
      </c>
      <c r="Z78" s="596">
        <f t="shared" si="19"/>
        <v>35.231999999999999</v>
      </c>
      <c r="AA78" s="2326" t="s">
        <v>1330</v>
      </c>
      <c r="AB78" s="597">
        <f t="shared" si="25"/>
        <v>34.395371561889675</v>
      </c>
      <c r="AC78" s="597" t="str">
        <f t="shared" si="26"/>
        <v/>
      </c>
      <c r="AD78" s="597">
        <f t="shared" si="27"/>
        <v>49.44334662021641</v>
      </c>
      <c r="AE78" s="598">
        <f t="shared" si="20"/>
        <v>34.395371561889675</v>
      </c>
      <c r="AF78" s="572">
        <f t="shared" si="21"/>
        <v>43.375975999999994</v>
      </c>
      <c r="AG78" s="572">
        <f t="shared" si="22"/>
        <v>0</v>
      </c>
      <c r="AH78" s="600">
        <f t="shared" si="23"/>
        <v>0</v>
      </c>
    </row>
    <row r="79" spans="1:36" ht="14.4" x14ac:dyDescent="0.3">
      <c r="A79" s="560" t="s">
        <v>568</v>
      </c>
      <c r="B79" s="557" t="str">
        <f t="shared" si="24"/>
        <v>1990s</v>
      </c>
      <c r="C79" s="561">
        <v>1994</v>
      </c>
      <c r="D79" s="562">
        <f t="shared" si="30"/>
        <v>1989</v>
      </c>
      <c r="E79" s="563">
        <f t="shared" si="31"/>
        <v>1992</v>
      </c>
      <c r="F79" s="586">
        <f t="shared" si="32"/>
        <v>12873</v>
      </c>
      <c r="G79" s="587">
        <f t="shared" si="33"/>
        <v>12957</v>
      </c>
      <c r="H79" s="587">
        <f t="shared" si="34"/>
        <v>12956</v>
      </c>
      <c r="I79" s="2121">
        <f t="shared" si="35"/>
        <v>1885.9119999999998</v>
      </c>
      <c r="J79" s="2125">
        <f t="shared" si="36"/>
        <v>0.16591114630069498</v>
      </c>
      <c r="K79" s="590">
        <f t="shared" si="37"/>
        <v>2202</v>
      </c>
      <c r="L79" s="591">
        <f t="shared" si="45"/>
        <v>2149.7107226181047</v>
      </c>
      <c r="M79" s="607"/>
      <c r="N79" s="591"/>
      <c r="O79" s="569">
        <f t="shared" si="38"/>
        <v>3.8589179594041831E-4</v>
      </c>
      <c r="P79" s="592">
        <f t="shared" si="39"/>
        <v>0.16591114630069498</v>
      </c>
      <c r="Q79" s="571">
        <f t="shared" si="40"/>
        <v>0.1516531560251389</v>
      </c>
      <c r="R79" s="572">
        <f t="shared" si="41"/>
        <v>0</v>
      </c>
      <c r="S79" s="573">
        <f t="shared" si="42"/>
        <v>8.5828959555418333E-2</v>
      </c>
      <c r="T79" s="574">
        <v>2.2000000000000002</v>
      </c>
      <c r="U79" s="557">
        <f t="shared" si="43"/>
        <v>5.0000000000000018</v>
      </c>
      <c r="V79" s="575">
        <f t="shared" si="44"/>
        <v>2</v>
      </c>
      <c r="W79" s="594">
        <v>1.7000000000000001E-2</v>
      </c>
      <c r="X79" s="595">
        <f t="shared" si="18"/>
        <v>220.26900000000001</v>
      </c>
      <c r="Y79" s="576">
        <v>1.6E-2</v>
      </c>
      <c r="Z79" s="596">
        <f t="shared" si="19"/>
        <v>37.434000000000005</v>
      </c>
      <c r="AA79" s="2326" t="s">
        <v>1330</v>
      </c>
      <c r="AB79" s="597">
        <f t="shared" si="25"/>
        <v>36.545082284507785</v>
      </c>
      <c r="AC79" s="597" t="str">
        <f t="shared" si="26"/>
        <v/>
      </c>
      <c r="AD79" s="597">
        <f t="shared" si="27"/>
        <v>34.395371561889675</v>
      </c>
      <c r="AE79" s="598">
        <f t="shared" si="20"/>
        <v>36.545082284507785</v>
      </c>
      <c r="AF79" s="572">
        <f t="shared" si="21"/>
        <v>30.174591999999997</v>
      </c>
      <c r="AG79" s="572">
        <f t="shared" si="22"/>
        <v>0</v>
      </c>
      <c r="AH79" s="600">
        <f t="shared" si="23"/>
        <v>0</v>
      </c>
    </row>
    <row r="80" spans="1:36" ht="14.4" x14ac:dyDescent="0.3">
      <c r="A80" s="560" t="s">
        <v>568</v>
      </c>
      <c r="B80" s="557" t="str">
        <f t="shared" si="24"/>
        <v>1990s</v>
      </c>
      <c r="C80" s="561">
        <v>1995</v>
      </c>
      <c r="D80" s="562">
        <f t="shared" si="30"/>
        <v>1992</v>
      </c>
      <c r="E80" s="563">
        <f t="shared" si="31"/>
        <v>1994</v>
      </c>
      <c r="F80" s="586">
        <f t="shared" si="32"/>
        <v>9913</v>
      </c>
      <c r="G80" s="587">
        <f t="shared" si="33"/>
        <v>8883</v>
      </c>
      <c r="H80" s="587">
        <f t="shared" si="34"/>
        <v>8882</v>
      </c>
      <c r="I80" s="2121">
        <f t="shared" si="35"/>
        <v>5537.7439999999997</v>
      </c>
      <c r="J80" s="2125">
        <f t="shared" si="36"/>
        <v>0.69019852813291505</v>
      </c>
      <c r="K80" s="590">
        <f t="shared" si="37"/>
        <v>5238</v>
      </c>
      <c r="L80" s="591">
        <f t="shared" si="45"/>
        <v>6131.033525404684</v>
      </c>
      <c r="M80" s="606"/>
      <c r="N80" s="591"/>
      <c r="O80" s="569">
        <f t="shared" si="38"/>
        <v>5.6287290329843525E-4</v>
      </c>
      <c r="P80" s="592">
        <f t="shared" si="39"/>
        <v>0.69019852813291505</v>
      </c>
      <c r="Q80" s="571">
        <f t="shared" si="40"/>
        <v>0.56055918414117112</v>
      </c>
      <c r="R80" s="572">
        <f t="shared" si="41"/>
        <v>0</v>
      </c>
      <c r="S80" s="573">
        <f t="shared" si="42"/>
        <v>4.6002315723551138E-2</v>
      </c>
      <c r="T80" s="602">
        <v>1.1000000000000001</v>
      </c>
      <c r="U80" s="557">
        <f t="shared" si="43"/>
        <v>3.0000000000000009</v>
      </c>
      <c r="V80" s="575">
        <f t="shared" si="44"/>
        <v>1</v>
      </c>
      <c r="W80" s="594">
        <v>0.41299999999999998</v>
      </c>
      <c r="X80" s="595">
        <f t="shared" si="18"/>
        <v>3668.6789999999996</v>
      </c>
      <c r="Y80" s="576">
        <v>5.1999999999999998E-2</v>
      </c>
      <c r="Z80" s="596">
        <f t="shared" si="19"/>
        <v>2163.2939999999999</v>
      </c>
      <c r="AA80" s="2326" t="s">
        <v>1330</v>
      </c>
      <c r="AB80" s="597">
        <f t="shared" si="25"/>
        <v>2532.1168459921346</v>
      </c>
      <c r="AC80" s="597" t="str">
        <f t="shared" si="26"/>
        <v/>
      </c>
      <c r="AD80" s="597">
        <f t="shared" si="27"/>
        <v>318.81374332104355</v>
      </c>
      <c r="AE80" s="598">
        <f t="shared" si="20"/>
        <v>2532.1168459921346</v>
      </c>
      <c r="AF80" s="572">
        <f t="shared" si="21"/>
        <v>287.96268799999996</v>
      </c>
      <c r="AG80" s="599">
        <f t="shared" si="22"/>
        <v>0</v>
      </c>
      <c r="AH80" s="600">
        <f t="shared" si="23"/>
        <v>0</v>
      </c>
    </row>
    <row r="81" spans="1:35" ht="14.4" x14ac:dyDescent="0.3">
      <c r="A81" s="560" t="s">
        <v>568</v>
      </c>
      <c r="B81" s="557" t="str">
        <f t="shared" si="24"/>
        <v>1990s</v>
      </c>
      <c r="C81" s="561">
        <v>1995</v>
      </c>
      <c r="D81" s="562">
        <f t="shared" si="30"/>
        <v>1991</v>
      </c>
      <c r="E81" s="563">
        <f t="shared" si="31"/>
        <v>1993</v>
      </c>
      <c r="F81" s="586">
        <f t="shared" si="32"/>
        <v>9913</v>
      </c>
      <c r="G81" s="587">
        <f t="shared" si="33"/>
        <v>8883</v>
      </c>
      <c r="H81" s="587">
        <f t="shared" si="34"/>
        <v>8882</v>
      </c>
      <c r="I81" s="2121">
        <f t="shared" si="35"/>
        <v>5537.7439999999997</v>
      </c>
      <c r="J81" s="2125">
        <f t="shared" si="36"/>
        <v>0.69019852813291505</v>
      </c>
      <c r="K81" s="590">
        <f t="shared" si="37"/>
        <v>5238</v>
      </c>
      <c r="L81" s="591">
        <f t="shared" si="45"/>
        <v>6131.033525404684</v>
      </c>
      <c r="M81" s="607"/>
      <c r="N81" s="591"/>
      <c r="O81" s="569">
        <f t="shared" si="38"/>
        <v>5.6287290329843525E-4</v>
      </c>
      <c r="P81" s="592">
        <f t="shared" si="39"/>
        <v>0.69019852813291505</v>
      </c>
      <c r="Q81" s="571">
        <f t="shared" si="40"/>
        <v>0.56055918414117112</v>
      </c>
      <c r="R81" s="572">
        <f t="shared" si="41"/>
        <v>0</v>
      </c>
      <c r="S81" s="573">
        <f t="shared" si="42"/>
        <v>4.6002315723551138E-2</v>
      </c>
      <c r="T81" s="574">
        <v>1.2</v>
      </c>
      <c r="U81" s="557">
        <f t="shared" si="43"/>
        <v>3.9999999999999996</v>
      </c>
      <c r="V81" s="575">
        <f t="shared" si="44"/>
        <v>1</v>
      </c>
      <c r="W81" s="594">
        <v>0.51400000000000001</v>
      </c>
      <c r="X81" s="595">
        <f t="shared" si="18"/>
        <v>4565.8620000000001</v>
      </c>
      <c r="Y81" s="576">
        <v>0.82499999999999996</v>
      </c>
      <c r="Z81" s="596">
        <f t="shared" si="19"/>
        <v>2692.3319999999999</v>
      </c>
      <c r="AA81" s="2326" t="s">
        <v>1330</v>
      </c>
      <c r="AB81" s="597">
        <f t="shared" si="25"/>
        <v>3151.3512320580076</v>
      </c>
      <c r="AC81" s="597" t="str">
        <f t="shared" si="26"/>
        <v/>
      </c>
      <c r="AD81" s="597">
        <f t="shared" si="27"/>
        <v>5058.1026584588644</v>
      </c>
      <c r="AE81" s="598">
        <f t="shared" si="20"/>
        <v>3151.3512320580076</v>
      </c>
      <c r="AF81" s="572">
        <f t="shared" si="21"/>
        <v>4568.6387999999997</v>
      </c>
      <c r="AG81" s="572">
        <f t="shared" si="22"/>
        <v>0</v>
      </c>
      <c r="AH81" s="600">
        <f t="shared" si="23"/>
        <v>0</v>
      </c>
    </row>
    <row r="82" spans="1:35" ht="14.4" x14ac:dyDescent="0.3">
      <c r="A82" s="560" t="s">
        <v>568</v>
      </c>
      <c r="B82" s="557" t="str">
        <f t="shared" si="24"/>
        <v>1990s</v>
      </c>
      <c r="C82" s="561">
        <v>1995</v>
      </c>
      <c r="D82" s="562">
        <f t="shared" si="30"/>
        <v>1990</v>
      </c>
      <c r="E82" s="563">
        <f t="shared" si="31"/>
        <v>1992</v>
      </c>
      <c r="F82" s="586">
        <f t="shared" si="32"/>
        <v>9913</v>
      </c>
      <c r="G82" s="587">
        <f t="shared" si="33"/>
        <v>8883</v>
      </c>
      <c r="H82" s="587">
        <f t="shared" si="34"/>
        <v>8882</v>
      </c>
      <c r="I82" s="2121">
        <f t="shared" si="35"/>
        <v>5537.7439999999997</v>
      </c>
      <c r="J82" s="2125">
        <f t="shared" si="36"/>
        <v>0.69019852813291505</v>
      </c>
      <c r="K82" s="590">
        <f t="shared" si="37"/>
        <v>5238</v>
      </c>
      <c r="L82" s="591">
        <f t="shared" si="45"/>
        <v>6131.033525404684</v>
      </c>
      <c r="M82" s="607"/>
      <c r="N82" s="591"/>
      <c r="O82" s="569">
        <f t="shared" si="38"/>
        <v>5.6287290329843525E-4</v>
      </c>
      <c r="P82" s="592">
        <f t="shared" si="39"/>
        <v>0.69019852813291505</v>
      </c>
      <c r="Q82" s="571">
        <f t="shared" si="40"/>
        <v>0.56055918414117112</v>
      </c>
      <c r="R82" s="572">
        <f t="shared" si="41"/>
        <v>0</v>
      </c>
      <c r="S82" s="573">
        <f t="shared" si="42"/>
        <v>4.6002315723551138E-2</v>
      </c>
      <c r="T82" s="574">
        <v>1.3</v>
      </c>
      <c r="U82" s="557">
        <f t="shared" si="43"/>
        <v>5</v>
      </c>
      <c r="V82" s="575">
        <f t="shared" si="44"/>
        <v>1</v>
      </c>
      <c r="W82" s="594">
        <v>1.2999999999999999E-2</v>
      </c>
      <c r="X82" s="595">
        <f t="shared" si="18"/>
        <v>115.479</v>
      </c>
      <c r="Y82" s="576">
        <v>8.3000000000000004E-2</v>
      </c>
      <c r="Z82" s="596">
        <f t="shared" si="19"/>
        <v>68.093999999999994</v>
      </c>
      <c r="AA82" s="2326" t="s">
        <v>1330</v>
      </c>
      <c r="AB82" s="597">
        <f t="shared" si="25"/>
        <v>79.703435830260887</v>
      </c>
      <c r="AC82" s="597" t="str">
        <f t="shared" si="26"/>
        <v/>
      </c>
      <c r="AD82" s="597">
        <f t="shared" si="27"/>
        <v>508.87578260858879</v>
      </c>
      <c r="AE82" s="598">
        <f t="shared" si="20"/>
        <v>79.703435830260887</v>
      </c>
      <c r="AF82" s="572">
        <f t="shared" si="21"/>
        <v>459.63275199999998</v>
      </c>
      <c r="AG82" s="572">
        <f t="shared" si="22"/>
        <v>0</v>
      </c>
      <c r="AH82" s="600">
        <f t="shared" si="23"/>
        <v>0</v>
      </c>
    </row>
    <row r="83" spans="1:35" ht="14.4" x14ac:dyDescent="0.3">
      <c r="A83" s="560" t="s">
        <v>568</v>
      </c>
      <c r="B83" s="557" t="str">
        <f t="shared" si="24"/>
        <v>1990s</v>
      </c>
      <c r="C83" s="561">
        <v>1995</v>
      </c>
      <c r="D83" s="562">
        <f t="shared" si="30"/>
        <v>1991</v>
      </c>
      <c r="E83" s="563">
        <f t="shared" si="31"/>
        <v>1994</v>
      </c>
      <c r="F83" s="586">
        <f t="shared" si="32"/>
        <v>9913</v>
      </c>
      <c r="G83" s="587">
        <f t="shared" si="33"/>
        <v>8883</v>
      </c>
      <c r="H83" s="587">
        <f t="shared" si="34"/>
        <v>8882</v>
      </c>
      <c r="I83" s="2121">
        <f t="shared" si="35"/>
        <v>5537.7439999999997</v>
      </c>
      <c r="J83" s="2125">
        <f t="shared" si="36"/>
        <v>0.69019852813291505</v>
      </c>
      <c r="K83" s="590">
        <f t="shared" si="37"/>
        <v>5238</v>
      </c>
      <c r="L83" s="591">
        <f t="shared" si="45"/>
        <v>6131.033525404684</v>
      </c>
      <c r="M83" s="607"/>
      <c r="N83" s="591"/>
      <c r="O83" s="569">
        <f t="shared" si="38"/>
        <v>5.6287290329843525E-4</v>
      </c>
      <c r="P83" s="592">
        <f t="shared" si="39"/>
        <v>0.69019852813291505</v>
      </c>
      <c r="Q83" s="571">
        <f t="shared" si="40"/>
        <v>0.56055918414117112</v>
      </c>
      <c r="R83" s="572">
        <f t="shared" si="41"/>
        <v>0</v>
      </c>
      <c r="S83" s="573">
        <f t="shared" si="42"/>
        <v>4.6002315723551138E-2</v>
      </c>
      <c r="T83" s="574">
        <v>2.1</v>
      </c>
      <c r="U83" s="557">
        <f t="shared" si="43"/>
        <v>4.0000000000000009</v>
      </c>
      <c r="V83" s="575">
        <f t="shared" si="44"/>
        <v>2</v>
      </c>
      <c r="W83" s="594">
        <v>5.8000000000000003E-2</v>
      </c>
      <c r="X83" s="595">
        <f t="shared" si="18"/>
        <v>515.21400000000006</v>
      </c>
      <c r="Y83" s="576">
        <v>2.3E-2</v>
      </c>
      <c r="Z83" s="596">
        <f t="shared" si="19"/>
        <v>303.80400000000003</v>
      </c>
      <c r="AA83" s="2326" t="s">
        <v>1330</v>
      </c>
      <c r="AB83" s="597">
        <f t="shared" si="25"/>
        <v>355.59994447347168</v>
      </c>
      <c r="AC83" s="597" t="str">
        <f t="shared" si="26"/>
        <v/>
      </c>
      <c r="AD83" s="597">
        <f t="shared" si="27"/>
        <v>141.01377108430773</v>
      </c>
      <c r="AE83" s="598">
        <f t="shared" si="20"/>
        <v>355.59994447347168</v>
      </c>
      <c r="AF83" s="572">
        <f t="shared" si="21"/>
        <v>127.368112</v>
      </c>
      <c r="AG83" s="572">
        <f t="shared" si="22"/>
        <v>0</v>
      </c>
      <c r="AH83" s="600">
        <f t="shared" si="23"/>
        <v>0</v>
      </c>
    </row>
    <row r="84" spans="1:35" ht="14.4" x14ac:dyDescent="0.3">
      <c r="A84" s="560" t="s">
        <v>568</v>
      </c>
      <c r="B84" s="557" t="str">
        <f t="shared" si="24"/>
        <v>1990s</v>
      </c>
      <c r="C84" s="561">
        <v>1995</v>
      </c>
      <c r="D84" s="562">
        <f t="shared" si="30"/>
        <v>1990</v>
      </c>
      <c r="E84" s="563">
        <f t="shared" si="31"/>
        <v>1993</v>
      </c>
      <c r="F84" s="586">
        <f t="shared" si="32"/>
        <v>9913</v>
      </c>
      <c r="G84" s="587">
        <f t="shared" si="33"/>
        <v>8883</v>
      </c>
      <c r="H84" s="587">
        <f t="shared" si="34"/>
        <v>8882</v>
      </c>
      <c r="I84" s="2121">
        <f t="shared" si="35"/>
        <v>5537.7439999999997</v>
      </c>
      <c r="J84" s="2125">
        <f t="shared" si="36"/>
        <v>0.69019852813291505</v>
      </c>
      <c r="K84" s="590">
        <f t="shared" si="37"/>
        <v>5238</v>
      </c>
      <c r="L84" s="591">
        <f t="shared" si="45"/>
        <v>6131.033525404684</v>
      </c>
      <c r="M84" s="607"/>
      <c r="N84" s="591"/>
      <c r="O84" s="569">
        <f t="shared" si="38"/>
        <v>5.6287290329843525E-4</v>
      </c>
      <c r="P84" s="592">
        <f t="shared" si="39"/>
        <v>0.69019852813291505</v>
      </c>
      <c r="Q84" s="571">
        <f t="shared" si="40"/>
        <v>0.56055918414117112</v>
      </c>
      <c r="R84" s="572">
        <f t="shared" si="41"/>
        <v>0</v>
      </c>
      <c r="S84" s="573">
        <f t="shared" si="42"/>
        <v>4.6002315723551138E-2</v>
      </c>
      <c r="T84" s="574">
        <v>2.2000000000000002</v>
      </c>
      <c r="U84" s="557">
        <f t="shared" si="43"/>
        <v>5.0000000000000018</v>
      </c>
      <c r="V84" s="575">
        <f t="shared" si="44"/>
        <v>2</v>
      </c>
      <c r="W84" s="594">
        <v>0</v>
      </c>
      <c r="X84" s="595">
        <f t="shared" si="18"/>
        <v>0</v>
      </c>
      <c r="Y84" s="576">
        <v>1.6E-2</v>
      </c>
      <c r="Z84" s="596">
        <f t="shared" si="19"/>
        <v>0</v>
      </c>
      <c r="AA84" s="2326" t="s">
        <v>1330</v>
      </c>
      <c r="AB84" s="597">
        <f t="shared" si="25"/>
        <v>0</v>
      </c>
      <c r="AC84" s="597" t="str">
        <f t="shared" si="26"/>
        <v/>
      </c>
      <c r="AD84" s="597">
        <f t="shared" si="27"/>
        <v>98.096536406474954</v>
      </c>
      <c r="AE84" s="598">
        <f t="shared" si="20"/>
        <v>0</v>
      </c>
      <c r="AF84" s="572">
        <f t="shared" si="21"/>
        <v>88.603904</v>
      </c>
      <c r="AG84" s="572">
        <f t="shared" si="22"/>
        <v>0</v>
      </c>
      <c r="AH84" s="600">
        <f t="shared" si="23"/>
        <v>0</v>
      </c>
    </row>
    <row r="85" spans="1:35" ht="14.4" x14ac:dyDescent="0.3">
      <c r="A85" s="560" t="s">
        <v>568</v>
      </c>
      <c r="B85" s="557" t="str">
        <f t="shared" si="24"/>
        <v>1990s</v>
      </c>
      <c r="C85" s="561">
        <v>1996</v>
      </c>
      <c r="D85" s="562">
        <f t="shared" si="30"/>
        <v>1993</v>
      </c>
      <c r="E85" s="563">
        <f t="shared" si="31"/>
        <v>1995</v>
      </c>
      <c r="F85" s="586">
        <f t="shared" si="32"/>
        <v>30942</v>
      </c>
      <c r="G85" s="587">
        <f t="shared" si="33"/>
        <v>31300</v>
      </c>
      <c r="H85" s="587">
        <f t="shared" si="34"/>
        <v>31275</v>
      </c>
      <c r="I85" s="2121">
        <f t="shared" si="35"/>
        <v>20037.531999999999</v>
      </c>
      <c r="J85" s="2125">
        <f t="shared" si="36"/>
        <v>0.67923837288135591</v>
      </c>
      <c r="K85" s="590">
        <f t="shared" si="37"/>
        <v>23160</v>
      </c>
      <c r="L85" s="591">
        <f t="shared" si="45"/>
        <v>21260.161071186441</v>
      </c>
      <c r="M85" s="606"/>
      <c r="N85" s="591"/>
      <c r="O85" s="569">
        <f t="shared" si="38"/>
        <v>9.5846645367412143E-5</v>
      </c>
      <c r="P85" s="592">
        <f t="shared" si="39"/>
        <v>0.67923837288135591</v>
      </c>
      <c r="Q85" s="571">
        <f t="shared" si="40"/>
        <v>0.66364468864468862</v>
      </c>
      <c r="R85" s="572">
        <f t="shared" si="41"/>
        <v>0</v>
      </c>
      <c r="S85" s="573">
        <f t="shared" si="42"/>
        <v>1.1446842525979217E-2</v>
      </c>
      <c r="T85" s="574">
        <v>1.1000000000000001</v>
      </c>
      <c r="U85" s="557">
        <f t="shared" si="43"/>
        <v>3.0000000000000009</v>
      </c>
      <c r="V85" s="575">
        <f t="shared" si="44"/>
        <v>1</v>
      </c>
      <c r="W85" s="594">
        <v>7.5999999999999998E-2</v>
      </c>
      <c r="X85" s="595">
        <f t="shared" si="18"/>
        <v>2378.7999999999997</v>
      </c>
      <c r="Y85" s="576">
        <v>5.1999999999999998E-2</v>
      </c>
      <c r="Z85" s="596">
        <f t="shared" si="19"/>
        <v>1760.1599999999999</v>
      </c>
      <c r="AA85" s="2326" t="s">
        <v>1330</v>
      </c>
      <c r="AB85" s="597">
        <f t="shared" si="25"/>
        <v>1615.7722414101695</v>
      </c>
      <c r="AC85" s="597" t="str">
        <f t="shared" si="26"/>
        <v/>
      </c>
      <c r="AD85" s="597">
        <f t="shared" si="27"/>
        <v>1105.5283757016948</v>
      </c>
      <c r="AE85" s="598">
        <f t="shared" si="20"/>
        <v>1615.7722414101695</v>
      </c>
      <c r="AF85" s="572">
        <f t="shared" si="21"/>
        <v>1041.9516639999999</v>
      </c>
      <c r="AG85" s="599">
        <f t="shared" si="22"/>
        <v>0</v>
      </c>
      <c r="AH85" s="600">
        <f t="shared" si="23"/>
        <v>0</v>
      </c>
      <c r="AI85" s="559" t="s">
        <v>582</v>
      </c>
    </row>
    <row r="86" spans="1:35" ht="14.4" x14ac:dyDescent="0.3">
      <c r="A86" s="560" t="s">
        <v>568</v>
      </c>
      <c r="B86" s="557" t="str">
        <f t="shared" si="24"/>
        <v>1990s</v>
      </c>
      <c r="C86" s="561">
        <v>1996</v>
      </c>
      <c r="D86" s="562">
        <f t="shared" si="30"/>
        <v>1992</v>
      </c>
      <c r="E86" s="563">
        <f t="shared" si="31"/>
        <v>1994</v>
      </c>
      <c r="F86" s="586">
        <f t="shared" si="32"/>
        <v>30942</v>
      </c>
      <c r="G86" s="587">
        <f t="shared" si="33"/>
        <v>31300</v>
      </c>
      <c r="H86" s="587">
        <f t="shared" si="34"/>
        <v>31275</v>
      </c>
      <c r="I86" s="2121">
        <f t="shared" si="35"/>
        <v>20037.531999999999</v>
      </c>
      <c r="J86" s="2125">
        <f t="shared" si="36"/>
        <v>0.67923837288135591</v>
      </c>
      <c r="K86" s="590">
        <f t="shared" si="37"/>
        <v>23160</v>
      </c>
      <c r="L86" s="591">
        <f t="shared" si="45"/>
        <v>21260.161071186441</v>
      </c>
      <c r="M86" s="607"/>
      <c r="N86" s="591"/>
      <c r="O86" s="569">
        <f t="shared" si="38"/>
        <v>9.5846645367412143E-5</v>
      </c>
      <c r="P86" s="592">
        <f t="shared" si="39"/>
        <v>0.67923837288135591</v>
      </c>
      <c r="Q86" s="571">
        <f t="shared" si="40"/>
        <v>0.66364468864468862</v>
      </c>
      <c r="R86" s="572">
        <f t="shared" si="41"/>
        <v>0</v>
      </c>
      <c r="S86" s="573">
        <f t="shared" si="42"/>
        <v>1.1446842525979217E-2</v>
      </c>
      <c r="T86" s="574">
        <v>1.2</v>
      </c>
      <c r="U86" s="557">
        <f t="shared" si="43"/>
        <v>3.9999999999999996</v>
      </c>
      <c r="V86" s="575">
        <f t="shared" si="44"/>
        <v>1</v>
      </c>
      <c r="W86" s="594">
        <v>0.85899999999999999</v>
      </c>
      <c r="X86" s="595">
        <f t="shared" si="18"/>
        <v>26886.7</v>
      </c>
      <c r="Y86" s="576">
        <v>0.82499999999999996</v>
      </c>
      <c r="Z86" s="596">
        <f t="shared" si="19"/>
        <v>19894.439999999999</v>
      </c>
      <c r="AA86" s="2326" t="s">
        <v>1330</v>
      </c>
      <c r="AB86" s="597">
        <f t="shared" si="25"/>
        <v>18262.478360149154</v>
      </c>
      <c r="AC86" s="597" t="str">
        <f t="shared" si="26"/>
        <v/>
      </c>
      <c r="AD86" s="597">
        <f t="shared" si="27"/>
        <v>17539.632883728813</v>
      </c>
      <c r="AE86" s="598">
        <f t="shared" si="20"/>
        <v>18262.478360149154</v>
      </c>
      <c r="AF86" s="572">
        <f t="shared" si="21"/>
        <v>16530.963899999999</v>
      </c>
      <c r="AG86" s="572">
        <f t="shared" si="22"/>
        <v>0</v>
      </c>
      <c r="AH86" s="600">
        <f t="shared" si="23"/>
        <v>0</v>
      </c>
      <c r="AI86" s="559" t="s">
        <v>582</v>
      </c>
    </row>
    <row r="87" spans="1:35" ht="14.4" x14ac:dyDescent="0.3">
      <c r="A87" s="560" t="s">
        <v>568</v>
      </c>
      <c r="B87" s="557" t="str">
        <f t="shared" si="24"/>
        <v>1990s</v>
      </c>
      <c r="C87" s="561">
        <v>1996</v>
      </c>
      <c r="D87" s="562">
        <f t="shared" si="30"/>
        <v>1991</v>
      </c>
      <c r="E87" s="563">
        <f t="shared" si="31"/>
        <v>1993</v>
      </c>
      <c r="F87" s="586">
        <f t="shared" si="32"/>
        <v>30942</v>
      </c>
      <c r="G87" s="587">
        <f t="shared" si="33"/>
        <v>31300</v>
      </c>
      <c r="H87" s="587">
        <f t="shared" si="34"/>
        <v>31275</v>
      </c>
      <c r="I87" s="2121">
        <f t="shared" si="35"/>
        <v>20037.531999999999</v>
      </c>
      <c r="J87" s="2125">
        <f t="shared" si="36"/>
        <v>0.67923837288135591</v>
      </c>
      <c r="K87" s="590">
        <f t="shared" si="37"/>
        <v>23160</v>
      </c>
      <c r="L87" s="591">
        <f t="shared" si="45"/>
        <v>21260.161071186441</v>
      </c>
      <c r="M87" s="607"/>
      <c r="N87" s="591"/>
      <c r="O87" s="569">
        <f t="shared" si="38"/>
        <v>9.5846645367412143E-5</v>
      </c>
      <c r="P87" s="592">
        <f t="shared" si="39"/>
        <v>0.67923837288135591</v>
      </c>
      <c r="Q87" s="571">
        <f t="shared" si="40"/>
        <v>0.66364468864468862</v>
      </c>
      <c r="R87" s="572">
        <f t="shared" si="41"/>
        <v>0</v>
      </c>
      <c r="S87" s="573">
        <f t="shared" si="42"/>
        <v>1.1446842525979217E-2</v>
      </c>
      <c r="T87" s="574">
        <v>1.3</v>
      </c>
      <c r="U87" s="557">
        <f t="shared" si="43"/>
        <v>5</v>
      </c>
      <c r="V87" s="575">
        <f t="shared" si="44"/>
        <v>1</v>
      </c>
      <c r="W87" s="594">
        <v>3.7999999999999999E-2</v>
      </c>
      <c r="X87" s="595">
        <f t="shared" si="18"/>
        <v>1189.3999999999999</v>
      </c>
      <c r="Y87" s="576">
        <v>8.3000000000000004E-2</v>
      </c>
      <c r="Z87" s="596">
        <f t="shared" si="19"/>
        <v>880.07999999999993</v>
      </c>
      <c r="AA87" s="2326" t="s">
        <v>1330</v>
      </c>
      <c r="AB87" s="597">
        <f t="shared" si="25"/>
        <v>807.88612070508475</v>
      </c>
      <c r="AC87" s="597" t="str">
        <f t="shared" si="26"/>
        <v/>
      </c>
      <c r="AD87" s="597">
        <f t="shared" si="27"/>
        <v>1764.5933689084748</v>
      </c>
      <c r="AE87" s="598">
        <f t="shared" si="20"/>
        <v>807.88612070508475</v>
      </c>
      <c r="AF87" s="572">
        <f t="shared" si="21"/>
        <v>1663.1151560000001</v>
      </c>
      <c r="AG87" s="572">
        <f t="shared" si="22"/>
        <v>0</v>
      </c>
      <c r="AH87" s="600">
        <f t="shared" si="23"/>
        <v>0</v>
      </c>
      <c r="AI87" s="559" t="s">
        <v>582</v>
      </c>
    </row>
    <row r="88" spans="1:35" ht="14.4" x14ac:dyDescent="0.3">
      <c r="A88" s="560" t="s">
        <v>568</v>
      </c>
      <c r="B88" s="557" t="str">
        <f t="shared" si="24"/>
        <v>1990s</v>
      </c>
      <c r="C88" s="561">
        <v>1996</v>
      </c>
      <c r="D88" s="562">
        <f t="shared" si="30"/>
        <v>1992</v>
      </c>
      <c r="E88" s="563">
        <f t="shared" si="31"/>
        <v>1995</v>
      </c>
      <c r="F88" s="586">
        <f t="shared" si="32"/>
        <v>30942</v>
      </c>
      <c r="G88" s="587">
        <f t="shared" si="33"/>
        <v>31300</v>
      </c>
      <c r="H88" s="587">
        <f t="shared" si="34"/>
        <v>31275</v>
      </c>
      <c r="I88" s="2121">
        <f t="shared" si="35"/>
        <v>20037.531999999999</v>
      </c>
      <c r="J88" s="2125">
        <f t="shared" si="36"/>
        <v>0.67923837288135591</v>
      </c>
      <c r="K88" s="590">
        <f t="shared" si="37"/>
        <v>23160</v>
      </c>
      <c r="L88" s="591">
        <f t="shared" si="45"/>
        <v>21260.161071186441</v>
      </c>
      <c r="M88" s="607"/>
      <c r="N88" s="591"/>
      <c r="O88" s="569">
        <f t="shared" si="38"/>
        <v>9.5846645367412143E-5</v>
      </c>
      <c r="P88" s="592">
        <f t="shared" si="39"/>
        <v>0.67923837288135591</v>
      </c>
      <c r="Q88" s="571">
        <f t="shared" si="40"/>
        <v>0.66364468864468862</v>
      </c>
      <c r="R88" s="572">
        <f t="shared" si="41"/>
        <v>0</v>
      </c>
      <c r="S88" s="573">
        <f t="shared" si="42"/>
        <v>1.1446842525979217E-2</v>
      </c>
      <c r="T88" s="574">
        <v>2.1</v>
      </c>
      <c r="U88" s="557">
        <f t="shared" si="43"/>
        <v>4.0000000000000009</v>
      </c>
      <c r="V88" s="575">
        <f t="shared" si="44"/>
        <v>2</v>
      </c>
      <c r="W88" s="594">
        <v>0</v>
      </c>
      <c r="X88" s="595">
        <f t="shared" si="18"/>
        <v>0</v>
      </c>
      <c r="Y88" s="576">
        <v>2.3E-2</v>
      </c>
      <c r="Z88" s="596">
        <f t="shared" si="19"/>
        <v>0</v>
      </c>
      <c r="AA88" s="2326" t="s">
        <v>1330</v>
      </c>
      <c r="AB88" s="597">
        <f t="shared" si="25"/>
        <v>0</v>
      </c>
      <c r="AC88" s="597" t="str">
        <f t="shared" si="26"/>
        <v/>
      </c>
      <c r="AD88" s="597">
        <f>IF(Y88,L88*Y88,0)</f>
        <v>488.98370463728816</v>
      </c>
      <c r="AE88" s="598">
        <f t="shared" si="20"/>
        <v>0</v>
      </c>
      <c r="AF88" s="572">
        <f t="shared" si="21"/>
        <v>460.86323599999997</v>
      </c>
      <c r="AG88" s="572">
        <f t="shared" si="22"/>
        <v>0</v>
      </c>
      <c r="AH88" s="600">
        <f t="shared" si="23"/>
        <v>0</v>
      </c>
      <c r="AI88" s="559" t="s">
        <v>582</v>
      </c>
    </row>
    <row r="89" spans="1:35" ht="14.4" x14ac:dyDescent="0.3">
      <c r="A89" s="560" t="s">
        <v>568</v>
      </c>
      <c r="B89" s="557" t="str">
        <f t="shared" si="24"/>
        <v>1990s</v>
      </c>
      <c r="C89" s="561">
        <v>1996</v>
      </c>
      <c r="D89" s="562">
        <f t="shared" si="30"/>
        <v>1991</v>
      </c>
      <c r="E89" s="563">
        <f t="shared" si="31"/>
        <v>1994</v>
      </c>
      <c r="F89" s="586">
        <f t="shared" si="32"/>
        <v>30942</v>
      </c>
      <c r="G89" s="587">
        <f t="shared" si="33"/>
        <v>31300</v>
      </c>
      <c r="H89" s="587">
        <f t="shared" si="34"/>
        <v>31275</v>
      </c>
      <c r="I89" s="2121">
        <f t="shared" si="35"/>
        <v>20037.531999999999</v>
      </c>
      <c r="J89" s="2125">
        <f t="shared" si="36"/>
        <v>0.67923837288135591</v>
      </c>
      <c r="K89" s="590">
        <f t="shared" si="37"/>
        <v>23160</v>
      </c>
      <c r="L89" s="591">
        <f t="shared" si="45"/>
        <v>21260.161071186441</v>
      </c>
      <c r="M89" s="607"/>
      <c r="N89" s="591"/>
      <c r="O89" s="569">
        <f t="shared" si="38"/>
        <v>9.5846645367412143E-5</v>
      </c>
      <c r="P89" s="592">
        <f t="shared" si="39"/>
        <v>0.67923837288135591</v>
      </c>
      <c r="Q89" s="571">
        <f t="shared" si="40"/>
        <v>0.66364468864468862</v>
      </c>
      <c r="R89" s="572">
        <f t="shared" si="41"/>
        <v>0</v>
      </c>
      <c r="S89" s="573">
        <f t="shared" si="42"/>
        <v>1.1446842525979217E-2</v>
      </c>
      <c r="T89" s="574">
        <v>2.2000000000000002</v>
      </c>
      <c r="U89" s="557">
        <f t="shared" si="43"/>
        <v>5.0000000000000018</v>
      </c>
      <c r="V89" s="575">
        <f t="shared" si="44"/>
        <v>2</v>
      </c>
      <c r="W89" s="594">
        <v>2.7E-2</v>
      </c>
      <c r="X89" s="595">
        <f t="shared" si="18"/>
        <v>845.1</v>
      </c>
      <c r="Y89" s="576">
        <v>1.6E-2</v>
      </c>
      <c r="Z89" s="596">
        <f t="shared" si="19"/>
        <v>625.31999999999994</v>
      </c>
      <c r="AA89" s="2326" t="s">
        <v>1330</v>
      </c>
      <c r="AB89" s="597">
        <f t="shared" si="25"/>
        <v>574.02434892203394</v>
      </c>
      <c r="AC89" s="597" t="str">
        <f t="shared" si="26"/>
        <v/>
      </c>
      <c r="AD89" s="597">
        <f t="shared" si="27"/>
        <v>340.16257713898307</v>
      </c>
      <c r="AE89" s="598">
        <f t="shared" si="20"/>
        <v>574.02434892203394</v>
      </c>
      <c r="AF89" s="572">
        <f t="shared" si="21"/>
        <v>320.60051199999998</v>
      </c>
      <c r="AG89" s="572">
        <f t="shared" si="22"/>
        <v>0</v>
      </c>
      <c r="AH89" s="600">
        <f t="shared" si="23"/>
        <v>0</v>
      </c>
      <c r="AI89" s="559" t="s">
        <v>582</v>
      </c>
    </row>
    <row r="90" spans="1:35" ht="14.4" x14ac:dyDescent="0.3">
      <c r="A90" s="560" t="s">
        <v>568</v>
      </c>
      <c r="B90" s="557" t="str">
        <f t="shared" si="24"/>
        <v>1990s</v>
      </c>
      <c r="C90" s="561">
        <v>1997</v>
      </c>
      <c r="D90" s="562">
        <f t="shared" si="30"/>
        <v>1994</v>
      </c>
      <c r="E90" s="563">
        <f t="shared" si="31"/>
        <v>1996</v>
      </c>
      <c r="F90" s="586">
        <f t="shared" si="32"/>
        <v>49979</v>
      </c>
      <c r="G90" s="587">
        <f t="shared" si="33"/>
        <v>48793</v>
      </c>
      <c r="H90" s="587">
        <f t="shared" si="34"/>
        <v>48781</v>
      </c>
      <c r="I90" s="2121">
        <f t="shared" si="35"/>
        <v>27870.971999999998</v>
      </c>
      <c r="J90" s="2125">
        <f t="shared" si="36"/>
        <v>0.6715249614494988</v>
      </c>
      <c r="K90" s="590">
        <f t="shared" si="37"/>
        <v>36095</v>
      </c>
      <c r="L90" s="591">
        <f t="shared" si="45"/>
        <v>32765.717444005397</v>
      </c>
      <c r="M90" s="606"/>
      <c r="N90" s="591"/>
      <c r="O90" s="569">
        <f t="shared" si="38"/>
        <v>3.2791588957432416E-4</v>
      </c>
      <c r="P90" s="592">
        <f t="shared" si="39"/>
        <v>0.6715249614494988</v>
      </c>
      <c r="Q90" s="571">
        <f t="shared" si="40"/>
        <v>0.79711850224871872</v>
      </c>
      <c r="R90" s="572">
        <f t="shared" si="41"/>
        <v>0</v>
      </c>
      <c r="S90" s="573">
        <f t="shared" si="42"/>
        <v>0.10690637748303643</v>
      </c>
      <c r="T90" s="602">
        <v>1.1000000000000001</v>
      </c>
      <c r="U90" s="557">
        <f t="shared" si="43"/>
        <v>3.0000000000000009</v>
      </c>
      <c r="V90" s="575">
        <f t="shared" si="44"/>
        <v>1</v>
      </c>
      <c r="W90" s="594">
        <v>0</v>
      </c>
      <c r="X90" s="595">
        <f t="shared" si="18"/>
        <v>0</v>
      </c>
      <c r="Y90" s="576">
        <v>5.1999999999999998E-2</v>
      </c>
      <c r="Z90" s="596">
        <f t="shared" si="19"/>
        <v>0</v>
      </c>
      <c r="AA90" s="2326" t="s">
        <v>1330</v>
      </c>
      <c r="AB90" s="597">
        <f t="shared" si="25"/>
        <v>0</v>
      </c>
      <c r="AC90" s="597" t="str">
        <f t="shared" si="26"/>
        <v/>
      </c>
      <c r="AD90" s="597">
        <f t="shared" si="27"/>
        <v>1703.8173070882806</v>
      </c>
      <c r="AE90" s="598">
        <f t="shared" si="20"/>
        <v>0</v>
      </c>
      <c r="AF90" s="572">
        <f t="shared" si="21"/>
        <v>1449.2905439999997</v>
      </c>
      <c r="AG90" s="599">
        <f t="shared" si="22"/>
        <v>0</v>
      </c>
      <c r="AH90" s="600">
        <f t="shared" si="23"/>
        <v>0</v>
      </c>
    </row>
    <row r="91" spans="1:35" ht="14.4" x14ac:dyDescent="0.3">
      <c r="A91" s="560" t="s">
        <v>568</v>
      </c>
      <c r="B91" s="557" t="str">
        <f t="shared" si="24"/>
        <v>1990s</v>
      </c>
      <c r="C91" s="561">
        <v>1997</v>
      </c>
      <c r="D91" s="562">
        <f t="shared" si="30"/>
        <v>1993</v>
      </c>
      <c r="E91" s="563">
        <f t="shared" si="31"/>
        <v>1995</v>
      </c>
      <c r="F91" s="586">
        <f t="shared" si="32"/>
        <v>49979</v>
      </c>
      <c r="G91" s="587">
        <f t="shared" si="33"/>
        <v>48793</v>
      </c>
      <c r="H91" s="587">
        <f t="shared" si="34"/>
        <v>48781</v>
      </c>
      <c r="I91" s="2121">
        <f t="shared" si="35"/>
        <v>27870.971999999998</v>
      </c>
      <c r="J91" s="2125">
        <f t="shared" si="36"/>
        <v>0.6715249614494988</v>
      </c>
      <c r="K91" s="590">
        <f t="shared" si="37"/>
        <v>36095</v>
      </c>
      <c r="L91" s="591">
        <f t="shared" si="45"/>
        <v>32765.717444005397</v>
      </c>
      <c r="M91" s="607"/>
      <c r="N91" s="591"/>
      <c r="O91" s="569">
        <f t="shared" si="38"/>
        <v>3.2791588957432416E-4</v>
      </c>
      <c r="P91" s="592">
        <f t="shared" si="39"/>
        <v>0.6715249614494988</v>
      </c>
      <c r="Q91" s="571">
        <f t="shared" si="40"/>
        <v>0.79711850224871872</v>
      </c>
      <c r="R91" s="572">
        <f t="shared" si="41"/>
        <v>0</v>
      </c>
      <c r="S91" s="573">
        <f t="shared" si="42"/>
        <v>0.10690637748303643</v>
      </c>
      <c r="T91" s="574">
        <v>1.2</v>
      </c>
      <c r="U91" s="557">
        <f t="shared" si="43"/>
        <v>3.9999999999999996</v>
      </c>
      <c r="V91" s="575">
        <f t="shared" si="44"/>
        <v>1</v>
      </c>
      <c r="W91" s="594">
        <v>0.95699999999999996</v>
      </c>
      <c r="X91" s="595">
        <f t="shared" ref="X91:X154" si="46">W91*G91</f>
        <v>46694.900999999998</v>
      </c>
      <c r="Y91" s="576">
        <v>0.82499999999999996</v>
      </c>
      <c r="Z91" s="596">
        <f t="shared" ref="Z91:Z109" si="47">K91*W91</f>
        <v>34542.915000000001</v>
      </c>
      <c r="AA91" s="2326" t="s">
        <v>1330</v>
      </c>
      <c r="AB91" s="597">
        <f t="shared" si="25"/>
        <v>31356.791593913164</v>
      </c>
      <c r="AC91" s="597" t="str">
        <f t="shared" si="26"/>
        <v/>
      </c>
      <c r="AD91" s="597">
        <f t="shared" si="27"/>
        <v>27031.716891304452</v>
      </c>
      <c r="AE91" s="598">
        <f t="shared" ref="AE91:AE108" si="48">L91*W91</f>
        <v>31356.791593913164</v>
      </c>
      <c r="AF91" s="572">
        <f t="shared" ref="AF91:AF119" si="49">Y91*I91</f>
        <v>22993.551899999999</v>
      </c>
      <c r="AG91" s="572">
        <f t="shared" ref="AG91:AG119" si="50">Y91*R91</f>
        <v>0</v>
      </c>
      <c r="AH91" s="600">
        <f t="shared" ref="AH91:AH119" si="51">IF(X91=0,0,AG91/X91)</f>
        <v>0</v>
      </c>
    </row>
    <row r="92" spans="1:35" ht="14.4" x14ac:dyDescent="0.3">
      <c r="A92" s="560" t="s">
        <v>568</v>
      </c>
      <c r="B92" s="557" t="str">
        <f t="shared" ref="B92:B155" si="52">LEFT(E92,3)*10 &amp; "s"</f>
        <v>1990s</v>
      </c>
      <c r="C92" s="561">
        <v>1997</v>
      </c>
      <c r="D92" s="562">
        <f t="shared" si="30"/>
        <v>1992</v>
      </c>
      <c r="E92" s="563">
        <f t="shared" si="31"/>
        <v>1994</v>
      </c>
      <c r="F92" s="586">
        <f t="shared" si="32"/>
        <v>49979</v>
      </c>
      <c r="G92" s="587">
        <f t="shared" si="33"/>
        <v>48793</v>
      </c>
      <c r="H92" s="587">
        <f t="shared" si="34"/>
        <v>48781</v>
      </c>
      <c r="I92" s="2121">
        <f t="shared" si="35"/>
        <v>27870.971999999998</v>
      </c>
      <c r="J92" s="2125">
        <f t="shared" si="36"/>
        <v>0.6715249614494988</v>
      </c>
      <c r="K92" s="590">
        <f t="shared" si="37"/>
        <v>36095</v>
      </c>
      <c r="L92" s="591">
        <f t="shared" si="45"/>
        <v>32765.717444005397</v>
      </c>
      <c r="M92" s="607"/>
      <c r="N92" s="591"/>
      <c r="O92" s="569">
        <f t="shared" si="38"/>
        <v>3.2791588957432416E-4</v>
      </c>
      <c r="P92" s="592">
        <f t="shared" si="39"/>
        <v>0.6715249614494988</v>
      </c>
      <c r="Q92" s="571">
        <f t="shared" si="40"/>
        <v>0.79711850224871872</v>
      </c>
      <c r="R92" s="572">
        <f t="shared" si="41"/>
        <v>0</v>
      </c>
      <c r="S92" s="573">
        <f t="shared" si="42"/>
        <v>0.10690637748303643</v>
      </c>
      <c r="T92" s="574">
        <v>1.3</v>
      </c>
      <c r="U92" s="557">
        <f t="shared" si="43"/>
        <v>5</v>
      </c>
      <c r="V92" s="575">
        <f t="shared" si="44"/>
        <v>1</v>
      </c>
      <c r="W92" s="594">
        <v>3.4000000000000002E-2</v>
      </c>
      <c r="X92" s="595">
        <f t="shared" si="46"/>
        <v>1658.9620000000002</v>
      </c>
      <c r="Y92" s="576">
        <v>8.3000000000000004E-2</v>
      </c>
      <c r="Z92" s="596">
        <f t="shared" si="47"/>
        <v>1227.23</v>
      </c>
      <c r="AA92" s="2326" t="s">
        <v>1330</v>
      </c>
      <c r="AB92" s="597">
        <f t="shared" ref="AB92:AB155" si="53">L92*W92</f>
        <v>1114.0343930961835</v>
      </c>
      <c r="AC92" s="597" t="str">
        <f t="shared" ref="AC92:AC155" si="54">IF(N92,N92*W92,"")</f>
        <v/>
      </c>
      <c r="AD92" s="597">
        <f t="shared" ref="AD92:AD154" si="55">IF(Y92,L92*Y92,"")</f>
        <v>2719.5545478524482</v>
      </c>
      <c r="AE92" s="598">
        <f t="shared" si="48"/>
        <v>1114.0343930961835</v>
      </c>
      <c r="AF92" s="572">
        <f t="shared" si="49"/>
        <v>2313.2906760000001</v>
      </c>
      <c r="AG92" s="572">
        <f t="shared" si="50"/>
        <v>0</v>
      </c>
      <c r="AH92" s="600">
        <f t="shared" si="51"/>
        <v>0</v>
      </c>
    </row>
    <row r="93" spans="1:35" ht="14.4" x14ac:dyDescent="0.3">
      <c r="A93" s="560" t="s">
        <v>568</v>
      </c>
      <c r="B93" s="557" t="str">
        <f t="shared" si="52"/>
        <v>1990s</v>
      </c>
      <c r="C93" s="561">
        <v>1997</v>
      </c>
      <c r="D93" s="562">
        <f t="shared" si="30"/>
        <v>1993</v>
      </c>
      <c r="E93" s="563">
        <f t="shared" si="31"/>
        <v>1996</v>
      </c>
      <c r="F93" s="586">
        <f t="shared" si="32"/>
        <v>49979</v>
      </c>
      <c r="G93" s="587">
        <f t="shared" si="33"/>
        <v>48793</v>
      </c>
      <c r="H93" s="587">
        <f t="shared" si="34"/>
        <v>48781</v>
      </c>
      <c r="I93" s="2121">
        <f t="shared" si="35"/>
        <v>27870.971999999998</v>
      </c>
      <c r="J93" s="2125">
        <f t="shared" si="36"/>
        <v>0.6715249614494988</v>
      </c>
      <c r="K93" s="590">
        <f t="shared" si="37"/>
        <v>36095</v>
      </c>
      <c r="L93" s="591">
        <f t="shared" si="45"/>
        <v>32765.717444005397</v>
      </c>
      <c r="M93" s="607"/>
      <c r="N93" s="591"/>
      <c r="O93" s="569">
        <f t="shared" si="38"/>
        <v>3.2791588957432416E-4</v>
      </c>
      <c r="P93" s="592">
        <f t="shared" si="39"/>
        <v>0.6715249614494988</v>
      </c>
      <c r="Q93" s="571">
        <f t="shared" si="40"/>
        <v>0.79711850224871872</v>
      </c>
      <c r="R93" s="572">
        <f t="shared" si="41"/>
        <v>0</v>
      </c>
      <c r="S93" s="573">
        <f t="shared" si="42"/>
        <v>0.10690637748303643</v>
      </c>
      <c r="T93" s="574">
        <v>2.1</v>
      </c>
      <c r="U93" s="557">
        <f t="shared" si="43"/>
        <v>4.0000000000000009</v>
      </c>
      <c r="V93" s="575">
        <f t="shared" si="44"/>
        <v>2</v>
      </c>
      <c r="W93" s="594">
        <v>8.9999999999999993E-3</v>
      </c>
      <c r="X93" s="595">
        <f t="shared" si="46"/>
        <v>439.13699999999994</v>
      </c>
      <c r="Y93" s="576">
        <v>2.3E-2</v>
      </c>
      <c r="Z93" s="596">
        <f t="shared" si="47"/>
        <v>324.85499999999996</v>
      </c>
      <c r="AA93" s="2326" t="s">
        <v>1330</v>
      </c>
      <c r="AB93" s="597">
        <f t="shared" si="53"/>
        <v>294.89145699604853</v>
      </c>
      <c r="AC93" s="597" t="str">
        <f t="shared" si="54"/>
        <v/>
      </c>
      <c r="AD93" s="597">
        <f t="shared" si="55"/>
        <v>753.61150121212415</v>
      </c>
      <c r="AE93" s="598">
        <f t="shared" si="48"/>
        <v>294.89145699604853</v>
      </c>
      <c r="AF93" s="572">
        <f t="shared" si="49"/>
        <v>641.03235599999994</v>
      </c>
      <c r="AG93" s="572">
        <f t="shared" si="50"/>
        <v>0</v>
      </c>
      <c r="AH93" s="600">
        <f t="shared" si="51"/>
        <v>0</v>
      </c>
    </row>
    <row r="94" spans="1:35" ht="14.4" x14ac:dyDescent="0.3">
      <c r="A94" s="560" t="s">
        <v>568</v>
      </c>
      <c r="B94" s="557" t="str">
        <f t="shared" si="52"/>
        <v>1990s</v>
      </c>
      <c r="C94" s="561">
        <v>1997</v>
      </c>
      <c r="D94" s="562">
        <f t="shared" si="30"/>
        <v>1992</v>
      </c>
      <c r="E94" s="563">
        <f t="shared" si="31"/>
        <v>1995</v>
      </c>
      <c r="F94" s="586">
        <f t="shared" si="32"/>
        <v>49979</v>
      </c>
      <c r="G94" s="587">
        <f t="shared" si="33"/>
        <v>48793</v>
      </c>
      <c r="H94" s="587">
        <f t="shared" si="34"/>
        <v>48781</v>
      </c>
      <c r="I94" s="2121">
        <f t="shared" si="35"/>
        <v>27870.971999999998</v>
      </c>
      <c r="J94" s="2125">
        <f t="shared" si="36"/>
        <v>0.6715249614494988</v>
      </c>
      <c r="K94" s="590">
        <f t="shared" si="37"/>
        <v>36095</v>
      </c>
      <c r="L94" s="591">
        <f t="shared" si="45"/>
        <v>32765.717444005397</v>
      </c>
      <c r="M94" s="607"/>
      <c r="N94" s="591"/>
      <c r="O94" s="569">
        <f t="shared" si="38"/>
        <v>3.2791588957432416E-4</v>
      </c>
      <c r="P94" s="592">
        <f t="shared" si="39"/>
        <v>0.6715249614494988</v>
      </c>
      <c r="Q94" s="571">
        <f t="shared" si="40"/>
        <v>0.79711850224871872</v>
      </c>
      <c r="R94" s="572">
        <f t="shared" si="41"/>
        <v>0</v>
      </c>
      <c r="S94" s="573">
        <f t="shared" si="42"/>
        <v>0.10690637748303643</v>
      </c>
      <c r="T94" s="574">
        <v>2.2000000000000002</v>
      </c>
      <c r="U94" s="557">
        <f t="shared" si="43"/>
        <v>5.0000000000000018</v>
      </c>
      <c r="V94" s="575">
        <f t="shared" si="44"/>
        <v>2</v>
      </c>
      <c r="W94" s="594">
        <v>0</v>
      </c>
      <c r="X94" s="595">
        <f t="shared" si="46"/>
        <v>0</v>
      </c>
      <c r="Y94" s="576">
        <v>1.6E-2</v>
      </c>
      <c r="Z94" s="596">
        <f t="shared" si="47"/>
        <v>0</v>
      </c>
      <c r="AA94" s="2326" t="s">
        <v>1330</v>
      </c>
      <c r="AB94" s="597">
        <f t="shared" si="53"/>
        <v>0</v>
      </c>
      <c r="AC94" s="597" t="str">
        <f t="shared" si="54"/>
        <v/>
      </c>
      <c r="AD94" s="597">
        <f t="shared" si="55"/>
        <v>524.25147910408634</v>
      </c>
      <c r="AE94" s="598">
        <f t="shared" si="48"/>
        <v>0</v>
      </c>
      <c r="AF94" s="572">
        <f t="shared" si="49"/>
        <v>445.93555199999997</v>
      </c>
      <c r="AG94" s="572">
        <f t="shared" si="50"/>
        <v>0</v>
      </c>
      <c r="AH94" s="600">
        <f t="shared" si="51"/>
        <v>0</v>
      </c>
    </row>
    <row r="95" spans="1:35" ht="14.4" x14ac:dyDescent="0.3">
      <c r="A95" s="560" t="s">
        <v>568</v>
      </c>
      <c r="B95" s="557" t="str">
        <f t="shared" si="52"/>
        <v>1990s</v>
      </c>
      <c r="C95" s="561">
        <v>1998</v>
      </c>
      <c r="D95" s="562">
        <f t="shared" si="30"/>
        <v>1995</v>
      </c>
      <c r="E95" s="563">
        <f t="shared" si="31"/>
        <v>1997</v>
      </c>
      <c r="F95" s="586">
        <f t="shared" si="32"/>
        <v>13220</v>
      </c>
      <c r="G95" s="587">
        <f t="shared" si="33"/>
        <v>13522</v>
      </c>
      <c r="H95" s="587">
        <f t="shared" si="34"/>
        <v>13520</v>
      </c>
      <c r="I95" s="2121">
        <f t="shared" si="35"/>
        <v>4666</v>
      </c>
      <c r="J95" s="2125">
        <f t="shared" si="36"/>
        <v>0.49989286479537176</v>
      </c>
      <c r="K95" s="590">
        <f t="shared" si="37"/>
        <v>7705</v>
      </c>
      <c r="L95" s="591">
        <f t="shared" si="45"/>
        <v>6759.5513177630173</v>
      </c>
      <c r="M95" s="606"/>
      <c r="N95" s="591"/>
      <c r="O95" s="569">
        <f t="shared" si="38"/>
        <v>2.9581422866439876E-4</v>
      </c>
      <c r="P95" s="592">
        <f t="shared" si="39"/>
        <v>0.49989286479537176</v>
      </c>
      <c r="Q95" s="571">
        <f t="shared" si="40"/>
        <v>0.5312979227659278</v>
      </c>
      <c r="R95" s="572">
        <f t="shared" si="41"/>
        <v>0</v>
      </c>
      <c r="S95" s="573">
        <f t="shared" si="42"/>
        <v>0.2778846153846154</v>
      </c>
      <c r="T95" s="574">
        <v>1.1000000000000001</v>
      </c>
      <c r="U95" s="557">
        <f t="shared" si="43"/>
        <v>3.0000000000000009</v>
      </c>
      <c r="V95" s="575">
        <f t="shared" si="44"/>
        <v>1</v>
      </c>
      <c r="W95" s="594">
        <v>5.2999999999999999E-2</v>
      </c>
      <c r="X95" s="595">
        <f t="shared" si="46"/>
        <v>716.66599999999994</v>
      </c>
      <c r="Y95" s="576">
        <v>5.1999999999999998E-2</v>
      </c>
      <c r="Z95" s="596">
        <f t="shared" si="47"/>
        <v>408.36500000000001</v>
      </c>
      <c r="AA95" s="2326" t="s">
        <v>1330</v>
      </c>
      <c r="AB95" s="597">
        <f t="shared" si="53"/>
        <v>358.25621984143993</v>
      </c>
      <c r="AC95" s="597" t="str">
        <f t="shared" si="54"/>
        <v/>
      </c>
      <c r="AD95" s="597">
        <f t="shared" si="55"/>
        <v>351.49666852367687</v>
      </c>
      <c r="AE95" s="598">
        <f t="shared" si="48"/>
        <v>358.25621984143993</v>
      </c>
      <c r="AF95" s="572">
        <f t="shared" si="49"/>
        <v>242.63199999999998</v>
      </c>
      <c r="AG95" s="599">
        <f t="shared" si="50"/>
        <v>0</v>
      </c>
      <c r="AH95" s="600">
        <f t="shared" si="51"/>
        <v>0</v>
      </c>
    </row>
    <row r="96" spans="1:35" ht="14.4" x14ac:dyDescent="0.3">
      <c r="A96" s="560" t="s">
        <v>568</v>
      </c>
      <c r="B96" s="557" t="str">
        <f t="shared" si="52"/>
        <v>1990s</v>
      </c>
      <c r="C96" s="561">
        <v>1998</v>
      </c>
      <c r="D96" s="562">
        <f t="shared" si="30"/>
        <v>1994</v>
      </c>
      <c r="E96" s="563">
        <f t="shared" si="31"/>
        <v>1996</v>
      </c>
      <c r="F96" s="586">
        <f t="shared" si="32"/>
        <v>13220</v>
      </c>
      <c r="G96" s="587">
        <f t="shared" si="33"/>
        <v>13522</v>
      </c>
      <c r="H96" s="587">
        <f t="shared" si="34"/>
        <v>13520</v>
      </c>
      <c r="I96" s="2121">
        <f t="shared" si="35"/>
        <v>4666</v>
      </c>
      <c r="J96" s="2125">
        <f t="shared" si="36"/>
        <v>0.49989286479537176</v>
      </c>
      <c r="K96" s="590">
        <f t="shared" si="37"/>
        <v>7705</v>
      </c>
      <c r="L96" s="591">
        <f t="shared" si="45"/>
        <v>6759.5513177630173</v>
      </c>
      <c r="M96" s="607"/>
      <c r="N96" s="591"/>
      <c r="O96" s="569">
        <f t="shared" si="38"/>
        <v>2.9581422866439876E-4</v>
      </c>
      <c r="P96" s="592">
        <f t="shared" si="39"/>
        <v>0.49989286479537176</v>
      </c>
      <c r="Q96" s="571">
        <f t="shared" si="40"/>
        <v>0.5312979227659278</v>
      </c>
      <c r="R96" s="572">
        <f t="shared" si="41"/>
        <v>0</v>
      </c>
      <c r="S96" s="573">
        <f t="shared" si="42"/>
        <v>0.2778846153846154</v>
      </c>
      <c r="T96" s="574">
        <v>1.2</v>
      </c>
      <c r="U96" s="557">
        <f t="shared" si="43"/>
        <v>3.9999999999999996</v>
      </c>
      <c r="V96" s="575">
        <f t="shared" si="44"/>
        <v>1</v>
      </c>
      <c r="W96" s="594">
        <v>0.78900000000000003</v>
      </c>
      <c r="X96" s="595">
        <f t="shared" si="46"/>
        <v>10668.858</v>
      </c>
      <c r="Y96" s="576">
        <v>0.82499999999999996</v>
      </c>
      <c r="Z96" s="596">
        <f t="shared" si="47"/>
        <v>6079.2449999999999</v>
      </c>
      <c r="AA96" s="2326" t="s">
        <v>1330</v>
      </c>
      <c r="AB96" s="597">
        <f t="shared" si="53"/>
        <v>5333.2859897150211</v>
      </c>
      <c r="AC96" s="597" t="str">
        <f t="shared" si="54"/>
        <v/>
      </c>
      <c r="AD96" s="597">
        <f t="shared" si="55"/>
        <v>5576.629837154489</v>
      </c>
      <c r="AE96" s="598">
        <f t="shared" si="48"/>
        <v>5333.2859897150211</v>
      </c>
      <c r="AF96" s="572">
        <f t="shared" si="49"/>
        <v>3849.45</v>
      </c>
      <c r="AG96" s="572">
        <f t="shared" si="50"/>
        <v>0</v>
      </c>
      <c r="AH96" s="600">
        <f t="shared" si="51"/>
        <v>0</v>
      </c>
    </row>
    <row r="97" spans="1:35" ht="14.4" x14ac:dyDescent="0.3">
      <c r="A97" s="560" t="s">
        <v>568</v>
      </c>
      <c r="B97" s="557" t="str">
        <f t="shared" si="52"/>
        <v>1990s</v>
      </c>
      <c r="C97" s="561">
        <v>1998</v>
      </c>
      <c r="D97" s="562">
        <f t="shared" si="30"/>
        <v>1993</v>
      </c>
      <c r="E97" s="563">
        <f t="shared" si="31"/>
        <v>1995</v>
      </c>
      <c r="F97" s="586">
        <f t="shared" si="32"/>
        <v>13220</v>
      </c>
      <c r="G97" s="587">
        <f t="shared" si="33"/>
        <v>13522</v>
      </c>
      <c r="H97" s="587">
        <f t="shared" si="34"/>
        <v>13520</v>
      </c>
      <c r="I97" s="2121">
        <f t="shared" si="35"/>
        <v>4666</v>
      </c>
      <c r="J97" s="2125">
        <f t="shared" si="36"/>
        <v>0.49989286479537176</v>
      </c>
      <c r="K97" s="590">
        <f t="shared" si="37"/>
        <v>7705</v>
      </c>
      <c r="L97" s="591">
        <f t="shared" si="45"/>
        <v>6759.5513177630173</v>
      </c>
      <c r="M97" s="607"/>
      <c r="N97" s="591"/>
      <c r="O97" s="569">
        <f t="shared" si="38"/>
        <v>2.9581422866439876E-4</v>
      </c>
      <c r="P97" s="592">
        <f t="shared" si="39"/>
        <v>0.49989286479537176</v>
      </c>
      <c r="Q97" s="571">
        <f t="shared" si="40"/>
        <v>0.5312979227659278</v>
      </c>
      <c r="R97" s="572">
        <f t="shared" si="41"/>
        <v>0</v>
      </c>
      <c r="S97" s="573">
        <f t="shared" si="42"/>
        <v>0.2778846153846154</v>
      </c>
      <c r="T97" s="574">
        <v>1.3</v>
      </c>
      <c r="U97" s="557">
        <f t="shared" si="43"/>
        <v>5</v>
      </c>
      <c r="V97" s="575">
        <f t="shared" si="44"/>
        <v>1</v>
      </c>
      <c r="W97" s="594">
        <v>0.158</v>
      </c>
      <c r="X97" s="595">
        <f t="shared" si="46"/>
        <v>2136.4760000000001</v>
      </c>
      <c r="Y97" s="576">
        <v>8.3000000000000004E-2</v>
      </c>
      <c r="Z97" s="596">
        <f t="shared" si="47"/>
        <v>1217.3900000000001</v>
      </c>
      <c r="AA97" s="2326" t="s">
        <v>1330</v>
      </c>
      <c r="AB97" s="597">
        <f t="shared" si="53"/>
        <v>1068.0091082065567</v>
      </c>
      <c r="AC97" s="597" t="str">
        <f t="shared" si="54"/>
        <v/>
      </c>
      <c r="AD97" s="597">
        <f t="shared" si="55"/>
        <v>561.04275937433044</v>
      </c>
      <c r="AE97" s="598">
        <f t="shared" si="48"/>
        <v>1068.0091082065567</v>
      </c>
      <c r="AF97" s="572">
        <f t="shared" si="49"/>
        <v>387.27800000000002</v>
      </c>
      <c r="AG97" s="572">
        <f t="shared" si="50"/>
        <v>0</v>
      </c>
      <c r="AH97" s="600">
        <f t="shared" si="51"/>
        <v>0</v>
      </c>
    </row>
    <row r="98" spans="1:35" ht="14.4" x14ac:dyDescent="0.3">
      <c r="A98" s="560" t="s">
        <v>568</v>
      </c>
      <c r="B98" s="557" t="str">
        <f t="shared" si="52"/>
        <v>1990s</v>
      </c>
      <c r="C98" s="561">
        <v>1998</v>
      </c>
      <c r="D98" s="562">
        <f t="shared" si="30"/>
        <v>1994</v>
      </c>
      <c r="E98" s="563">
        <f t="shared" si="31"/>
        <v>1997</v>
      </c>
      <c r="F98" s="586">
        <f t="shared" si="32"/>
        <v>13220</v>
      </c>
      <c r="G98" s="587">
        <f t="shared" si="33"/>
        <v>13522</v>
      </c>
      <c r="H98" s="587">
        <f t="shared" si="34"/>
        <v>13520</v>
      </c>
      <c r="I98" s="2121">
        <f t="shared" si="35"/>
        <v>4666</v>
      </c>
      <c r="J98" s="2125">
        <f t="shared" si="36"/>
        <v>0.49989286479537176</v>
      </c>
      <c r="K98" s="590">
        <f t="shared" si="37"/>
        <v>7705</v>
      </c>
      <c r="L98" s="591">
        <f t="shared" si="45"/>
        <v>6759.5513177630173</v>
      </c>
      <c r="M98" s="607"/>
      <c r="N98" s="591"/>
      <c r="O98" s="569">
        <f t="shared" si="38"/>
        <v>2.9581422866439876E-4</v>
      </c>
      <c r="P98" s="592">
        <f t="shared" si="39"/>
        <v>0.49989286479537176</v>
      </c>
      <c r="Q98" s="571">
        <f t="shared" si="40"/>
        <v>0.5312979227659278</v>
      </c>
      <c r="R98" s="572">
        <f t="shared" si="41"/>
        <v>0</v>
      </c>
      <c r="S98" s="573">
        <f t="shared" si="42"/>
        <v>0.2778846153846154</v>
      </c>
      <c r="T98" s="574">
        <v>2.1</v>
      </c>
      <c r="U98" s="557">
        <f t="shared" si="43"/>
        <v>4.0000000000000009</v>
      </c>
      <c r="V98" s="575">
        <f t="shared" si="44"/>
        <v>2</v>
      </c>
      <c r="W98" s="594">
        <v>0</v>
      </c>
      <c r="X98" s="595">
        <f t="shared" si="46"/>
        <v>0</v>
      </c>
      <c r="Y98" s="576">
        <v>2.3E-2</v>
      </c>
      <c r="Z98" s="596">
        <f t="shared" si="47"/>
        <v>0</v>
      </c>
      <c r="AA98" s="2326" t="s">
        <v>1330</v>
      </c>
      <c r="AB98" s="597">
        <f t="shared" si="53"/>
        <v>0</v>
      </c>
      <c r="AC98" s="597" t="str">
        <f t="shared" si="54"/>
        <v/>
      </c>
      <c r="AD98" s="597">
        <f t="shared" si="55"/>
        <v>155.46968030854939</v>
      </c>
      <c r="AE98" s="598">
        <f t="shared" si="48"/>
        <v>0</v>
      </c>
      <c r="AF98" s="572">
        <f t="shared" si="49"/>
        <v>107.318</v>
      </c>
      <c r="AG98" s="572">
        <f t="shared" si="50"/>
        <v>0</v>
      </c>
      <c r="AH98" s="600">
        <f t="shared" si="51"/>
        <v>0</v>
      </c>
    </row>
    <row r="99" spans="1:35" ht="14.4" x14ac:dyDescent="0.3">
      <c r="A99" s="560" t="s">
        <v>568</v>
      </c>
      <c r="B99" s="557" t="str">
        <f t="shared" si="52"/>
        <v>1990s</v>
      </c>
      <c r="C99" s="561">
        <v>1998</v>
      </c>
      <c r="D99" s="562">
        <f t="shared" si="30"/>
        <v>1993</v>
      </c>
      <c r="E99" s="563">
        <f t="shared" si="31"/>
        <v>1996</v>
      </c>
      <c r="F99" s="586">
        <f t="shared" si="32"/>
        <v>13220</v>
      </c>
      <c r="G99" s="587">
        <f t="shared" si="33"/>
        <v>13522</v>
      </c>
      <c r="H99" s="587">
        <f t="shared" si="34"/>
        <v>13520</v>
      </c>
      <c r="I99" s="2121">
        <f t="shared" si="35"/>
        <v>4666</v>
      </c>
      <c r="J99" s="2125">
        <f t="shared" si="36"/>
        <v>0.49989286479537176</v>
      </c>
      <c r="K99" s="590">
        <f t="shared" si="37"/>
        <v>7705</v>
      </c>
      <c r="L99" s="591">
        <f t="shared" si="45"/>
        <v>6759.5513177630173</v>
      </c>
      <c r="M99" s="607"/>
      <c r="N99" s="591"/>
      <c r="O99" s="569">
        <f t="shared" si="38"/>
        <v>2.9581422866439876E-4</v>
      </c>
      <c r="P99" s="592">
        <f t="shared" si="39"/>
        <v>0.49989286479537176</v>
      </c>
      <c r="Q99" s="571">
        <f t="shared" si="40"/>
        <v>0.5312979227659278</v>
      </c>
      <c r="R99" s="572">
        <f t="shared" si="41"/>
        <v>0</v>
      </c>
      <c r="S99" s="573">
        <f t="shared" si="42"/>
        <v>0.2778846153846154</v>
      </c>
      <c r="T99" s="574">
        <v>2.2000000000000002</v>
      </c>
      <c r="U99" s="557">
        <f t="shared" si="43"/>
        <v>5.0000000000000018</v>
      </c>
      <c r="V99" s="575">
        <f t="shared" si="44"/>
        <v>2</v>
      </c>
      <c r="W99" s="594">
        <v>0</v>
      </c>
      <c r="X99" s="595">
        <f t="shared" si="46"/>
        <v>0</v>
      </c>
      <c r="Y99" s="576">
        <v>1.6E-2</v>
      </c>
      <c r="Z99" s="596">
        <f t="shared" si="47"/>
        <v>0</v>
      </c>
      <c r="AA99" s="2326" t="s">
        <v>1330</v>
      </c>
      <c r="AB99" s="597">
        <f t="shared" si="53"/>
        <v>0</v>
      </c>
      <c r="AC99" s="597" t="str">
        <f t="shared" si="54"/>
        <v/>
      </c>
      <c r="AD99" s="597">
        <f t="shared" si="55"/>
        <v>108.15282108420828</v>
      </c>
      <c r="AE99" s="598">
        <f t="shared" si="48"/>
        <v>0</v>
      </c>
      <c r="AF99" s="572">
        <f t="shared" si="49"/>
        <v>74.656000000000006</v>
      </c>
      <c r="AG99" s="572">
        <f t="shared" si="50"/>
        <v>0</v>
      </c>
      <c r="AH99" s="600">
        <f t="shared" si="51"/>
        <v>0</v>
      </c>
    </row>
    <row r="100" spans="1:35" ht="14.4" x14ac:dyDescent="0.3">
      <c r="A100" s="560" t="s">
        <v>568</v>
      </c>
      <c r="B100" s="557" t="str">
        <f t="shared" si="52"/>
        <v>1990s</v>
      </c>
      <c r="C100" s="561">
        <v>1999</v>
      </c>
      <c r="D100" s="562">
        <f t="shared" si="30"/>
        <v>1996</v>
      </c>
      <c r="E100" s="563">
        <f t="shared" si="31"/>
        <v>1998</v>
      </c>
      <c r="F100" s="586">
        <f t="shared" si="32"/>
        <v>19094</v>
      </c>
      <c r="G100" s="587">
        <f t="shared" si="33"/>
        <v>18383</v>
      </c>
      <c r="H100" s="587">
        <f t="shared" si="34"/>
        <v>18382</v>
      </c>
      <c r="I100" s="2121">
        <f t="shared" si="35"/>
        <v>12388</v>
      </c>
      <c r="J100" s="2125">
        <f t="shared" si="36"/>
        <v>0.7952295264703797</v>
      </c>
      <c r="K100" s="590">
        <f t="shared" si="37"/>
        <v>16715</v>
      </c>
      <c r="L100" s="591">
        <f t="shared" si="45"/>
        <v>14618.704385104989</v>
      </c>
      <c r="M100" s="606"/>
      <c r="N100" s="591"/>
      <c r="O100" s="569">
        <f t="shared" si="38"/>
        <v>8.1597127781102101E-4</v>
      </c>
      <c r="P100" s="592">
        <f t="shared" si="39"/>
        <v>0.7952295264703797</v>
      </c>
      <c r="Q100" s="571">
        <f t="shared" si="40"/>
        <v>0.74158529929043604</v>
      </c>
      <c r="R100" s="572">
        <f t="shared" si="41"/>
        <v>0</v>
      </c>
      <c r="S100" s="573">
        <f t="shared" si="42"/>
        <v>0.11343203110641405</v>
      </c>
      <c r="T100" s="602">
        <v>1.1000000000000001</v>
      </c>
      <c r="U100" s="557">
        <f t="shared" si="43"/>
        <v>3.0000000000000009</v>
      </c>
      <c r="V100" s="575">
        <f t="shared" si="44"/>
        <v>1</v>
      </c>
      <c r="W100" s="594">
        <v>0.114</v>
      </c>
      <c r="X100" s="595">
        <f t="shared" si="46"/>
        <v>2095.6620000000003</v>
      </c>
      <c r="Y100" s="576">
        <v>5.1999999999999998E-2</v>
      </c>
      <c r="Z100" s="596">
        <f t="shared" si="47"/>
        <v>1905.51</v>
      </c>
      <c r="AA100" s="2326" t="s">
        <v>1330</v>
      </c>
      <c r="AB100" s="597">
        <f t="shared" si="53"/>
        <v>1666.5322999019688</v>
      </c>
      <c r="AC100" s="597" t="str">
        <f t="shared" si="54"/>
        <v/>
      </c>
      <c r="AD100" s="597">
        <f t="shared" si="55"/>
        <v>760.1726280254594</v>
      </c>
      <c r="AE100" s="598">
        <f t="shared" si="48"/>
        <v>1666.5322999019688</v>
      </c>
      <c r="AF100" s="572">
        <f t="shared" si="49"/>
        <v>644.17599999999993</v>
      </c>
      <c r="AG100" s="599">
        <f t="shared" si="50"/>
        <v>0</v>
      </c>
      <c r="AH100" s="600">
        <f t="shared" si="51"/>
        <v>0</v>
      </c>
    </row>
    <row r="101" spans="1:35" ht="14.4" x14ac:dyDescent="0.3">
      <c r="A101" s="560" t="s">
        <v>568</v>
      </c>
      <c r="B101" s="557" t="str">
        <f t="shared" si="52"/>
        <v>1990s</v>
      </c>
      <c r="C101" s="561">
        <v>1999</v>
      </c>
      <c r="D101" s="562">
        <f t="shared" si="30"/>
        <v>1995</v>
      </c>
      <c r="E101" s="563">
        <f t="shared" si="31"/>
        <v>1997</v>
      </c>
      <c r="F101" s="586">
        <f t="shared" si="32"/>
        <v>19094</v>
      </c>
      <c r="G101" s="587">
        <f t="shared" si="33"/>
        <v>18383</v>
      </c>
      <c r="H101" s="587">
        <f t="shared" si="34"/>
        <v>18382</v>
      </c>
      <c r="I101" s="2121">
        <f t="shared" si="35"/>
        <v>12388</v>
      </c>
      <c r="J101" s="2125">
        <f t="shared" si="36"/>
        <v>0.7952295264703797</v>
      </c>
      <c r="K101" s="590">
        <f t="shared" si="37"/>
        <v>16715</v>
      </c>
      <c r="L101" s="591">
        <f t="shared" si="45"/>
        <v>14618.704385104989</v>
      </c>
      <c r="M101" s="607"/>
      <c r="N101" s="591"/>
      <c r="O101" s="569">
        <f t="shared" si="38"/>
        <v>8.1597127781102101E-4</v>
      </c>
      <c r="P101" s="592">
        <f t="shared" si="39"/>
        <v>0.7952295264703797</v>
      </c>
      <c r="Q101" s="571">
        <f t="shared" si="40"/>
        <v>0.74158529929043604</v>
      </c>
      <c r="R101" s="572">
        <f t="shared" si="41"/>
        <v>0</v>
      </c>
      <c r="S101" s="573">
        <f t="shared" si="42"/>
        <v>0.11343203110641405</v>
      </c>
      <c r="T101" s="574">
        <v>1.2</v>
      </c>
      <c r="U101" s="557">
        <f t="shared" si="43"/>
        <v>3.9999999999999996</v>
      </c>
      <c r="V101" s="575">
        <f t="shared" si="44"/>
        <v>1</v>
      </c>
      <c r="W101" s="594">
        <v>0.84899999999999998</v>
      </c>
      <c r="X101" s="595">
        <f t="shared" si="46"/>
        <v>15607.166999999999</v>
      </c>
      <c r="Y101" s="576">
        <v>0.82499999999999996</v>
      </c>
      <c r="Z101" s="596">
        <f t="shared" si="47"/>
        <v>14191.035</v>
      </c>
      <c r="AA101" s="2326" t="s">
        <v>1330</v>
      </c>
      <c r="AB101" s="597">
        <f t="shared" si="53"/>
        <v>12411.280022954135</v>
      </c>
      <c r="AC101" s="597" t="str">
        <f t="shared" si="54"/>
        <v/>
      </c>
      <c r="AD101" s="597">
        <f t="shared" si="55"/>
        <v>12060.431117711616</v>
      </c>
      <c r="AE101" s="598">
        <f t="shared" si="48"/>
        <v>12411.280022954135</v>
      </c>
      <c r="AF101" s="572">
        <f t="shared" si="49"/>
        <v>10220.099999999999</v>
      </c>
      <c r="AG101" s="572">
        <f t="shared" si="50"/>
        <v>0</v>
      </c>
      <c r="AH101" s="600">
        <f t="shared" si="51"/>
        <v>0</v>
      </c>
    </row>
    <row r="102" spans="1:35" ht="14.4" x14ac:dyDescent="0.3">
      <c r="A102" s="560" t="s">
        <v>568</v>
      </c>
      <c r="B102" s="557" t="str">
        <f t="shared" si="52"/>
        <v>1990s</v>
      </c>
      <c r="C102" s="561">
        <v>1999</v>
      </c>
      <c r="D102" s="562">
        <f t="shared" si="30"/>
        <v>1994</v>
      </c>
      <c r="E102" s="563">
        <f t="shared" si="31"/>
        <v>1996</v>
      </c>
      <c r="F102" s="586">
        <f t="shared" si="32"/>
        <v>19094</v>
      </c>
      <c r="G102" s="587">
        <f t="shared" si="33"/>
        <v>18383</v>
      </c>
      <c r="H102" s="587">
        <f t="shared" si="34"/>
        <v>18382</v>
      </c>
      <c r="I102" s="2121">
        <f t="shared" si="35"/>
        <v>12388</v>
      </c>
      <c r="J102" s="2125">
        <f t="shared" si="36"/>
        <v>0.7952295264703797</v>
      </c>
      <c r="K102" s="590">
        <f t="shared" si="37"/>
        <v>16715</v>
      </c>
      <c r="L102" s="591">
        <f t="shared" si="45"/>
        <v>14618.704385104989</v>
      </c>
      <c r="M102" s="591"/>
      <c r="N102" s="591"/>
      <c r="O102" s="569">
        <f t="shared" si="38"/>
        <v>8.1597127781102101E-4</v>
      </c>
      <c r="P102" s="592">
        <f t="shared" si="39"/>
        <v>0.7952295264703797</v>
      </c>
      <c r="Q102" s="571">
        <f t="shared" si="40"/>
        <v>0.74158529929043604</v>
      </c>
      <c r="R102" s="572">
        <f t="shared" si="41"/>
        <v>0</v>
      </c>
      <c r="S102" s="573">
        <f t="shared" si="42"/>
        <v>0.11343203110641405</v>
      </c>
      <c r="T102" s="574">
        <v>1.3</v>
      </c>
      <c r="U102" s="557">
        <f t="shared" si="43"/>
        <v>5</v>
      </c>
      <c r="V102" s="575">
        <f t="shared" si="44"/>
        <v>1</v>
      </c>
      <c r="W102" s="594">
        <v>0</v>
      </c>
      <c r="X102" s="595">
        <f t="shared" si="46"/>
        <v>0</v>
      </c>
      <c r="Y102" s="576">
        <v>8.3000000000000004E-2</v>
      </c>
      <c r="Z102" s="596">
        <f t="shared" si="47"/>
        <v>0</v>
      </c>
      <c r="AA102" s="2326" t="s">
        <v>1330</v>
      </c>
      <c r="AB102" s="597">
        <f t="shared" si="53"/>
        <v>0</v>
      </c>
      <c r="AC102" s="597" t="str">
        <f t="shared" si="54"/>
        <v/>
      </c>
      <c r="AD102" s="597">
        <f t="shared" si="55"/>
        <v>1213.3524639637142</v>
      </c>
      <c r="AE102" s="598">
        <f t="shared" si="48"/>
        <v>0</v>
      </c>
      <c r="AF102" s="572">
        <f t="shared" si="49"/>
        <v>1028.204</v>
      </c>
      <c r="AG102" s="572">
        <f t="shared" si="50"/>
        <v>0</v>
      </c>
      <c r="AH102" s="600">
        <f t="shared" si="51"/>
        <v>0</v>
      </c>
    </row>
    <row r="103" spans="1:35" ht="14.4" x14ac:dyDescent="0.3">
      <c r="A103" s="560" t="s">
        <v>568</v>
      </c>
      <c r="B103" s="557" t="str">
        <f t="shared" si="52"/>
        <v>1990s</v>
      </c>
      <c r="C103" s="561">
        <v>1999</v>
      </c>
      <c r="D103" s="562">
        <f t="shared" si="30"/>
        <v>1995</v>
      </c>
      <c r="E103" s="563">
        <f t="shared" si="31"/>
        <v>1998</v>
      </c>
      <c r="F103" s="586">
        <f t="shared" si="32"/>
        <v>19094</v>
      </c>
      <c r="G103" s="587">
        <f t="shared" si="33"/>
        <v>18383</v>
      </c>
      <c r="H103" s="587">
        <f t="shared" si="34"/>
        <v>18382</v>
      </c>
      <c r="I103" s="2121">
        <f t="shared" si="35"/>
        <v>12388</v>
      </c>
      <c r="J103" s="2125">
        <f t="shared" si="36"/>
        <v>0.7952295264703797</v>
      </c>
      <c r="K103" s="590">
        <f t="shared" si="37"/>
        <v>16715</v>
      </c>
      <c r="L103" s="591">
        <f t="shared" si="45"/>
        <v>14618.704385104989</v>
      </c>
      <c r="M103" s="591"/>
      <c r="N103" s="591"/>
      <c r="O103" s="569">
        <f t="shared" si="38"/>
        <v>8.1597127781102101E-4</v>
      </c>
      <c r="P103" s="592">
        <f t="shared" si="39"/>
        <v>0.7952295264703797</v>
      </c>
      <c r="Q103" s="571">
        <f t="shared" si="40"/>
        <v>0.74158529929043604</v>
      </c>
      <c r="R103" s="572">
        <f t="shared" si="41"/>
        <v>0</v>
      </c>
      <c r="S103" s="573">
        <f t="shared" si="42"/>
        <v>0.11343203110641405</v>
      </c>
      <c r="T103" s="574">
        <v>2.1</v>
      </c>
      <c r="U103" s="557">
        <f t="shared" si="43"/>
        <v>4.0000000000000009</v>
      </c>
      <c r="V103" s="575">
        <f t="shared" si="44"/>
        <v>2</v>
      </c>
      <c r="W103" s="594">
        <v>3.7999999999999999E-2</v>
      </c>
      <c r="X103" s="595">
        <f t="shared" si="46"/>
        <v>698.55399999999997</v>
      </c>
      <c r="Y103" s="576">
        <v>2.3E-2</v>
      </c>
      <c r="Z103" s="596">
        <f t="shared" si="47"/>
        <v>635.16999999999996</v>
      </c>
      <c r="AA103" s="2326" t="s">
        <v>1330</v>
      </c>
      <c r="AB103" s="597">
        <f t="shared" si="53"/>
        <v>555.51076663398953</v>
      </c>
      <c r="AC103" s="597" t="str">
        <f t="shared" si="54"/>
        <v/>
      </c>
      <c r="AD103" s="597">
        <f t="shared" si="55"/>
        <v>336.23020085741473</v>
      </c>
      <c r="AE103" s="598">
        <f t="shared" si="48"/>
        <v>555.51076663398953</v>
      </c>
      <c r="AF103" s="572">
        <f t="shared" si="49"/>
        <v>284.92399999999998</v>
      </c>
      <c r="AG103" s="572">
        <f t="shared" si="50"/>
        <v>0</v>
      </c>
      <c r="AH103" s="600">
        <f t="shared" si="51"/>
        <v>0</v>
      </c>
    </row>
    <row r="104" spans="1:35" ht="14.4" x14ac:dyDescent="0.3">
      <c r="A104" s="560" t="s">
        <v>568</v>
      </c>
      <c r="B104" s="557" t="str">
        <f t="shared" si="52"/>
        <v>1990s</v>
      </c>
      <c r="C104" s="561">
        <v>1999</v>
      </c>
      <c r="D104" s="562">
        <f t="shared" si="30"/>
        <v>1994</v>
      </c>
      <c r="E104" s="563">
        <f t="shared" si="31"/>
        <v>1997</v>
      </c>
      <c r="F104" s="586">
        <f t="shared" si="32"/>
        <v>19094</v>
      </c>
      <c r="G104" s="587">
        <f t="shared" si="33"/>
        <v>18383</v>
      </c>
      <c r="H104" s="587">
        <f t="shared" si="34"/>
        <v>18382</v>
      </c>
      <c r="I104" s="2121">
        <f t="shared" si="35"/>
        <v>12388</v>
      </c>
      <c r="J104" s="2125">
        <f t="shared" si="36"/>
        <v>0.7952295264703797</v>
      </c>
      <c r="K104" s="590">
        <f t="shared" si="37"/>
        <v>16715</v>
      </c>
      <c r="L104" s="591">
        <f t="shared" si="45"/>
        <v>14618.704385104989</v>
      </c>
      <c r="M104" s="591"/>
      <c r="N104" s="591"/>
      <c r="O104" s="569">
        <f t="shared" si="38"/>
        <v>8.1597127781102101E-4</v>
      </c>
      <c r="P104" s="592">
        <f t="shared" si="39"/>
        <v>0.7952295264703797</v>
      </c>
      <c r="Q104" s="571">
        <f t="shared" si="40"/>
        <v>0.74158529929043604</v>
      </c>
      <c r="R104" s="572">
        <f t="shared" si="41"/>
        <v>0</v>
      </c>
      <c r="S104" s="573">
        <f t="shared" si="42"/>
        <v>0.11343203110641405</v>
      </c>
      <c r="T104" s="574">
        <v>2.2000000000000002</v>
      </c>
      <c r="U104" s="557">
        <f t="shared" si="43"/>
        <v>5.0000000000000018</v>
      </c>
      <c r="V104" s="575">
        <f t="shared" si="44"/>
        <v>2</v>
      </c>
      <c r="W104" s="594">
        <v>0</v>
      </c>
      <c r="X104" s="595">
        <f t="shared" si="46"/>
        <v>0</v>
      </c>
      <c r="Y104" s="576">
        <v>1.6E-2</v>
      </c>
      <c r="Z104" s="596">
        <f t="shared" si="47"/>
        <v>0</v>
      </c>
      <c r="AA104" s="2326" t="s">
        <v>1330</v>
      </c>
      <c r="AB104" s="597">
        <f t="shared" si="53"/>
        <v>0</v>
      </c>
      <c r="AC104" s="597" t="str">
        <f t="shared" si="54"/>
        <v/>
      </c>
      <c r="AD104" s="597">
        <f t="shared" si="55"/>
        <v>233.89927016167982</v>
      </c>
      <c r="AE104" s="598">
        <f t="shared" si="48"/>
        <v>0</v>
      </c>
      <c r="AF104" s="572">
        <f t="shared" si="49"/>
        <v>198.208</v>
      </c>
      <c r="AG104" s="572">
        <f t="shared" si="50"/>
        <v>0</v>
      </c>
      <c r="AH104" s="600">
        <f t="shared" si="51"/>
        <v>0</v>
      </c>
    </row>
    <row r="105" spans="1:35" ht="14.4" x14ac:dyDescent="0.3">
      <c r="A105" s="560" t="s">
        <v>568</v>
      </c>
      <c r="B105" s="557" t="str">
        <f t="shared" si="52"/>
        <v>1990s</v>
      </c>
      <c r="C105" s="561">
        <v>2000</v>
      </c>
      <c r="D105" s="562">
        <f t="shared" si="30"/>
        <v>1997</v>
      </c>
      <c r="E105" s="563">
        <f t="shared" si="31"/>
        <v>1999</v>
      </c>
      <c r="F105" s="586">
        <f t="shared" si="32"/>
        <v>93764</v>
      </c>
      <c r="G105" s="587">
        <f t="shared" si="33"/>
        <v>97557</v>
      </c>
      <c r="H105" s="587">
        <f t="shared" si="34"/>
        <v>97191</v>
      </c>
      <c r="I105" s="2121">
        <f t="shared" si="35"/>
        <v>59944</v>
      </c>
      <c r="J105" s="2125">
        <f t="shared" si="36"/>
        <v>0.78345880384776245</v>
      </c>
      <c r="K105" s="590">
        <f t="shared" si="37"/>
        <v>73866</v>
      </c>
      <c r="L105" s="591">
        <f t="shared" si="45"/>
        <v>76431.89052697616</v>
      </c>
      <c r="M105" s="589">
        <f t="shared" ref="M105:M136" si="56">VLOOKUP($C105,SockeyeReturnsData,12)</f>
        <v>59944</v>
      </c>
      <c r="N105" s="591">
        <f t="shared" ref="N105:N168" si="57">IF(M105,M105*G105,J105*G105)</f>
        <v>5847956808</v>
      </c>
      <c r="O105" s="569">
        <f t="shared" si="38"/>
        <v>3.7414024621503328E-3</v>
      </c>
      <c r="P105" s="592">
        <f t="shared" si="39"/>
        <v>0.78345880384776245</v>
      </c>
      <c r="Q105" s="571">
        <f t="shared" si="40"/>
        <v>0.75851596902363716</v>
      </c>
      <c r="R105" s="572">
        <f t="shared" si="41"/>
        <v>0.55000000000000004</v>
      </c>
      <c r="S105" s="573">
        <f t="shared" si="42"/>
        <v>0.17907007850521139</v>
      </c>
      <c r="T105" s="602">
        <v>1.1000000000000001</v>
      </c>
      <c r="U105" s="557">
        <f t="shared" si="43"/>
        <v>3.0000000000000009</v>
      </c>
      <c r="V105" s="575">
        <f t="shared" si="44"/>
        <v>1</v>
      </c>
      <c r="W105" s="608">
        <v>0.13</v>
      </c>
      <c r="X105" s="595">
        <f t="shared" si="46"/>
        <v>12682.41</v>
      </c>
      <c r="Y105" s="605">
        <v>0</v>
      </c>
      <c r="Z105" s="596">
        <f t="shared" si="47"/>
        <v>9602.58</v>
      </c>
      <c r="AA105" s="2326" t="s">
        <v>1330</v>
      </c>
      <c r="AB105" s="597">
        <f t="shared" si="53"/>
        <v>9936.1457685069017</v>
      </c>
      <c r="AC105" s="597">
        <f t="shared" si="54"/>
        <v>760234385.04000008</v>
      </c>
      <c r="AD105" s="597" t="str">
        <f t="shared" si="55"/>
        <v/>
      </c>
      <c r="AE105" s="598">
        <f t="shared" si="48"/>
        <v>9936.1457685069017</v>
      </c>
      <c r="AF105" s="572">
        <f t="shared" si="49"/>
        <v>0</v>
      </c>
      <c r="AG105" s="599">
        <f t="shared" si="50"/>
        <v>0</v>
      </c>
      <c r="AH105" s="600">
        <f t="shared" si="51"/>
        <v>0</v>
      </c>
      <c r="AI105" s="559" t="s">
        <v>1332</v>
      </c>
    </row>
    <row r="106" spans="1:35" ht="14.4" x14ac:dyDescent="0.3">
      <c r="A106" s="560" t="s">
        <v>568</v>
      </c>
      <c r="B106" s="557" t="str">
        <f t="shared" si="52"/>
        <v>1990s</v>
      </c>
      <c r="C106" s="561">
        <v>2000</v>
      </c>
      <c r="D106" s="562">
        <f t="shared" si="30"/>
        <v>1996</v>
      </c>
      <c r="E106" s="563">
        <f t="shared" si="31"/>
        <v>1998</v>
      </c>
      <c r="F106" s="586">
        <f t="shared" si="32"/>
        <v>93764</v>
      </c>
      <c r="G106" s="587">
        <f t="shared" si="33"/>
        <v>97557</v>
      </c>
      <c r="H106" s="587">
        <f t="shared" si="34"/>
        <v>97191</v>
      </c>
      <c r="I106" s="2121">
        <f t="shared" si="35"/>
        <v>59944</v>
      </c>
      <c r="J106" s="2125">
        <f t="shared" si="36"/>
        <v>0.78345880384776245</v>
      </c>
      <c r="K106" s="590">
        <f t="shared" si="37"/>
        <v>73866</v>
      </c>
      <c r="L106" s="591">
        <f t="shared" si="45"/>
        <v>76431.89052697616</v>
      </c>
      <c r="M106" s="589">
        <f t="shared" si="56"/>
        <v>59944</v>
      </c>
      <c r="N106" s="591">
        <f t="shared" si="57"/>
        <v>5847956808</v>
      </c>
      <c r="O106" s="569">
        <f t="shared" si="38"/>
        <v>3.7414024621503328E-3</v>
      </c>
      <c r="P106" s="592">
        <f t="shared" si="39"/>
        <v>0.78345880384776245</v>
      </c>
      <c r="Q106" s="571">
        <f t="shared" si="40"/>
        <v>0.75851596902363716</v>
      </c>
      <c r="R106" s="572">
        <f t="shared" si="41"/>
        <v>0.55000000000000004</v>
      </c>
      <c r="S106" s="573">
        <f t="shared" si="42"/>
        <v>0.17907007850521139</v>
      </c>
      <c r="T106" s="574">
        <v>1.2</v>
      </c>
      <c r="U106" s="557">
        <f t="shared" si="43"/>
        <v>3.9999999999999996</v>
      </c>
      <c r="V106" s="575">
        <f t="shared" si="44"/>
        <v>1</v>
      </c>
      <c r="W106" s="594">
        <v>0.84</v>
      </c>
      <c r="X106" s="595">
        <f t="shared" si="46"/>
        <v>81947.87999999999</v>
      </c>
      <c r="Y106" s="594">
        <v>0.97899999999999998</v>
      </c>
      <c r="Z106" s="596">
        <f t="shared" si="47"/>
        <v>62047.439999999995</v>
      </c>
      <c r="AA106" s="2326" t="s">
        <v>1330</v>
      </c>
      <c r="AB106" s="597">
        <f t="shared" si="53"/>
        <v>64202.788042659973</v>
      </c>
      <c r="AC106" s="597">
        <f t="shared" si="54"/>
        <v>4912283718.7200003</v>
      </c>
      <c r="AD106" s="597">
        <f t="shared" si="55"/>
        <v>74826.820825909657</v>
      </c>
      <c r="AE106" s="598">
        <f t="shared" si="48"/>
        <v>64202.788042659973</v>
      </c>
      <c r="AF106" s="572">
        <f t="shared" si="49"/>
        <v>58685.175999999999</v>
      </c>
      <c r="AG106" s="572">
        <f t="shared" si="50"/>
        <v>0.53844999999999998</v>
      </c>
      <c r="AH106" s="600">
        <f t="shared" si="51"/>
        <v>6.5706397773804525E-6</v>
      </c>
      <c r="AI106" s="559" t="s">
        <v>1333</v>
      </c>
    </row>
    <row r="107" spans="1:35" ht="14.4" x14ac:dyDescent="0.3">
      <c r="A107" s="560" t="s">
        <v>568</v>
      </c>
      <c r="B107" s="557" t="str">
        <f t="shared" si="52"/>
        <v>1990s</v>
      </c>
      <c r="C107" s="561">
        <v>2000</v>
      </c>
      <c r="D107" s="562">
        <f t="shared" si="30"/>
        <v>1995</v>
      </c>
      <c r="E107" s="563">
        <f t="shared" si="31"/>
        <v>1997</v>
      </c>
      <c r="F107" s="586">
        <f t="shared" si="32"/>
        <v>93764</v>
      </c>
      <c r="G107" s="587">
        <f t="shared" si="33"/>
        <v>97557</v>
      </c>
      <c r="H107" s="587">
        <f t="shared" si="34"/>
        <v>97191</v>
      </c>
      <c r="I107" s="2121">
        <f t="shared" si="35"/>
        <v>59944</v>
      </c>
      <c r="J107" s="2125">
        <f t="shared" si="36"/>
        <v>0.78345880384776245</v>
      </c>
      <c r="K107" s="590">
        <f t="shared" si="37"/>
        <v>73866</v>
      </c>
      <c r="L107" s="591">
        <f t="shared" si="45"/>
        <v>76431.89052697616</v>
      </c>
      <c r="M107" s="589">
        <f t="shared" si="56"/>
        <v>59944</v>
      </c>
      <c r="N107" s="591">
        <f t="shared" si="57"/>
        <v>5847956808</v>
      </c>
      <c r="O107" s="569">
        <f t="shared" si="38"/>
        <v>3.7414024621503328E-3</v>
      </c>
      <c r="P107" s="592">
        <f t="shared" si="39"/>
        <v>0.78345880384776245</v>
      </c>
      <c r="Q107" s="571">
        <f t="shared" si="40"/>
        <v>0.75851596902363716</v>
      </c>
      <c r="R107" s="572">
        <f t="shared" si="41"/>
        <v>0.55000000000000004</v>
      </c>
      <c r="S107" s="573">
        <f t="shared" si="42"/>
        <v>0.17907007850521139</v>
      </c>
      <c r="T107" s="574">
        <v>1.3</v>
      </c>
      <c r="U107" s="557">
        <f t="shared" si="43"/>
        <v>5</v>
      </c>
      <c r="V107" s="575">
        <f t="shared" si="44"/>
        <v>1</v>
      </c>
      <c r="W107" s="594">
        <v>0.01</v>
      </c>
      <c r="X107" s="595">
        <f t="shared" si="46"/>
        <v>975.57</v>
      </c>
      <c r="Y107" s="594">
        <v>0</v>
      </c>
      <c r="Z107" s="596">
        <f t="shared" si="47"/>
        <v>738.66</v>
      </c>
      <c r="AA107" s="2326" t="s">
        <v>1330</v>
      </c>
      <c r="AB107" s="597">
        <f t="shared" si="53"/>
        <v>764.31890526976167</v>
      </c>
      <c r="AC107" s="597">
        <f t="shared" si="54"/>
        <v>58479568.079999998</v>
      </c>
      <c r="AD107" s="597" t="str">
        <f t="shared" si="55"/>
        <v/>
      </c>
      <c r="AE107" s="598">
        <f t="shared" si="48"/>
        <v>764.31890526976167</v>
      </c>
      <c r="AF107" s="572">
        <f t="shared" si="49"/>
        <v>0</v>
      </c>
      <c r="AG107" s="572">
        <f t="shared" si="50"/>
        <v>0</v>
      </c>
      <c r="AH107" s="600">
        <f t="shared" si="51"/>
        <v>0</v>
      </c>
    </row>
    <row r="108" spans="1:35" ht="14.4" x14ac:dyDescent="0.3">
      <c r="A108" s="560" t="s">
        <v>568</v>
      </c>
      <c r="B108" s="557" t="str">
        <f t="shared" si="52"/>
        <v>1990s</v>
      </c>
      <c r="C108" s="561">
        <v>2000</v>
      </c>
      <c r="D108" s="562">
        <f t="shared" si="30"/>
        <v>1996</v>
      </c>
      <c r="E108" s="563">
        <f t="shared" si="31"/>
        <v>1999</v>
      </c>
      <c r="F108" s="586">
        <f t="shared" si="32"/>
        <v>93764</v>
      </c>
      <c r="G108" s="587">
        <f t="shared" si="33"/>
        <v>97557</v>
      </c>
      <c r="H108" s="587">
        <f t="shared" si="34"/>
        <v>97191</v>
      </c>
      <c r="I108" s="2121">
        <f t="shared" si="35"/>
        <v>59944</v>
      </c>
      <c r="J108" s="2125">
        <f t="shared" si="36"/>
        <v>0.78345880384776245</v>
      </c>
      <c r="K108" s="590">
        <f t="shared" si="37"/>
        <v>73866</v>
      </c>
      <c r="L108" s="591">
        <f t="shared" si="45"/>
        <v>76431.89052697616</v>
      </c>
      <c r="M108" s="589">
        <f t="shared" si="56"/>
        <v>59944</v>
      </c>
      <c r="N108" s="591">
        <f t="shared" si="57"/>
        <v>5847956808</v>
      </c>
      <c r="O108" s="569">
        <f t="shared" si="38"/>
        <v>3.7414024621503328E-3</v>
      </c>
      <c r="P108" s="592">
        <f t="shared" si="39"/>
        <v>0.78345880384776245</v>
      </c>
      <c r="Q108" s="571">
        <f t="shared" si="40"/>
        <v>0.75851596902363716</v>
      </c>
      <c r="R108" s="572">
        <f t="shared" si="41"/>
        <v>0.55000000000000004</v>
      </c>
      <c r="S108" s="573">
        <f t="shared" si="42"/>
        <v>0.17907007850521139</v>
      </c>
      <c r="T108" s="574">
        <v>2.1</v>
      </c>
      <c r="U108" s="557">
        <f t="shared" si="43"/>
        <v>4.0000000000000009</v>
      </c>
      <c r="V108" s="575">
        <f t="shared" si="44"/>
        <v>2</v>
      </c>
      <c r="W108" s="594">
        <v>0.01</v>
      </c>
      <c r="X108" s="595">
        <f t="shared" si="46"/>
        <v>975.57</v>
      </c>
      <c r="Y108" s="594">
        <v>0</v>
      </c>
      <c r="Z108" s="596">
        <f t="shared" si="47"/>
        <v>738.66</v>
      </c>
      <c r="AA108" s="2326" t="s">
        <v>1330</v>
      </c>
      <c r="AB108" s="597">
        <f t="shared" si="53"/>
        <v>764.31890526976167</v>
      </c>
      <c r="AC108" s="597">
        <f t="shared" si="54"/>
        <v>58479568.079999998</v>
      </c>
      <c r="AD108" s="597" t="str">
        <f t="shared" si="55"/>
        <v/>
      </c>
      <c r="AE108" s="598">
        <f t="shared" si="48"/>
        <v>764.31890526976167</v>
      </c>
      <c r="AF108" s="572">
        <f t="shared" si="49"/>
        <v>0</v>
      </c>
      <c r="AG108" s="572">
        <f t="shared" si="50"/>
        <v>0</v>
      </c>
      <c r="AH108" s="600">
        <f t="shared" si="51"/>
        <v>0</v>
      </c>
    </row>
    <row r="109" spans="1:35" ht="14.4" x14ac:dyDescent="0.3">
      <c r="A109" s="560" t="s">
        <v>568</v>
      </c>
      <c r="B109" s="557" t="str">
        <f t="shared" si="52"/>
        <v>1990s</v>
      </c>
      <c r="C109" s="561">
        <v>2000</v>
      </c>
      <c r="D109" s="562">
        <f t="shared" si="30"/>
        <v>1995</v>
      </c>
      <c r="E109" s="563">
        <f t="shared" si="31"/>
        <v>1998</v>
      </c>
      <c r="F109" s="586">
        <f t="shared" si="32"/>
        <v>93764</v>
      </c>
      <c r="G109" s="587">
        <f t="shared" si="33"/>
        <v>97557</v>
      </c>
      <c r="H109" s="587">
        <f t="shared" si="34"/>
        <v>97191</v>
      </c>
      <c r="I109" s="2121">
        <f t="shared" si="35"/>
        <v>59944</v>
      </c>
      <c r="J109" s="2125">
        <f t="shared" si="36"/>
        <v>0.78345880384776245</v>
      </c>
      <c r="K109" s="590">
        <f t="shared" si="37"/>
        <v>73866</v>
      </c>
      <c r="L109" s="591">
        <f t="shared" si="45"/>
        <v>76431.89052697616</v>
      </c>
      <c r="M109" s="589">
        <f t="shared" si="56"/>
        <v>59944</v>
      </c>
      <c r="N109" s="591">
        <f t="shared" si="57"/>
        <v>5847956808</v>
      </c>
      <c r="O109" s="569">
        <f t="shared" si="38"/>
        <v>3.7414024621503328E-3</v>
      </c>
      <c r="P109" s="592">
        <f t="shared" si="39"/>
        <v>0.78345880384776245</v>
      </c>
      <c r="Q109" s="571">
        <f t="shared" si="40"/>
        <v>0.75851596902363716</v>
      </c>
      <c r="R109" s="572">
        <f t="shared" si="41"/>
        <v>0.55000000000000004</v>
      </c>
      <c r="S109" s="573">
        <f t="shared" si="42"/>
        <v>0.17907007850521139</v>
      </c>
      <c r="T109" s="574">
        <v>2.2000000000000002</v>
      </c>
      <c r="U109" s="557">
        <f t="shared" si="43"/>
        <v>5.0000000000000018</v>
      </c>
      <c r="V109" s="575">
        <f t="shared" si="44"/>
        <v>2</v>
      </c>
      <c r="W109" s="594">
        <v>0.01</v>
      </c>
      <c r="X109" s="595">
        <f t="shared" si="46"/>
        <v>975.57</v>
      </c>
      <c r="Y109" s="594">
        <v>2.0799999999999999E-2</v>
      </c>
      <c r="Z109" s="596">
        <f t="shared" si="47"/>
        <v>738.66</v>
      </c>
      <c r="AA109" s="2326" t="s">
        <v>1330</v>
      </c>
      <c r="AB109" s="597">
        <f t="shared" si="53"/>
        <v>764.31890526976167</v>
      </c>
      <c r="AC109" s="597">
        <f t="shared" si="54"/>
        <v>58479568.079999998</v>
      </c>
      <c r="AD109" s="597">
        <f t="shared" si="55"/>
        <v>1589.783322961104</v>
      </c>
      <c r="AE109" s="598">
        <f>L109*W109</f>
        <v>764.31890526976167</v>
      </c>
      <c r="AF109" s="572">
        <f t="shared" si="49"/>
        <v>1246.8352</v>
      </c>
      <c r="AG109" s="572">
        <f t="shared" si="50"/>
        <v>1.1440000000000001E-2</v>
      </c>
      <c r="AH109" s="600">
        <f t="shared" si="51"/>
        <v>1.172647785397255E-5</v>
      </c>
    </row>
    <row r="110" spans="1:35" ht="14.4" hidden="1" x14ac:dyDescent="0.3">
      <c r="A110" s="560" t="s">
        <v>568</v>
      </c>
      <c r="B110" s="557" t="str">
        <f t="shared" si="52"/>
        <v>2000s</v>
      </c>
      <c r="C110" s="561">
        <v>2001</v>
      </c>
      <c r="D110" s="562">
        <f t="shared" si="30"/>
        <v>1998</v>
      </c>
      <c r="E110" s="563">
        <f t="shared" si="31"/>
        <v>2000</v>
      </c>
      <c r="F110" s="586">
        <f t="shared" si="32"/>
        <v>117879</v>
      </c>
      <c r="G110" s="587">
        <f t="shared" si="33"/>
        <v>121355</v>
      </c>
      <c r="H110" s="587">
        <f t="shared" si="34"/>
        <v>119664</v>
      </c>
      <c r="I110" s="2121">
        <f t="shared" si="35"/>
        <v>74486</v>
      </c>
      <c r="J110" s="2125">
        <f t="shared" si="36"/>
        <v>0.7104731018695154</v>
      </c>
      <c r="K110" s="590">
        <f t="shared" si="37"/>
        <v>83707</v>
      </c>
      <c r="L110" s="591">
        <f t="shared" si="45"/>
        <v>86219.463277375035</v>
      </c>
      <c r="M110" s="589">
        <f t="shared" si="56"/>
        <v>74486</v>
      </c>
      <c r="N110" s="591">
        <f t="shared" si="57"/>
        <v>9039248530</v>
      </c>
      <c r="O110" s="569">
        <f t="shared" si="38"/>
        <v>3.3785175724115201E-4</v>
      </c>
      <c r="P110" s="592">
        <f t="shared" si="39"/>
        <v>0.7104731018695154</v>
      </c>
      <c r="Q110" s="571">
        <f t="shared" si="40"/>
        <v>0.63162914917970236</v>
      </c>
      <c r="R110" s="572">
        <f t="shared" si="41"/>
        <v>0.56000000000000005</v>
      </c>
      <c r="S110" s="573">
        <f t="shared" si="42"/>
        <v>6.2533426928733787E-2</v>
      </c>
      <c r="T110" s="574">
        <v>1.1000000000000001</v>
      </c>
      <c r="U110" s="557">
        <f t="shared" si="43"/>
        <v>3.0000000000000009</v>
      </c>
      <c r="V110" s="575">
        <f t="shared" si="44"/>
        <v>1</v>
      </c>
      <c r="W110" s="594">
        <v>2.5999999999999999E-2</v>
      </c>
      <c r="X110" s="595">
        <f t="shared" si="46"/>
        <v>3155.23</v>
      </c>
      <c r="Y110" s="594">
        <v>3.3000000000000002E-2</v>
      </c>
      <c r="Z110" s="577">
        <f>K110*Y110</f>
        <v>2762.3310000000001</v>
      </c>
      <c r="AA110" s="2325" t="s">
        <v>1331</v>
      </c>
      <c r="AB110" s="597">
        <f t="shared" si="53"/>
        <v>2241.7060452117507</v>
      </c>
      <c r="AC110" s="597">
        <f t="shared" si="54"/>
        <v>235020461.78</v>
      </c>
      <c r="AD110" s="597">
        <f t="shared" si="55"/>
        <v>2845.2422881533762</v>
      </c>
      <c r="AE110" s="609">
        <f>L110*Y110</f>
        <v>2845.2422881533762</v>
      </c>
      <c r="AF110" s="572">
        <f t="shared" si="49"/>
        <v>2458.038</v>
      </c>
      <c r="AG110" s="599">
        <f t="shared" si="50"/>
        <v>1.8480000000000003E-2</v>
      </c>
      <c r="AH110" s="600">
        <f t="shared" si="51"/>
        <v>5.8569422831299153E-6</v>
      </c>
      <c r="AI110" s="559" t="s">
        <v>583</v>
      </c>
    </row>
    <row r="111" spans="1:35" ht="14.4" hidden="1" x14ac:dyDescent="0.3">
      <c r="A111" s="560" t="s">
        <v>568</v>
      </c>
      <c r="B111" s="557" t="str">
        <f t="shared" si="52"/>
        <v>1990s</v>
      </c>
      <c r="C111" s="561">
        <v>2001</v>
      </c>
      <c r="D111" s="562">
        <f t="shared" si="30"/>
        <v>1997</v>
      </c>
      <c r="E111" s="563">
        <f t="shared" si="31"/>
        <v>1999</v>
      </c>
      <c r="F111" s="586">
        <f t="shared" si="32"/>
        <v>117879</v>
      </c>
      <c r="G111" s="587">
        <f t="shared" si="33"/>
        <v>121355</v>
      </c>
      <c r="H111" s="587">
        <f t="shared" si="34"/>
        <v>119664</v>
      </c>
      <c r="I111" s="2121">
        <f t="shared" si="35"/>
        <v>74486</v>
      </c>
      <c r="J111" s="2125">
        <f t="shared" si="36"/>
        <v>0.7104731018695154</v>
      </c>
      <c r="K111" s="590">
        <f t="shared" si="37"/>
        <v>83707</v>
      </c>
      <c r="L111" s="591">
        <f t="shared" si="45"/>
        <v>86219.463277375035</v>
      </c>
      <c r="M111" s="589">
        <f t="shared" si="56"/>
        <v>74486</v>
      </c>
      <c r="N111" s="591">
        <f t="shared" si="57"/>
        <v>9039248530</v>
      </c>
      <c r="O111" s="569">
        <f t="shared" si="38"/>
        <v>3.3785175724115201E-4</v>
      </c>
      <c r="P111" s="592">
        <f t="shared" si="39"/>
        <v>0.7104731018695154</v>
      </c>
      <c r="Q111" s="571">
        <f t="shared" si="40"/>
        <v>0.63162914917970236</v>
      </c>
      <c r="R111" s="572">
        <f t="shared" si="41"/>
        <v>0.56000000000000005</v>
      </c>
      <c r="S111" s="573">
        <f t="shared" si="42"/>
        <v>6.2533426928733787E-2</v>
      </c>
      <c r="T111" s="574">
        <v>1.2</v>
      </c>
      <c r="U111" s="557">
        <f t="shared" si="43"/>
        <v>3.9999999999999996</v>
      </c>
      <c r="V111" s="575">
        <f t="shared" si="44"/>
        <v>1</v>
      </c>
      <c r="W111" s="594">
        <v>0.94599999999999995</v>
      </c>
      <c r="X111" s="595">
        <f t="shared" si="46"/>
        <v>114801.82999999999</v>
      </c>
      <c r="Y111" s="594">
        <v>0.94399999999999995</v>
      </c>
      <c r="Z111" s="577">
        <f>K111*Y111</f>
        <v>79019.407999999996</v>
      </c>
      <c r="AA111" s="2325" t="s">
        <v>1331</v>
      </c>
      <c r="AB111" s="597">
        <f t="shared" si="53"/>
        <v>81563.612260396781</v>
      </c>
      <c r="AC111" s="597">
        <f t="shared" si="54"/>
        <v>8551129109.3799992</v>
      </c>
      <c r="AD111" s="597">
        <f t="shared" si="55"/>
        <v>81391.173333842031</v>
      </c>
      <c r="AE111" s="610">
        <f>L111*Y111</f>
        <v>81391.173333842031</v>
      </c>
      <c r="AF111" s="572">
        <f t="shared" si="49"/>
        <v>70314.784</v>
      </c>
      <c r="AG111" s="572">
        <f t="shared" si="50"/>
        <v>0.52864</v>
      </c>
      <c r="AH111" s="600">
        <f t="shared" si="51"/>
        <v>4.604804644664637E-6</v>
      </c>
      <c r="AI111" s="559" t="s">
        <v>584</v>
      </c>
    </row>
    <row r="112" spans="1:35" ht="14.4" hidden="1" x14ac:dyDescent="0.3">
      <c r="A112" s="560" t="s">
        <v>568</v>
      </c>
      <c r="B112" s="557" t="str">
        <f t="shared" si="52"/>
        <v>1990s</v>
      </c>
      <c r="C112" s="561">
        <v>2001</v>
      </c>
      <c r="D112" s="562">
        <f t="shared" si="30"/>
        <v>1996</v>
      </c>
      <c r="E112" s="563">
        <f t="shared" si="31"/>
        <v>1998</v>
      </c>
      <c r="F112" s="586">
        <f t="shared" si="32"/>
        <v>117879</v>
      </c>
      <c r="G112" s="587">
        <f t="shared" si="33"/>
        <v>121355</v>
      </c>
      <c r="H112" s="587">
        <f t="shared" si="34"/>
        <v>119664</v>
      </c>
      <c r="I112" s="2121">
        <f t="shared" si="35"/>
        <v>74486</v>
      </c>
      <c r="J112" s="2125">
        <f t="shared" si="36"/>
        <v>0.7104731018695154</v>
      </c>
      <c r="K112" s="590">
        <f t="shared" si="37"/>
        <v>83707</v>
      </c>
      <c r="L112" s="591">
        <f t="shared" si="45"/>
        <v>86219.463277375035</v>
      </c>
      <c r="M112" s="589">
        <f t="shared" si="56"/>
        <v>74486</v>
      </c>
      <c r="N112" s="591">
        <f t="shared" si="57"/>
        <v>9039248530</v>
      </c>
      <c r="O112" s="569">
        <f t="shared" si="38"/>
        <v>3.3785175724115201E-4</v>
      </c>
      <c r="P112" s="592">
        <f t="shared" si="39"/>
        <v>0.7104731018695154</v>
      </c>
      <c r="Q112" s="571">
        <f t="shared" si="40"/>
        <v>0.63162914917970236</v>
      </c>
      <c r="R112" s="572">
        <f t="shared" si="41"/>
        <v>0.56000000000000005</v>
      </c>
      <c r="S112" s="573">
        <f t="shared" si="42"/>
        <v>6.2533426928733787E-2</v>
      </c>
      <c r="T112" s="574">
        <v>1.3</v>
      </c>
      <c r="U112" s="557">
        <f t="shared" si="43"/>
        <v>5</v>
      </c>
      <c r="V112" s="575">
        <f t="shared" si="44"/>
        <v>1</v>
      </c>
      <c r="W112" s="594">
        <v>0.02</v>
      </c>
      <c r="X112" s="595">
        <f t="shared" si="46"/>
        <v>2427.1</v>
      </c>
      <c r="Y112" s="594">
        <v>2.1999999999999999E-2</v>
      </c>
      <c r="Z112" s="577">
        <f>K112*Y112</f>
        <v>1841.5539999999999</v>
      </c>
      <c r="AA112" s="2325" t="s">
        <v>1331</v>
      </c>
      <c r="AB112" s="597">
        <f t="shared" si="53"/>
        <v>1724.3892655475008</v>
      </c>
      <c r="AC112" s="597">
        <f t="shared" si="54"/>
        <v>180784970.59999999</v>
      </c>
      <c r="AD112" s="597">
        <f t="shared" si="55"/>
        <v>1896.8281921022506</v>
      </c>
      <c r="AE112" s="610">
        <f>L112*Y112</f>
        <v>1896.8281921022506</v>
      </c>
      <c r="AF112" s="572">
        <f t="shared" si="49"/>
        <v>1638.692</v>
      </c>
      <c r="AG112" s="572">
        <f t="shared" si="50"/>
        <v>1.2320000000000001E-2</v>
      </c>
      <c r="AH112" s="600">
        <f t="shared" si="51"/>
        <v>5.0760166453792602E-6</v>
      </c>
      <c r="AI112" s="559" t="s">
        <v>585</v>
      </c>
    </row>
    <row r="113" spans="1:37" ht="14.4" hidden="1" x14ac:dyDescent="0.3">
      <c r="A113" s="560" t="s">
        <v>568</v>
      </c>
      <c r="B113" s="557" t="str">
        <f t="shared" si="52"/>
        <v>2000s</v>
      </c>
      <c r="C113" s="561">
        <v>2001</v>
      </c>
      <c r="D113" s="562">
        <f t="shared" si="30"/>
        <v>1997</v>
      </c>
      <c r="E113" s="563">
        <f t="shared" si="31"/>
        <v>2000</v>
      </c>
      <c r="F113" s="586">
        <f t="shared" si="32"/>
        <v>117879</v>
      </c>
      <c r="G113" s="587">
        <f t="shared" si="33"/>
        <v>121355</v>
      </c>
      <c r="H113" s="587">
        <f t="shared" si="34"/>
        <v>119664</v>
      </c>
      <c r="I113" s="2121">
        <f t="shared" si="35"/>
        <v>74486</v>
      </c>
      <c r="J113" s="2125">
        <f t="shared" si="36"/>
        <v>0.7104731018695154</v>
      </c>
      <c r="K113" s="590">
        <f t="shared" si="37"/>
        <v>83707</v>
      </c>
      <c r="L113" s="591">
        <f t="shared" si="45"/>
        <v>86219.463277375035</v>
      </c>
      <c r="M113" s="589">
        <f t="shared" si="56"/>
        <v>74486</v>
      </c>
      <c r="N113" s="591">
        <f t="shared" si="57"/>
        <v>9039248530</v>
      </c>
      <c r="O113" s="569">
        <f t="shared" si="38"/>
        <v>3.3785175724115201E-4</v>
      </c>
      <c r="P113" s="592">
        <f t="shared" si="39"/>
        <v>0.7104731018695154</v>
      </c>
      <c r="Q113" s="571">
        <f t="shared" si="40"/>
        <v>0.63162914917970236</v>
      </c>
      <c r="R113" s="572">
        <f t="shared" si="41"/>
        <v>0.56000000000000005</v>
      </c>
      <c r="S113" s="573">
        <f t="shared" si="42"/>
        <v>6.2533426928733787E-2</v>
      </c>
      <c r="T113" s="574">
        <v>2.1</v>
      </c>
      <c r="U113" s="557">
        <f t="shared" si="43"/>
        <v>4.0000000000000009</v>
      </c>
      <c r="V113" s="575">
        <f t="shared" si="44"/>
        <v>2</v>
      </c>
      <c r="W113" s="594">
        <v>3.0000000000000001E-3</v>
      </c>
      <c r="X113" s="595">
        <f t="shared" si="46"/>
        <v>364.065</v>
      </c>
      <c r="Y113" s="594">
        <v>4.8999999999999998E-4</v>
      </c>
      <c r="Z113" s="577">
        <f>K113*Y113</f>
        <v>41.01643</v>
      </c>
      <c r="AA113" s="2325" t="s">
        <v>1331</v>
      </c>
      <c r="AB113" s="597">
        <f t="shared" si="53"/>
        <v>258.65838983212512</v>
      </c>
      <c r="AC113" s="597">
        <f t="shared" si="54"/>
        <v>27117745.59</v>
      </c>
      <c r="AD113" s="597">
        <f>IF(Y113,L113*Y113,0)</f>
        <v>42.247537005913763</v>
      </c>
      <c r="AE113" s="610">
        <f>L113*Y113</f>
        <v>42.247537005913763</v>
      </c>
      <c r="AF113" s="572">
        <f t="shared" si="49"/>
        <v>36.498139999999999</v>
      </c>
      <c r="AG113" s="572">
        <f t="shared" si="50"/>
        <v>2.744E-4</v>
      </c>
      <c r="AH113" s="600">
        <f t="shared" si="51"/>
        <v>7.5371156249570824E-7</v>
      </c>
      <c r="AI113" s="559" t="s">
        <v>586</v>
      </c>
    </row>
    <row r="114" spans="1:37" ht="15" hidden="1" thickBot="1" x14ac:dyDescent="0.35">
      <c r="A114" s="560" t="s">
        <v>568</v>
      </c>
      <c r="B114" s="557" t="str">
        <f t="shared" si="52"/>
        <v>1990s</v>
      </c>
      <c r="C114" s="561">
        <v>2001</v>
      </c>
      <c r="D114" s="562">
        <f t="shared" si="30"/>
        <v>1996</v>
      </c>
      <c r="E114" s="563">
        <f t="shared" si="31"/>
        <v>1999</v>
      </c>
      <c r="F114" s="586">
        <f t="shared" si="32"/>
        <v>117879</v>
      </c>
      <c r="G114" s="587">
        <f t="shared" si="33"/>
        <v>121355</v>
      </c>
      <c r="H114" s="587">
        <f t="shared" si="34"/>
        <v>119664</v>
      </c>
      <c r="I114" s="2121">
        <f t="shared" si="35"/>
        <v>74486</v>
      </c>
      <c r="J114" s="2125">
        <f t="shared" si="36"/>
        <v>0.7104731018695154</v>
      </c>
      <c r="K114" s="590">
        <f t="shared" si="37"/>
        <v>83707</v>
      </c>
      <c r="L114" s="591">
        <f t="shared" si="45"/>
        <v>86219.463277375035</v>
      </c>
      <c r="M114" s="589">
        <f t="shared" si="56"/>
        <v>74486</v>
      </c>
      <c r="N114" s="591">
        <f t="shared" si="57"/>
        <v>9039248530</v>
      </c>
      <c r="O114" s="569">
        <f t="shared" si="38"/>
        <v>3.3785175724115201E-4</v>
      </c>
      <c r="P114" s="592">
        <f t="shared" si="39"/>
        <v>0.7104731018695154</v>
      </c>
      <c r="Q114" s="571">
        <f t="shared" si="40"/>
        <v>0.63162914917970236</v>
      </c>
      <c r="R114" s="572">
        <f t="shared" si="41"/>
        <v>0.56000000000000005</v>
      </c>
      <c r="S114" s="573">
        <f t="shared" si="42"/>
        <v>6.2533426928733787E-2</v>
      </c>
      <c r="T114" s="574">
        <v>2.2000000000000002</v>
      </c>
      <c r="U114" s="557">
        <f t="shared" si="43"/>
        <v>5.0000000000000018</v>
      </c>
      <c r="V114" s="575">
        <f t="shared" si="44"/>
        <v>2</v>
      </c>
      <c r="W114" s="594">
        <v>3.0000000000000001E-3</v>
      </c>
      <c r="X114" s="595">
        <f t="shared" si="46"/>
        <v>364.065</v>
      </c>
      <c r="Y114" s="594">
        <v>4.8999999999999998E-4</v>
      </c>
      <c r="Z114" s="577">
        <f>K114*Y114</f>
        <v>41.01643</v>
      </c>
      <c r="AA114" s="2325" t="s">
        <v>1331</v>
      </c>
      <c r="AB114" s="597">
        <f t="shared" si="53"/>
        <v>258.65838983212512</v>
      </c>
      <c r="AC114" s="597">
        <f t="shared" si="54"/>
        <v>27117745.59</v>
      </c>
      <c r="AD114" s="597">
        <f>IF(Y114,L114*Y114,0)</f>
        <v>42.247537005913763</v>
      </c>
      <c r="AE114" s="611">
        <f>L114*Y114</f>
        <v>42.247537005913763</v>
      </c>
      <c r="AF114" s="572">
        <f t="shared" si="49"/>
        <v>36.498139999999999</v>
      </c>
      <c r="AG114" s="572">
        <f t="shared" si="50"/>
        <v>2.744E-4</v>
      </c>
      <c r="AH114" s="600">
        <f t="shared" si="51"/>
        <v>7.5371156249570824E-7</v>
      </c>
      <c r="AI114" s="559" t="s">
        <v>587</v>
      </c>
    </row>
    <row r="115" spans="1:37" ht="14.4" hidden="1" x14ac:dyDescent="0.3">
      <c r="A115" s="560" t="s">
        <v>568</v>
      </c>
      <c r="B115" s="557" t="str">
        <f t="shared" si="52"/>
        <v>2000s</v>
      </c>
      <c r="C115" s="561">
        <v>2002</v>
      </c>
      <c r="D115" s="562">
        <f t="shared" si="30"/>
        <v>1999</v>
      </c>
      <c r="E115" s="563">
        <f t="shared" si="31"/>
        <v>2001</v>
      </c>
      <c r="F115" s="586">
        <f t="shared" si="32"/>
        <v>50557</v>
      </c>
      <c r="G115" s="587">
        <f t="shared" si="33"/>
        <v>51515</v>
      </c>
      <c r="H115" s="587">
        <f t="shared" si="34"/>
        <v>51496</v>
      </c>
      <c r="I115" s="2121">
        <f t="shared" si="35"/>
        <v>10659</v>
      </c>
      <c r="J115" s="2125">
        <f t="shared" si="36"/>
        <v>0.24050090252707582</v>
      </c>
      <c r="K115" s="590">
        <f t="shared" si="37"/>
        <v>14406</v>
      </c>
      <c r="L115" s="591">
        <f t="shared" si="45"/>
        <v>12389.40399368231</v>
      </c>
      <c r="M115" s="589">
        <f t="shared" si="56"/>
        <v>10659</v>
      </c>
      <c r="N115" s="591">
        <f t="shared" si="57"/>
        <v>549098385</v>
      </c>
      <c r="O115" s="569">
        <f t="shared" si="38"/>
        <v>1.2423565951664563E-3</v>
      </c>
      <c r="P115" s="592">
        <f t="shared" si="39"/>
        <v>0.24050090252707582</v>
      </c>
      <c r="Q115" s="571">
        <f t="shared" si="40"/>
        <v>0.25014670328380628</v>
      </c>
      <c r="R115" s="572">
        <f t="shared" si="41"/>
        <v>0.27</v>
      </c>
      <c r="S115" s="573">
        <f t="shared" si="42"/>
        <v>8.8317539226347677E-2</v>
      </c>
      <c r="T115" s="602">
        <v>1.1000000000000001</v>
      </c>
      <c r="U115" s="557">
        <f t="shared" si="43"/>
        <v>3.0000000000000009</v>
      </c>
      <c r="V115" s="575">
        <f t="shared" si="44"/>
        <v>1</v>
      </c>
      <c r="W115" s="608">
        <v>0.02</v>
      </c>
      <c r="X115" s="595">
        <f t="shared" si="46"/>
        <v>1030.3</v>
      </c>
      <c r="Y115" s="608">
        <v>9.0999999999999998E-2</v>
      </c>
      <c r="Z115" s="596">
        <f t="shared" ref="Z115:Z143" si="58">K115*W115</f>
        <v>288.12</v>
      </c>
      <c r="AA115" s="2326" t="s">
        <v>1330</v>
      </c>
      <c r="AB115" s="597">
        <f t="shared" si="53"/>
        <v>247.78807987364621</v>
      </c>
      <c r="AC115" s="597">
        <f t="shared" si="54"/>
        <v>10981967.700000001</v>
      </c>
      <c r="AD115" s="597">
        <f t="shared" si="55"/>
        <v>1127.4357634250903</v>
      </c>
      <c r="AE115" s="598">
        <f>L115*W115</f>
        <v>247.78807987364621</v>
      </c>
      <c r="AF115" s="572">
        <f t="shared" si="49"/>
        <v>969.96899999999994</v>
      </c>
      <c r="AG115" s="599">
        <f t="shared" si="50"/>
        <v>2.4570000000000002E-2</v>
      </c>
      <c r="AH115" s="600">
        <f t="shared" si="51"/>
        <v>2.3847423080656121E-5</v>
      </c>
      <c r="AI115" s="559" t="s">
        <v>588</v>
      </c>
    </row>
    <row r="116" spans="1:37" ht="14.4" hidden="1" x14ac:dyDescent="0.3">
      <c r="A116" s="560" t="s">
        <v>568</v>
      </c>
      <c r="B116" s="557" t="str">
        <f t="shared" si="52"/>
        <v>2000s</v>
      </c>
      <c r="C116" s="561">
        <v>2002</v>
      </c>
      <c r="D116" s="562">
        <f t="shared" si="30"/>
        <v>1998</v>
      </c>
      <c r="E116" s="563">
        <f t="shared" si="31"/>
        <v>2000</v>
      </c>
      <c r="F116" s="586">
        <f t="shared" si="32"/>
        <v>50557</v>
      </c>
      <c r="G116" s="587">
        <f t="shared" si="33"/>
        <v>51515</v>
      </c>
      <c r="H116" s="587">
        <f t="shared" si="34"/>
        <v>51496</v>
      </c>
      <c r="I116" s="2121">
        <f t="shared" si="35"/>
        <v>10659</v>
      </c>
      <c r="J116" s="2125">
        <f t="shared" si="36"/>
        <v>0.24050090252707582</v>
      </c>
      <c r="K116" s="590">
        <f t="shared" si="37"/>
        <v>14406</v>
      </c>
      <c r="L116" s="591">
        <f t="shared" si="45"/>
        <v>12389.40399368231</v>
      </c>
      <c r="M116" s="589">
        <f t="shared" si="56"/>
        <v>10659</v>
      </c>
      <c r="N116" s="591">
        <f t="shared" si="57"/>
        <v>549098385</v>
      </c>
      <c r="O116" s="569">
        <f t="shared" si="38"/>
        <v>1.2423565951664563E-3</v>
      </c>
      <c r="P116" s="592">
        <f t="shared" si="39"/>
        <v>0.24050090252707582</v>
      </c>
      <c r="Q116" s="571">
        <f t="shared" si="40"/>
        <v>0.25014670328380628</v>
      </c>
      <c r="R116" s="572">
        <f t="shared" si="41"/>
        <v>0.27</v>
      </c>
      <c r="S116" s="573">
        <f t="shared" si="42"/>
        <v>8.8317539226347677E-2</v>
      </c>
      <c r="T116" s="574">
        <v>1.2</v>
      </c>
      <c r="U116" s="557">
        <f t="shared" si="43"/>
        <v>3.9999999999999996</v>
      </c>
      <c r="V116" s="575">
        <f t="shared" si="44"/>
        <v>1</v>
      </c>
      <c r="W116" s="608">
        <v>0.497</v>
      </c>
      <c r="X116" s="595">
        <f t="shared" si="46"/>
        <v>25602.954999999998</v>
      </c>
      <c r="Y116" s="605">
        <v>0.55400000000000005</v>
      </c>
      <c r="Z116" s="596">
        <f t="shared" si="58"/>
        <v>7159.7820000000002</v>
      </c>
      <c r="AA116" s="2326" t="s">
        <v>1330</v>
      </c>
      <c r="AB116" s="597">
        <f t="shared" si="53"/>
        <v>6157.5337848601084</v>
      </c>
      <c r="AC116" s="597">
        <f t="shared" si="54"/>
        <v>272901897.34499997</v>
      </c>
      <c r="AD116" s="597">
        <f t="shared" si="55"/>
        <v>6863.7298125000007</v>
      </c>
      <c r="AE116" s="598">
        <f t="shared" ref="AE116:AE130" si="59">L116*W116</f>
        <v>6157.5337848601084</v>
      </c>
      <c r="AF116" s="572">
        <f t="shared" si="49"/>
        <v>5905.0860000000002</v>
      </c>
      <c r="AG116" s="572">
        <f t="shared" si="50"/>
        <v>0.14958000000000002</v>
      </c>
      <c r="AH116" s="600">
        <f t="shared" si="51"/>
        <v>5.8422943757859208E-6</v>
      </c>
      <c r="AI116" s="559" t="s">
        <v>589</v>
      </c>
    </row>
    <row r="117" spans="1:37" ht="14.4" hidden="1" x14ac:dyDescent="0.3">
      <c r="A117" s="560" t="s">
        <v>568</v>
      </c>
      <c r="B117" s="557" t="str">
        <f t="shared" si="52"/>
        <v>1990s</v>
      </c>
      <c r="C117" s="561">
        <v>2002</v>
      </c>
      <c r="D117" s="562">
        <f t="shared" si="30"/>
        <v>1997</v>
      </c>
      <c r="E117" s="563">
        <f t="shared" si="31"/>
        <v>1999</v>
      </c>
      <c r="F117" s="586">
        <f t="shared" si="32"/>
        <v>50557</v>
      </c>
      <c r="G117" s="587">
        <f t="shared" si="33"/>
        <v>51515</v>
      </c>
      <c r="H117" s="587">
        <f t="shared" si="34"/>
        <v>51496</v>
      </c>
      <c r="I117" s="2121">
        <f t="shared" si="35"/>
        <v>10659</v>
      </c>
      <c r="J117" s="2125">
        <f t="shared" si="36"/>
        <v>0.24050090252707582</v>
      </c>
      <c r="K117" s="590">
        <f t="shared" si="37"/>
        <v>14406</v>
      </c>
      <c r="L117" s="591">
        <f t="shared" si="45"/>
        <v>12389.40399368231</v>
      </c>
      <c r="M117" s="589">
        <f t="shared" si="56"/>
        <v>10659</v>
      </c>
      <c r="N117" s="591">
        <f t="shared" si="57"/>
        <v>549098385</v>
      </c>
      <c r="O117" s="569">
        <f t="shared" si="38"/>
        <v>1.2423565951664563E-3</v>
      </c>
      <c r="P117" s="592">
        <f t="shared" si="39"/>
        <v>0.24050090252707582</v>
      </c>
      <c r="Q117" s="571">
        <f t="shared" si="40"/>
        <v>0.25014670328380628</v>
      </c>
      <c r="R117" s="572">
        <f t="shared" si="41"/>
        <v>0.27</v>
      </c>
      <c r="S117" s="573">
        <f t="shared" si="42"/>
        <v>8.8317539226347677E-2</v>
      </c>
      <c r="T117" s="574">
        <v>1.3</v>
      </c>
      <c r="U117" s="557">
        <f t="shared" si="43"/>
        <v>5</v>
      </c>
      <c r="V117" s="575">
        <f t="shared" si="44"/>
        <v>1</v>
      </c>
      <c r="W117" s="608">
        <v>0.14799999999999999</v>
      </c>
      <c r="X117" s="595">
        <f t="shared" si="46"/>
        <v>7624.2199999999993</v>
      </c>
      <c r="Y117" s="605">
        <v>0.35399999999999998</v>
      </c>
      <c r="Z117" s="596">
        <f t="shared" si="58"/>
        <v>2132.0879999999997</v>
      </c>
      <c r="AA117" s="2326" t="s">
        <v>1330</v>
      </c>
      <c r="AB117" s="597">
        <f t="shared" si="53"/>
        <v>1833.6317910649818</v>
      </c>
      <c r="AC117" s="597">
        <f t="shared" si="54"/>
        <v>81266560.979999989</v>
      </c>
      <c r="AD117" s="597">
        <f t="shared" si="55"/>
        <v>4385.8490137635372</v>
      </c>
      <c r="AE117" s="598">
        <f t="shared" si="59"/>
        <v>1833.6317910649818</v>
      </c>
      <c r="AF117" s="572">
        <f t="shared" si="49"/>
        <v>3773.2859999999996</v>
      </c>
      <c r="AG117" s="572">
        <f t="shared" si="50"/>
        <v>9.5579999999999998E-2</v>
      </c>
      <c r="AH117" s="600">
        <f t="shared" si="51"/>
        <v>1.2536364375634491E-5</v>
      </c>
      <c r="AI117" s="559" t="s">
        <v>590</v>
      </c>
    </row>
    <row r="118" spans="1:37" ht="14.4" hidden="1" x14ac:dyDescent="0.3">
      <c r="A118" s="560" t="s">
        <v>568</v>
      </c>
      <c r="B118" s="557" t="str">
        <f t="shared" si="52"/>
        <v>2000s</v>
      </c>
      <c r="C118" s="561">
        <v>2002</v>
      </c>
      <c r="D118" s="562">
        <f t="shared" si="30"/>
        <v>1998</v>
      </c>
      <c r="E118" s="563">
        <f t="shared" si="31"/>
        <v>2001</v>
      </c>
      <c r="F118" s="586">
        <f t="shared" si="32"/>
        <v>50557</v>
      </c>
      <c r="G118" s="587">
        <f t="shared" si="33"/>
        <v>51515</v>
      </c>
      <c r="H118" s="587">
        <f t="shared" si="34"/>
        <v>51496</v>
      </c>
      <c r="I118" s="2121">
        <f t="shared" si="35"/>
        <v>10659</v>
      </c>
      <c r="J118" s="2125">
        <f t="shared" si="36"/>
        <v>0.24050090252707582</v>
      </c>
      <c r="K118" s="590">
        <f t="shared" si="37"/>
        <v>14406</v>
      </c>
      <c r="L118" s="591">
        <f t="shared" si="45"/>
        <v>12389.40399368231</v>
      </c>
      <c r="M118" s="589">
        <f t="shared" si="56"/>
        <v>10659</v>
      </c>
      <c r="N118" s="591">
        <f t="shared" si="57"/>
        <v>549098385</v>
      </c>
      <c r="O118" s="569">
        <f t="shared" si="38"/>
        <v>1.2423565951664563E-3</v>
      </c>
      <c r="P118" s="592">
        <f t="shared" si="39"/>
        <v>0.24050090252707582</v>
      </c>
      <c r="Q118" s="571">
        <f t="shared" si="40"/>
        <v>0.25014670328380628</v>
      </c>
      <c r="R118" s="572">
        <f t="shared" si="41"/>
        <v>0.27</v>
      </c>
      <c r="S118" s="573">
        <f t="shared" si="42"/>
        <v>8.8317539226347677E-2</v>
      </c>
      <c r="T118" s="574">
        <v>2.1</v>
      </c>
      <c r="U118" s="557">
        <f t="shared" si="43"/>
        <v>4.0000000000000009</v>
      </c>
      <c r="V118" s="575">
        <f t="shared" si="44"/>
        <v>2</v>
      </c>
      <c r="W118" s="608">
        <v>1.2999999999999999E-2</v>
      </c>
      <c r="X118" s="595">
        <f t="shared" si="46"/>
        <v>669.69499999999994</v>
      </c>
      <c r="Y118" s="594">
        <v>0</v>
      </c>
      <c r="Z118" s="596">
        <f t="shared" si="58"/>
        <v>187.27799999999999</v>
      </c>
      <c r="AA118" s="2326" t="s">
        <v>1330</v>
      </c>
      <c r="AB118" s="597">
        <f t="shared" si="53"/>
        <v>161.06225191787001</v>
      </c>
      <c r="AC118" s="597">
        <f t="shared" si="54"/>
        <v>7138279.0049999999</v>
      </c>
      <c r="AD118" s="597">
        <f>IF(Y118,L118*Y118,0)</f>
        <v>0</v>
      </c>
      <c r="AE118" s="598">
        <f t="shared" si="59"/>
        <v>161.06225191787001</v>
      </c>
      <c r="AF118" s="572">
        <f t="shared" si="49"/>
        <v>0</v>
      </c>
      <c r="AG118" s="572">
        <f t="shared" si="50"/>
        <v>0</v>
      </c>
      <c r="AH118" s="600">
        <f t="shared" si="51"/>
        <v>0</v>
      </c>
      <c r="AI118" s="559" t="s">
        <v>588</v>
      </c>
    </row>
    <row r="119" spans="1:37" ht="14.4" hidden="1" x14ac:dyDescent="0.3">
      <c r="A119" s="560" t="s">
        <v>568</v>
      </c>
      <c r="B119" s="557" t="str">
        <f t="shared" si="52"/>
        <v>2000s</v>
      </c>
      <c r="C119" s="561">
        <v>2002</v>
      </c>
      <c r="D119" s="562">
        <f t="shared" si="30"/>
        <v>1997</v>
      </c>
      <c r="E119" s="563">
        <f t="shared" si="31"/>
        <v>2000</v>
      </c>
      <c r="F119" s="586">
        <f t="shared" si="32"/>
        <v>50557</v>
      </c>
      <c r="G119" s="587">
        <f t="shared" si="33"/>
        <v>51515</v>
      </c>
      <c r="H119" s="587">
        <f t="shared" si="34"/>
        <v>51496</v>
      </c>
      <c r="I119" s="2121">
        <f t="shared" si="35"/>
        <v>10659</v>
      </c>
      <c r="J119" s="2125">
        <f t="shared" si="36"/>
        <v>0.24050090252707582</v>
      </c>
      <c r="K119" s="590">
        <f t="shared" si="37"/>
        <v>14406</v>
      </c>
      <c r="L119" s="591">
        <f t="shared" si="45"/>
        <v>12389.40399368231</v>
      </c>
      <c r="M119" s="589">
        <f t="shared" si="56"/>
        <v>10659</v>
      </c>
      <c r="N119" s="591">
        <f t="shared" si="57"/>
        <v>549098385</v>
      </c>
      <c r="O119" s="569">
        <f t="shared" si="38"/>
        <v>1.2423565951664563E-3</v>
      </c>
      <c r="P119" s="592">
        <f t="shared" si="39"/>
        <v>0.24050090252707582</v>
      </c>
      <c r="Q119" s="571">
        <f t="shared" si="40"/>
        <v>0.25014670328380628</v>
      </c>
      <c r="R119" s="572">
        <f t="shared" si="41"/>
        <v>0.27</v>
      </c>
      <c r="S119" s="573">
        <f t="shared" si="42"/>
        <v>8.8317539226347677E-2</v>
      </c>
      <c r="T119" s="574">
        <v>2.2000000000000002</v>
      </c>
      <c r="U119" s="557">
        <f t="shared" si="43"/>
        <v>5.0000000000000018</v>
      </c>
      <c r="V119" s="575">
        <f t="shared" si="44"/>
        <v>2</v>
      </c>
      <c r="W119" s="608">
        <v>0.221</v>
      </c>
      <c r="X119" s="595">
        <f t="shared" si="46"/>
        <v>11384.815000000001</v>
      </c>
      <c r="Y119" s="604">
        <v>0</v>
      </c>
      <c r="Z119" s="596">
        <f t="shared" si="58"/>
        <v>3183.7260000000001</v>
      </c>
      <c r="AA119" s="2326" t="s">
        <v>1330</v>
      </c>
      <c r="AB119" s="597">
        <f t="shared" si="53"/>
        <v>2738.0582826037908</v>
      </c>
      <c r="AC119" s="597">
        <f t="shared" si="54"/>
        <v>121350743.08500001</v>
      </c>
      <c r="AD119" s="597">
        <f>IF(Y119,L119*Y119,0)</f>
        <v>0</v>
      </c>
      <c r="AE119" s="598">
        <f t="shared" si="59"/>
        <v>2738.0582826037908</v>
      </c>
      <c r="AF119" s="572">
        <f t="shared" si="49"/>
        <v>0</v>
      </c>
      <c r="AG119" s="572">
        <f t="shared" si="50"/>
        <v>0</v>
      </c>
      <c r="AH119" s="600">
        <f t="shared" si="51"/>
        <v>0</v>
      </c>
      <c r="AI119" s="559" t="s">
        <v>591</v>
      </c>
    </row>
    <row r="120" spans="1:37" ht="14.4" hidden="1" x14ac:dyDescent="0.3">
      <c r="A120" s="560" t="s">
        <v>568</v>
      </c>
      <c r="B120" s="557" t="str">
        <f t="shared" si="52"/>
        <v>1990s</v>
      </c>
      <c r="C120" s="561">
        <v>2002</v>
      </c>
      <c r="D120" s="562">
        <f t="shared" si="30"/>
        <v>1996</v>
      </c>
      <c r="E120" s="563">
        <f t="shared" si="31"/>
        <v>1999</v>
      </c>
      <c r="F120" s="586">
        <f t="shared" si="32"/>
        <v>50557</v>
      </c>
      <c r="G120" s="587">
        <f t="shared" si="33"/>
        <v>51515</v>
      </c>
      <c r="H120" s="587">
        <f t="shared" si="34"/>
        <v>51496</v>
      </c>
      <c r="I120" s="2121">
        <f t="shared" si="35"/>
        <v>10659</v>
      </c>
      <c r="J120" s="2125">
        <f t="shared" si="36"/>
        <v>0.24050090252707582</v>
      </c>
      <c r="K120" s="590">
        <f t="shared" si="37"/>
        <v>14406</v>
      </c>
      <c r="L120" s="591">
        <f t="shared" si="45"/>
        <v>12389.40399368231</v>
      </c>
      <c r="M120" s="589">
        <f t="shared" si="56"/>
        <v>10659</v>
      </c>
      <c r="N120" s="591">
        <f t="shared" si="57"/>
        <v>549098385</v>
      </c>
      <c r="O120" s="569">
        <f t="shared" si="38"/>
        <v>1.2423565951664563E-3</v>
      </c>
      <c r="P120" s="592">
        <f t="shared" si="39"/>
        <v>0.24050090252707582</v>
      </c>
      <c r="Q120" s="571">
        <f t="shared" si="40"/>
        <v>0.25014670328380628</v>
      </c>
      <c r="R120" s="572">
        <f t="shared" si="41"/>
        <v>0.27</v>
      </c>
      <c r="S120" s="573">
        <f t="shared" si="42"/>
        <v>8.8317539226347677E-2</v>
      </c>
      <c r="T120" s="574">
        <v>2.2999999999999998</v>
      </c>
      <c r="U120" s="557">
        <f t="shared" si="43"/>
        <v>5.9999999999999982</v>
      </c>
      <c r="V120" s="575">
        <f t="shared" si="44"/>
        <v>2</v>
      </c>
      <c r="W120" s="608">
        <v>0.10100000000000001</v>
      </c>
      <c r="X120" s="595">
        <f t="shared" si="46"/>
        <v>5203.0150000000003</v>
      </c>
      <c r="Y120" s="612"/>
      <c r="Z120" s="596">
        <f t="shared" si="58"/>
        <v>1455.0060000000001</v>
      </c>
      <c r="AA120" s="2326" t="s">
        <v>1330</v>
      </c>
      <c r="AB120" s="597">
        <f t="shared" si="53"/>
        <v>1251.3298033619135</v>
      </c>
      <c r="AC120" s="597">
        <f t="shared" si="54"/>
        <v>55458936.885000005</v>
      </c>
      <c r="AD120" s="597">
        <f>IF(Y120,L120*Y120,0)</f>
        <v>0</v>
      </c>
      <c r="AE120" s="598">
        <f t="shared" si="59"/>
        <v>1251.3298033619135</v>
      </c>
      <c r="AH120" s="600"/>
    </row>
    <row r="121" spans="1:37" ht="14.4" hidden="1" x14ac:dyDescent="0.3">
      <c r="A121" s="560" t="s">
        <v>568</v>
      </c>
      <c r="B121" s="557" t="str">
        <f t="shared" si="52"/>
        <v>2000s</v>
      </c>
      <c r="C121" s="561">
        <v>2003</v>
      </c>
      <c r="D121" s="562">
        <f t="shared" si="30"/>
        <v>2000</v>
      </c>
      <c r="E121" s="563">
        <f t="shared" si="31"/>
        <v>2002</v>
      </c>
      <c r="F121" s="586">
        <f t="shared" si="32"/>
        <v>39291</v>
      </c>
      <c r="G121" s="587">
        <f t="shared" si="33"/>
        <v>40728</v>
      </c>
      <c r="H121" s="587">
        <f t="shared" si="34"/>
        <v>40728</v>
      </c>
      <c r="I121" s="2121">
        <f t="shared" si="35"/>
        <v>29374</v>
      </c>
      <c r="J121" s="2125">
        <f t="shared" si="36"/>
        <v>0.84459012622559593</v>
      </c>
      <c r="K121" s="590">
        <f t="shared" si="37"/>
        <v>34992</v>
      </c>
      <c r="L121" s="591">
        <f t="shared" si="45"/>
        <v>34398.46666091607</v>
      </c>
      <c r="M121" s="589">
        <f t="shared" si="56"/>
        <v>29374</v>
      </c>
      <c r="N121" s="591">
        <f t="shared" si="57"/>
        <v>1196344272</v>
      </c>
      <c r="O121" s="569">
        <f t="shared" si="38"/>
        <v>9.8212531919072868E-4</v>
      </c>
      <c r="P121" s="592">
        <f t="shared" si="39"/>
        <v>0.84459012622559593</v>
      </c>
      <c r="Q121" s="571">
        <f t="shared" si="40"/>
        <v>0.87278693528693529</v>
      </c>
      <c r="R121" s="572">
        <f t="shared" si="41"/>
        <v>0.84000000000000008</v>
      </c>
      <c r="S121" s="573">
        <f t="shared" si="42"/>
        <v>0.11832154782950305</v>
      </c>
      <c r="T121" s="574">
        <v>1.1000000000000001</v>
      </c>
      <c r="U121" s="557">
        <f t="shared" si="43"/>
        <v>3.0000000000000009</v>
      </c>
      <c r="V121" s="575">
        <f t="shared" si="44"/>
        <v>1</v>
      </c>
      <c r="W121" s="594">
        <v>0.27400000000000002</v>
      </c>
      <c r="X121" s="595">
        <f t="shared" si="46"/>
        <v>11159.472000000002</v>
      </c>
      <c r="Y121" s="594">
        <v>0.27</v>
      </c>
      <c r="Z121" s="596">
        <f t="shared" si="58"/>
        <v>9587.8080000000009</v>
      </c>
      <c r="AA121" s="2326" t="s">
        <v>1330</v>
      </c>
      <c r="AB121" s="597">
        <f t="shared" si="53"/>
        <v>9425.1798650910041</v>
      </c>
      <c r="AC121" s="597">
        <f t="shared" si="54"/>
        <v>327798330.528</v>
      </c>
      <c r="AD121" s="597">
        <f t="shared" si="55"/>
        <v>9287.5859984473391</v>
      </c>
      <c r="AE121" s="598">
        <f t="shared" si="59"/>
        <v>9425.1798650910041</v>
      </c>
      <c r="AF121" s="572">
        <f t="shared" ref="AF121:AF127" si="60">Y121*I121</f>
        <v>7930.9800000000005</v>
      </c>
      <c r="AG121" s="599">
        <f t="shared" ref="AG121:AG135" si="61">Y121*R121</f>
        <v>0.22680000000000003</v>
      </c>
      <c r="AH121" s="600">
        <f t="shared" ref="AH121:AH127" si="62">IF(X121=0,0,AG121/X121)</f>
        <v>2.0323542189092819E-5</v>
      </c>
      <c r="AI121" s="613" t="s">
        <v>592</v>
      </c>
    </row>
    <row r="122" spans="1:37" ht="14.4" hidden="1" x14ac:dyDescent="0.3">
      <c r="A122" s="560" t="s">
        <v>568</v>
      </c>
      <c r="B122" s="557" t="str">
        <f t="shared" si="52"/>
        <v>2000s</v>
      </c>
      <c r="C122" s="561">
        <v>2003</v>
      </c>
      <c r="D122" s="562">
        <f t="shared" si="30"/>
        <v>1999</v>
      </c>
      <c r="E122" s="563">
        <f t="shared" si="31"/>
        <v>2001</v>
      </c>
      <c r="F122" s="586">
        <f t="shared" si="32"/>
        <v>39291</v>
      </c>
      <c r="G122" s="587">
        <f t="shared" si="33"/>
        <v>40728</v>
      </c>
      <c r="H122" s="587">
        <f t="shared" si="34"/>
        <v>40728</v>
      </c>
      <c r="I122" s="2121">
        <f t="shared" si="35"/>
        <v>29374</v>
      </c>
      <c r="J122" s="2125">
        <f t="shared" si="36"/>
        <v>0.84459012622559593</v>
      </c>
      <c r="K122" s="590">
        <f t="shared" si="37"/>
        <v>34992</v>
      </c>
      <c r="L122" s="591">
        <f t="shared" si="45"/>
        <v>34398.46666091607</v>
      </c>
      <c r="M122" s="589">
        <f t="shared" si="56"/>
        <v>29374</v>
      </c>
      <c r="N122" s="591">
        <f t="shared" si="57"/>
        <v>1196344272</v>
      </c>
      <c r="O122" s="569">
        <f t="shared" si="38"/>
        <v>9.8212531919072868E-4</v>
      </c>
      <c r="P122" s="592">
        <f t="shared" si="39"/>
        <v>0.84459012622559593</v>
      </c>
      <c r="Q122" s="571">
        <f t="shared" si="40"/>
        <v>0.87278693528693529</v>
      </c>
      <c r="R122" s="572">
        <f t="shared" si="41"/>
        <v>0.84000000000000008</v>
      </c>
      <c r="S122" s="573">
        <f t="shared" si="42"/>
        <v>0.11832154782950305</v>
      </c>
      <c r="T122" s="574">
        <v>1.2</v>
      </c>
      <c r="U122" s="557">
        <f t="shared" si="43"/>
        <v>3.9999999999999996</v>
      </c>
      <c r="V122" s="575">
        <f t="shared" si="44"/>
        <v>1</v>
      </c>
      <c r="W122" s="594">
        <v>0.49</v>
      </c>
      <c r="X122" s="595">
        <f t="shared" si="46"/>
        <v>19956.72</v>
      </c>
      <c r="Y122" s="594">
        <v>0.51700000000000002</v>
      </c>
      <c r="Z122" s="596">
        <f t="shared" si="58"/>
        <v>17146.079999999998</v>
      </c>
      <c r="AA122" s="2326" t="s">
        <v>1330</v>
      </c>
      <c r="AB122" s="597">
        <f t="shared" si="53"/>
        <v>16855.248663848874</v>
      </c>
      <c r="AC122" s="597">
        <f t="shared" si="54"/>
        <v>586208693.27999997</v>
      </c>
      <c r="AD122" s="597">
        <f t="shared" si="55"/>
        <v>17784.007263693609</v>
      </c>
      <c r="AE122" s="598">
        <f t="shared" si="59"/>
        <v>16855.248663848874</v>
      </c>
      <c r="AF122" s="572">
        <f t="shared" si="60"/>
        <v>15186.358</v>
      </c>
      <c r="AG122" s="572">
        <f t="shared" si="61"/>
        <v>0.43428000000000005</v>
      </c>
      <c r="AH122" s="600">
        <f t="shared" si="62"/>
        <v>2.1761091000926006E-5</v>
      </c>
      <c r="AI122" s="613"/>
      <c r="AK122" s="614"/>
    </row>
    <row r="123" spans="1:37" ht="14.4" hidden="1" x14ac:dyDescent="0.3">
      <c r="A123" s="560" t="s">
        <v>568</v>
      </c>
      <c r="B123" s="557" t="str">
        <f t="shared" si="52"/>
        <v>2000s</v>
      </c>
      <c r="C123" s="561">
        <v>2003</v>
      </c>
      <c r="D123" s="562">
        <f t="shared" si="30"/>
        <v>1998</v>
      </c>
      <c r="E123" s="563">
        <f t="shared" si="31"/>
        <v>2000</v>
      </c>
      <c r="F123" s="586">
        <f t="shared" si="32"/>
        <v>39291</v>
      </c>
      <c r="G123" s="587">
        <f t="shared" si="33"/>
        <v>40728</v>
      </c>
      <c r="H123" s="587">
        <f t="shared" si="34"/>
        <v>40728</v>
      </c>
      <c r="I123" s="2121">
        <f t="shared" si="35"/>
        <v>29374</v>
      </c>
      <c r="J123" s="2125">
        <f t="shared" si="36"/>
        <v>0.84459012622559593</v>
      </c>
      <c r="K123" s="590">
        <f t="shared" si="37"/>
        <v>34992</v>
      </c>
      <c r="L123" s="591">
        <f t="shared" si="45"/>
        <v>34398.46666091607</v>
      </c>
      <c r="M123" s="589">
        <f t="shared" si="56"/>
        <v>29374</v>
      </c>
      <c r="N123" s="591">
        <f t="shared" si="57"/>
        <v>1196344272</v>
      </c>
      <c r="O123" s="569">
        <f t="shared" si="38"/>
        <v>9.8212531919072868E-4</v>
      </c>
      <c r="P123" s="592">
        <f t="shared" si="39"/>
        <v>0.84459012622559593</v>
      </c>
      <c r="Q123" s="571">
        <f t="shared" si="40"/>
        <v>0.87278693528693529</v>
      </c>
      <c r="R123" s="572">
        <f t="shared" si="41"/>
        <v>0.84000000000000008</v>
      </c>
      <c r="S123" s="573">
        <f t="shared" si="42"/>
        <v>0.11832154782950305</v>
      </c>
      <c r="T123" s="574">
        <v>1.3</v>
      </c>
      <c r="U123" s="557">
        <f t="shared" si="43"/>
        <v>5</v>
      </c>
      <c r="V123" s="575">
        <f t="shared" si="44"/>
        <v>1</v>
      </c>
      <c r="W123" s="608">
        <v>1.9E-2</v>
      </c>
      <c r="X123" s="595">
        <f t="shared" si="46"/>
        <v>773.83199999999999</v>
      </c>
      <c r="Y123" s="615">
        <v>0.125</v>
      </c>
      <c r="Z123" s="596">
        <f t="shared" si="58"/>
        <v>664.84799999999996</v>
      </c>
      <c r="AA123" s="2326" t="s">
        <v>1330</v>
      </c>
      <c r="AB123" s="597">
        <f t="shared" si="53"/>
        <v>653.57086655740534</v>
      </c>
      <c r="AC123" s="597">
        <f t="shared" si="54"/>
        <v>22730541.167999998</v>
      </c>
      <c r="AD123" s="597">
        <f t="shared" si="55"/>
        <v>4299.8083326145088</v>
      </c>
      <c r="AE123" s="598">
        <f t="shared" si="59"/>
        <v>653.57086655740534</v>
      </c>
      <c r="AF123" s="572">
        <f t="shared" si="60"/>
        <v>3671.75</v>
      </c>
      <c r="AG123" s="572">
        <f t="shared" si="61"/>
        <v>0.10500000000000001</v>
      </c>
      <c r="AH123" s="600">
        <f t="shared" si="62"/>
        <v>1.3568836646714018E-4</v>
      </c>
      <c r="AI123" s="613" t="s">
        <v>593</v>
      </c>
    </row>
    <row r="124" spans="1:37" ht="14.4" hidden="1" x14ac:dyDescent="0.3">
      <c r="A124" s="560" t="s">
        <v>568</v>
      </c>
      <c r="B124" s="557" t="str">
        <f t="shared" si="52"/>
        <v>2000s</v>
      </c>
      <c r="C124" s="561">
        <v>2003</v>
      </c>
      <c r="D124" s="562">
        <f t="shared" si="30"/>
        <v>1999</v>
      </c>
      <c r="E124" s="563">
        <f t="shared" si="31"/>
        <v>2002</v>
      </c>
      <c r="F124" s="586">
        <f t="shared" si="32"/>
        <v>39291</v>
      </c>
      <c r="G124" s="587">
        <f t="shared" si="33"/>
        <v>40728</v>
      </c>
      <c r="H124" s="587">
        <f t="shared" si="34"/>
        <v>40728</v>
      </c>
      <c r="I124" s="2121">
        <f t="shared" si="35"/>
        <v>29374</v>
      </c>
      <c r="J124" s="2125">
        <f t="shared" si="36"/>
        <v>0.84459012622559593</v>
      </c>
      <c r="K124" s="590">
        <f t="shared" si="37"/>
        <v>34992</v>
      </c>
      <c r="L124" s="591">
        <f t="shared" si="45"/>
        <v>34398.46666091607</v>
      </c>
      <c r="M124" s="589">
        <f t="shared" si="56"/>
        <v>29374</v>
      </c>
      <c r="N124" s="591">
        <f t="shared" si="57"/>
        <v>1196344272</v>
      </c>
      <c r="O124" s="569">
        <f t="shared" si="38"/>
        <v>9.8212531919072868E-4</v>
      </c>
      <c r="P124" s="592">
        <f t="shared" si="39"/>
        <v>0.84459012622559593</v>
      </c>
      <c r="Q124" s="571">
        <f t="shared" si="40"/>
        <v>0.87278693528693529</v>
      </c>
      <c r="R124" s="572">
        <f t="shared" si="41"/>
        <v>0.84000000000000008</v>
      </c>
      <c r="S124" s="573">
        <f t="shared" si="42"/>
        <v>0.11832154782950305</v>
      </c>
      <c r="T124" s="574">
        <v>2.1</v>
      </c>
      <c r="U124" s="557">
        <f t="shared" si="43"/>
        <v>4.0000000000000009</v>
      </c>
      <c r="V124" s="575">
        <f t="shared" si="44"/>
        <v>2</v>
      </c>
      <c r="W124" s="594">
        <v>5.2999999999999999E-2</v>
      </c>
      <c r="X124" s="595">
        <f t="shared" si="46"/>
        <v>2158.5839999999998</v>
      </c>
      <c r="Y124" s="594">
        <v>5.0999999999999997E-2</v>
      </c>
      <c r="Z124" s="596">
        <f t="shared" si="58"/>
        <v>1854.576</v>
      </c>
      <c r="AA124" s="2326" t="s">
        <v>1330</v>
      </c>
      <c r="AB124" s="597">
        <f t="shared" si="53"/>
        <v>1823.1187330285518</v>
      </c>
      <c r="AC124" s="597">
        <f t="shared" si="54"/>
        <v>63406246.416000001</v>
      </c>
      <c r="AD124" s="597">
        <f t="shared" si="55"/>
        <v>1754.3217997067195</v>
      </c>
      <c r="AE124" s="598">
        <f t="shared" si="59"/>
        <v>1823.1187330285518</v>
      </c>
      <c r="AF124" s="572">
        <f t="shared" si="60"/>
        <v>1498.0739999999998</v>
      </c>
      <c r="AG124" s="572">
        <f t="shared" si="61"/>
        <v>4.2840000000000003E-2</v>
      </c>
      <c r="AH124" s="600">
        <f t="shared" si="62"/>
        <v>1.9846343714212653E-5</v>
      </c>
      <c r="AI124" s="613"/>
    </row>
    <row r="125" spans="1:37" ht="14.4" hidden="1" x14ac:dyDescent="0.3">
      <c r="A125" s="560" t="s">
        <v>568</v>
      </c>
      <c r="B125" s="557" t="str">
        <f t="shared" si="52"/>
        <v>2000s</v>
      </c>
      <c r="C125" s="561">
        <v>2003</v>
      </c>
      <c r="D125" s="562">
        <f t="shared" si="30"/>
        <v>1998</v>
      </c>
      <c r="E125" s="563">
        <f t="shared" si="31"/>
        <v>2001</v>
      </c>
      <c r="F125" s="586">
        <f t="shared" si="32"/>
        <v>39291</v>
      </c>
      <c r="G125" s="587">
        <f t="shared" si="33"/>
        <v>40728</v>
      </c>
      <c r="H125" s="587">
        <f t="shared" si="34"/>
        <v>40728</v>
      </c>
      <c r="I125" s="2121">
        <f t="shared" si="35"/>
        <v>29374</v>
      </c>
      <c r="J125" s="2125">
        <f t="shared" si="36"/>
        <v>0.84459012622559593</v>
      </c>
      <c r="K125" s="590">
        <f t="shared" si="37"/>
        <v>34992</v>
      </c>
      <c r="L125" s="591">
        <f t="shared" si="45"/>
        <v>34398.46666091607</v>
      </c>
      <c r="M125" s="589">
        <f t="shared" si="56"/>
        <v>29374</v>
      </c>
      <c r="N125" s="591">
        <f t="shared" si="57"/>
        <v>1196344272</v>
      </c>
      <c r="O125" s="569">
        <f t="shared" si="38"/>
        <v>9.8212531919072868E-4</v>
      </c>
      <c r="P125" s="592">
        <f t="shared" si="39"/>
        <v>0.84459012622559593</v>
      </c>
      <c r="Q125" s="571">
        <f t="shared" si="40"/>
        <v>0.87278693528693529</v>
      </c>
      <c r="R125" s="572">
        <f t="shared" si="41"/>
        <v>0.84000000000000008</v>
      </c>
      <c r="S125" s="573">
        <f t="shared" si="42"/>
        <v>0.11832154782950305</v>
      </c>
      <c r="T125" s="574">
        <v>2.2000000000000002</v>
      </c>
      <c r="U125" s="557">
        <f t="shared" si="43"/>
        <v>5.0000000000000018</v>
      </c>
      <c r="V125" s="575">
        <f t="shared" si="44"/>
        <v>2</v>
      </c>
      <c r="W125" s="594">
        <v>8.0000000000000002E-3</v>
      </c>
      <c r="X125" s="595">
        <f t="shared" si="46"/>
        <v>325.82400000000001</v>
      </c>
      <c r="Y125" s="594">
        <v>0</v>
      </c>
      <c r="Z125" s="596">
        <f t="shared" si="58"/>
        <v>279.93599999999998</v>
      </c>
      <c r="AA125" s="2326" t="s">
        <v>1330</v>
      </c>
      <c r="AB125" s="597">
        <f t="shared" si="53"/>
        <v>275.18773328732857</v>
      </c>
      <c r="AC125" s="597">
        <f t="shared" si="54"/>
        <v>9570754.1760000009</v>
      </c>
      <c r="AD125" s="597">
        <f t="shared" ref="AD125:AD130" si="63">IF(Y125,L125*Y125,0)</f>
        <v>0</v>
      </c>
      <c r="AE125" s="598">
        <f t="shared" si="59"/>
        <v>275.18773328732857</v>
      </c>
      <c r="AF125" s="572">
        <f t="shared" si="60"/>
        <v>0</v>
      </c>
      <c r="AG125" s="572">
        <f t="shared" si="61"/>
        <v>0</v>
      </c>
      <c r="AH125" s="600">
        <f t="shared" si="62"/>
        <v>0</v>
      </c>
      <c r="AI125" s="613"/>
    </row>
    <row r="126" spans="1:37" ht="14.4" hidden="1" x14ac:dyDescent="0.3">
      <c r="A126" s="560" t="s">
        <v>568</v>
      </c>
      <c r="B126" s="557" t="str">
        <f t="shared" si="52"/>
        <v>2000s</v>
      </c>
      <c r="C126" s="561">
        <v>2003</v>
      </c>
      <c r="D126" s="562">
        <f t="shared" si="30"/>
        <v>1997</v>
      </c>
      <c r="E126" s="563">
        <f t="shared" si="31"/>
        <v>2000</v>
      </c>
      <c r="F126" s="586">
        <f t="shared" si="32"/>
        <v>39291</v>
      </c>
      <c r="G126" s="587">
        <f t="shared" si="33"/>
        <v>40728</v>
      </c>
      <c r="H126" s="587">
        <f t="shared" si="34"/>
        <v>40728</v>
      </c>
      <c r="I126" s="2121">
        <f t="shared" si="35"/>
        <v>29374</v>
      </c>
      <c r="J126" s="2125">
        <f t="shared" si="36"/>
        <v>0.84459012622559593</v>
      </c>
      <c r="K126" s="590">
        <f t="shared" si="37"/>
        <v>34992</v>
      </c>
      <c r="L126" s="591">
        <f t="shared" si="45"/>
        <v>34398.46666091607</v>
      </c>
      <c r="M126" s="589">
        <f t="shared" si="56"/>
        <v>29374</v>
      </c>
      <c r="N126" s="591">
        <f t="shared" si="57"/>
        <v>1196344272</v>
      </c>
      <c r="O126" s="569">
        <f t="shared" si="38"/>
        <v>9.8212531919072868E-4</v>
      </c>
      <c r="P126" s="592">
        <f t="shared" si="39"/>
        <v>0.84459012622559593</v>
      </c>
      <c r="Q126" s="571">
        <f t="shared" si="40"/>
        <v>0.87278693528693529</v>
      </c>
      <c r="R126" s="572">
        <f t="shared" si="41"/>
        <v>0.84000000000000008</v>
      </c>
      <c r="S126" s="573">
        <f t="shared" si="42"/>
        <v>0.11832154782950305</v>
      </c>
      <c r="T126" s="574">
        <v>2.2999999999999998</v>
      </c>
      <c r="U126" s="557">
        <f t="shared" si="43"/>
        <v>5.9999999999999982</v>
      </c>
      <c r="V126" s="575">
        <f t="shared" si="44"/>
        <v>2</v>
      </c>
      <c r="W126" s="608">
        <v>8.9999999999999993E-3</v>
      </c>
      <c r="X126" s="595">
        <f t="shared" si="46"/>
        <v>366.55199999999996</v>
      </c>
      <c r="Y126" s="612"/>
      <c r="Z126" s="596">
        <f t="shared" si="58"/>
        <v>314.928</v>
      </c>
      <c r="AA126" s="2326" t="s">
        <v>1330</v>
      </c>
      <c r="AB126" s="597">
        <f t="shared" si="53"/>
        <v>309.5861999482446</v>
      </c>
      <c r="AC126" s="597">
        <f t="shared" si="54"/>
        <v>10767098.447999999</v>
      </c>
      <c r="AD126" s="597">
        <f t="shared" si="63"/>
        <v>0</v>
      </c>
      <c r="AE126" s="598">
        <f t="shared" si="59"/>
        <v>309.5861999482446</v>
      </c>
      <c r="AF126" s="572">
        <f t="shared" si="60"/>
        <v>0</v>
      </c>
      <c r="AG126" s="572">
        <f t="shared" si="61"/>
        <v>0</v>
      </c>
      <c r="AH126" s="600">
        <f t="shared" si="62"/>
        <v>0</v>
      </c>
      <c r="AI126" s="616" t="s">
        <v>594</v>
      </c>
    </row>
    <row r="127" spans="1:37" ht="14.4" hidden="1" x14ac:dyDescent="0.3">
      <c r="A127" s="560" t="s">
        <v>568</v>
      </c>
      <c r="B127" s="557" t="str">
        <f t="shared" si="52"/>
        <v>2000s</v>
      </c>
      <c r="C127" s="561">
        <v>2003</v>
      </c>
      <c r="D127" s="562">
        <f t="shared" si="30"/>
        <v>1998</v>
      </c>
      <c r="E127" s="563">
        <f t="shared" si="31"/>
        <v>2002</v>
      </c>
      <c r="F127" s="586">
        <f t="shared" si="32"/>
        <v>39291</v>
      </c>
      <c r="G127" s="587">
        <f t="shared" si="33"/>
        <v>40728</v>
      </c>
      <c r="H127" s="587">
        <f t="shared" si="34"/>
        <v>40728</v>
      </c>
      <c r="I127" s="2121">
        <f t="shared" si="35"/>
        <v>29374</v>
      </c>
      <c r="J127" s="2125">
        <f t="shared" si="36"/>
        <v>0.84459012622559593</v>
      </c>
      <c r="K127" s="590">
        <f t="shared" si="37"/>
        <v>34992</v>
      </c>
      <c r="L127" s="591">
        <f t="shared" si="45"/>
        <v>34398.46666091607</v>
      </c>
      <c r="M127" s="589">
        <f t="shared" si="56"/>
        <v>29374</v>
      </c>
      <c r="N127" s="591">
        <f t="shared" si="57"/>
        <v>1196344272</v>
      </c>
      <c r="O127" s="569">
        <f t="shared" si="38"/>
        <v>9.8212531919072868E-4</v>
      </c>
      <c r="P127" s="592">
        <f t="shared" si="39"/>
        <v>0.84459012622559593</v>
      </c>
      <c r="Q127" s="571">
        <f t="shared" si="40"/>
        <v>0.87278693528693529</v>
      </c>
      <c r="R127" s="572">
        <f t="shared" si="41"/>
        <v>0.84000000000000008</v>
      </c>
      <c r="S127" s="573">
        <f t="shared" si="42"/>
        <v>0.11832154782950305</v>
      </c>
      <c r="T127" s="574">
        <v>3.1</v>
      </c>
      <c r="U127" s="557">
        <f t="shared" si="43"/>
        <v>5.0000000000000009</v>
      </c>
      <c r="V127" s="575">
        <f t="shared" si="44"/>
        <v>3</v>
      </c>
      <c r="W127" s="608">
        <f>0.178-SUM(W128:W131)</f>
        <v>6.9999999999999993E-2</v>
      </c>
      <c r="X127" s="595">
        <f t="shared" si="46"/>
        <v>2850.9599999999996</v>
      </c>
      <c r="Y127" s="612"/>
      <c r="Z127" s="596">
        <f t="shared" si="58"/>
        <v>2449.4399999999996</v>
      </c>
      <c r="AA127" s="2326" t="s">
        <v>1330</v>
      </c>
      <c r="AB127" s="597">
        <f t="shared" si="53"/>
        <v>2407.8926662641247</v>
      </c>
      <c r="AC127" s="597">
        <f t="shared" si="54"/>
        <v>83744099.039999992</v>
      </c>
      <c r="AD127" s="597">
        <f t="shared" si="63"/>
        <v>0</v>
      </c>
      <c r="AE127" s="598">
        <f t="shared" si="59"/>
        <v>2407.8926662641247</v>
      </c>
      <c r="AF127" s="572">
        <f t="shared" si="60"/>
        <v>0</v>
      </c>
      <c r="AG127" s="572">
        <f t="shared" si="61"/>
        <v>0</v>
      </c>
      <c r="AH127" s="600">
        <f t="shared" si="62"/>
        <v>0</v>
      </c>
      <c r="AI127" s="616"/>
    </row>
    <row r="128" spans="1:37" ht="14.4" hidden="1" x14ac:dyDescent="0.3">
      <c r="A128" s="560" t="s">
        <v>568</v>
      </c>
      <c r="B128" s="557" t="str">
        <f t="shared" si="52"/>
        <v>2000s</v>
      </c>
      <c r="C128" s="561">
        <v>2003</v>
      </c>
      <c r="D128" s="562">
        <f t="shared" ref="D128:D191" si="64">C128-U128</f>
        <v>1997</v>
      </c>
      <c r="E128" s="563">
        <f t="shared" ref="E128:E191" si="65">C128-(T128-INT(T128))*10</f>
        <v>2001</v>
      </c>
      <c r="F128" s="586">
        <f t="shared" si="32"/>
        <v>39291</v>
      </c>
      <c r="G128" s="587">
        <f t="shared" si="33"/>
        <v>40728</v>
      </c>
      <c r="H128" s="587">
        <f t="shared" si="34"/>
        <v>40728</v>
      </c>
      <c r="I128" s="2121">
        <f t="shared" si="35"/>
        <v>29374</v>
      </c>
      <c r="J128" s="2125">
        <f t="shared" si="36"/>
        <v>0.84459012622559593</v>
      </c>
      <c r="K128" s="590">
        <f t="shared" si="37"/>
        <v>34992</v>
      </c>
      <c r="L128" s="591">
        <f t="shared" si="45"/>
        <v>34398.46666091607</v>
      </c>
      <c r="M128" s="589">
        <f t="shared" si="56"/>
        <v>29374</v>
      </c>
      <c r="N128" s="591">
        <f t="shared" si="57"/>
        <v>1196344272</v>
      </c>
      <c r="O128" s="569">
        <f t="shared" si="38"/>
        <v>9.8212531919072868E-4</v>
      </c>
      <c r="P128" s="592">
        <f t="shared" si="39"/>
        <v>0.84459012622559593</v>
      </c>
      <c r="Q128" s="571">
        <f t="shared" si="40"/>
        <v>0.87278693528693529</v>
      </c>
      <c r="R128" s="572">
        <f t="shared" si="41"/>
        <v>0.84000000000000008</v>
      </c>
      <c r="S128" s="573">
        <f t="shared" si="42"/>
        <v>0.11832154782950305</v>
      </c>
      <c r="T128" s="574">
        <v>3.2</v>
      </c>
      <c r="U128" s="557">
        <f t="shared" si="43"/>
        <v>6.0000000000000018</v>
      </c>
      <c r="V128" s="575">
        <f t="shared" si="44"/>
        <v>3</v>
      </c>
      <c r="W128" s="608">
        <v>2.8000000000000001E-2</v>
      </c>
      <c r="X128" s="595">
        <f t="shared" si="46"/>
        <v>1140.384</v>
      </c>
      <c r="Y128" s="612"/>
      <c r="Z128" s="596">
        <f t="shared" si="58"/>
        <v>979.77600000000007</v>
      </c>
      <c r="AA128" s="2326" t="s">
        <v>1330</v>
      </c>
      <c r="AB128" s="597">
        <f t="shared" si="53"/>
        <v>963.15706650564994</v>
      </c>
      <c r="AC128" s="597">
        <f t="shared" si="54"/>
        <v>33497639.616</v>
      </c>
      <c r="AD128" s="597">
        <f t="shared" si="63"/>
        <v>0</v>
      </c>
      <c r="AE128" s="598">
        <f t="shared" si="59"/>
        <v>963.15706650564994</v>
      </c>
      <c r="AG128" s="572">
        <f t="shared" si="61"/>
        <v>0</v>
      </c>
      <c r="AH128" s="600"/>
      <c r="AI128" s="616" t="s">
        <v>595</v>
      </c>
    </row>
    <row r="129" spans="1:35" ht="14.4" hidden="1" x14ac:dyDescent="0.3">
      <c r="A129" s="560" t="s">
        <v>568</v>
      </c>
      <c r="B129" s="557" t="str">
        <f t="shared" si="52"/>
        <v>2000s</v>
      </c>
      <c r="C129" s="561">
        <v>2003</v>
      </c>
      <c r="D129" s="562">
        <f t="shared" si="64"/>
        <v>1996</v>
      </c>
      <c r="E129" s="563">
        <f t="shared" si="65"/>
        <v>2000</v>
      </c>
      <c r="F129" s="586">
        <f t="shared" si="32"/>
        <v>39291</v>
      </c>
      <c r="G129" s="587">
        <f t="shared" si="33"/>
        <v>40728</v>
      </c>
      <c r="H129" s="587">
        <f t="shared" si="34"/>
        <v>40728</v>
      </c>
      <c r="I129" s="2121">
        <f t="shared" si="35"/>
        <v>29374</v>
      </c>
      <c r="J129" s="2125">
        <f t="shared" si="36"/>
        <v>0.84459012622559593</v>
      </c>
      <c r="K129" s="590">
        <f t="shared" si="37"/>
        <v>34992</v>
      </c>
      <c r="L129" s="591">
        <f t="shared" si="45"/>
        <v>34398.46666091607</v>
      </c>
      <c r="M129" s="589">
        <f t="shared" si="56"/>
        <v>29374</v>
      </c>
      <c r="N129" s="591">
        <f t="shared" si="57"/>
        <v>1196344272</v>
      </c>
      <c r="O129" s="569">
        <f t="shared" si="38"/>
        <v>9.8212531919072868E-4</v>
      </c>
      <c r="P129" s="592">
        <f t="shared" si="39"/>
        <v>0.84459012622559593</v>
      </c>
      <c r="Q129" s="571">
        <f t="shared" si="40"/>
        <v>0.87278693528693529</v>
      </c>
      <c r="R129" s="572">
        <f t="shared" si="41"/>
        <v>0.84000000000000008</v>
      </c>
      <c r="S129" s="573">
        <f t="shared" si="42"/>
        <v>0.11832154782950305</v>
      </c>
      <c r="T129" s="574">
        <v>3.3</v>
      </c>
      <c r="U129" s="557">
        <f t="shared" si="43"/>
        <v>6.9999999999999982</v>
      </c>
      <c r="V129" s="575">
        <f t="shared" si="44"/>
        <v>3</v>
      </c>
      <c r="W129" s="608">
        <v>1E-3</v>
      </c>
      <c r="X129" s="595">
        <f t="shared" si="46"/>
        <v>40.728000000000002</v>
      </c>
      <c r="Y129" s="612"/>
      <c r="Z129" s="596">
        <f t="shared" si="58"/>
        <v>34.991999999999997</v>
      </c>
      <c r="AA129" s="2326" t="s">
        <v>1330</v>
      </c>
      <c r="AB129" s="597">
        <f t="shared" si="53"/>
        <v>34.398466660916071</v>
      </c>
      <c r="AC129" s="597">
        <f t="shared" si="54"/>
        <v>1196344.2720000001</v>
      </c>
      <c r="AD129" s="597">
        <f t="shared" si="63"/>
        <v>0</v>
      </c>
      <c r="AE129" s="598">
        <f t="shared" si="59"/>
        <v>34.398466660916071</v>
      </c>
      <c r="AG129" s="572">
        <f t="shared" si="61"/>
        <v>0</v>
      </c>
      <c r="AH129" s="600"/>
      <c r="AI129" s="616"/>
    </row>
    <row r="130" spans="1:35" ht="14.4" hidden="1" x14ac:dyDescent="0.3">
      <c r="A130" s="560" t="s">
        <v>568</v>
      </c>
      <c r="B130" s="557" t="str">
        <f t="shared" si="52"/>
        <v>2000s</v>
      </c>
      <c r="C130" s="561">
        <v>2003</v>
      </c>
      <c r="D130" s="562">
        <f t="shared" si="64"/>
        <v>1997</v>
      </c>
      <c r="E130" s="563">
        <f t="shared" si="65"/>
        <v>2002</v>
      </c>
      <c r="F130" s="586">
        <f t="shared" ref="F130:F193" si="66">VLOOKUP($C130,SockeyeReturnsData,2)</f>
        <v>39291</v>
      </c>
      <c r="G130" s="587">
        <f t="shared" ref="G130:G193" si="67">VLOOKUP($C130,SockeyeReturnsData,3)</f>
        <v>40728</v>
      </c>
      <c r="H130" s="587">
        <f t="shared" ref="H130:H193" si="68">VLOOKUP($C130,SockeyeReturnsData,5)</f>
        <v>40728</v>
      </c>
      <c r="I130" s="2121">
        <f t="shared" ref="I130:I193" si="69">VLOOKUP($C130,SockeyeReturnsData,12)</f>
        <v>29374</v>
      </c>
      <c r="J130" s="2125">
        <f t="shared" ref="J130:J193" si="70">VLOOKUP($C130,SockeyeReturnsData,18)</f>
        <v>0.84459012622559593</v>
      </c>
      <c r="K130" s="590">
        <f t="shared" ref="K130:K193" si="71">VLOOKUP($C130,SockeyeReturnsData,30)</f>
        <v>34992</v>
      </c>
      <c r="L130" s="591">
        <f t="shared" si="45"/>
        <v>34398.46666091607</v>
      </c>
      <c r="M130" s="589">
        <f t="shared" si="56"/>
        <v>29374</v>
      </c>
      <c r="N130" s="591">
        <f t="shared" si="57"/>
        <v>1196344272</v>
      </c>
      <c r="O130" s="569">
        <f t="shared" ref="O130:O193" si="72">VLOOKUP($C130,SockeyeReturnsData,6)/G130</f>
        <v>9.8212531919072868E-4</v>
      </c>
      <c r="P130" s="592">
        <f t="shared" ref="P130:P193" si="73">VLOOKUP($C130,SockeyeReturnsData,18)</f>
        <v>0.84459012622559593</v>
      </c>
      <c r="Q130" s="571">
        <f t="shared" ref="Q130:Q193" si="74">VLOOKUP($C130,SockeyeReturnsData,20)</f>
        <v>0.87278693528693529</v>
      </c>
      <c r="R130" s="572">
        <f t="shared" ref="R130:R193" si="75">VLOOKUP($C130,SockeyeReturnsData,19)</f>
        <v>0.84000000000000008</v>
      </c>
      <c r="S130" s="573">
        <f t="shared" ref="S130:S193" si="76">VLOOKUP($C130,SockeyeReturnsData,24)</f>
        <v>0.11832154782950305</v>
      </c>
      <c r="T130" s="574">
        <v>4.0999999999999996</v>
      </c>
      <c r="U130" s="557">
        <f t="shared" ref="U130:U193" si="77">INT(T130) + (T130-INT(T130))*10 + 1</f>
        <v>5.9999999999999964</v>
      </c>
      <c r="V130" s="575">
        <f t="shared" ref="V130:V193" si="78">INT(T130)</f>
        <v>4</v>
      </c>
      <c r="W130" s="608">
        <v>4.8000000000000001E-2</v>
      </c>
      <c r="X130" s="595">
        <f t="shared" si="46"/>
        <v>1954.944</v>
      </c>
      <c r="Y130" s="612"/>
      <c r="Z130" s="596">
        <f t="shared" si="58"/>
        <v>1679.616</v>
      </c>
      <c r="AA130" s="2326" t="s">
        <v>1330</v>
      </c>
      <c r="AB130" s="597">
        <f t="shared" si="53"/>
        <v>1651.1263997239714</v>
      </c>
      <c r="AC130" s="597">
        <f t="shared" si="54"/>
        <v>57424525.056000002</v>
      </c>
      <c r="AD130" s="597">
        <f t="shared" si="63"/>
        <v>0</v>
      </c>
      <c r="AE130" s="598">
        <f t="shared" si="59"/>
        <v>1651.1263997239714</v>
      </c>
      <c r="AG130" s="572">
        <f t="shared" si="61"/>
        <v>0</v>
      </c>
      <c r="AH130" s="600"/>
      <c r="AI130" s="616"/>
    </row>
    <row r="131" spans="1:35" ht="14.4" hidden="1" x14ac:dyDescent="0.3">
      <c r="A131" s="560" t="s">
        <v>568</v>
      </c>
      <c r="B131" s="557" t="str">
        <f t="shared" si="52"/>
        <v>2000s</v>
      </c>
      <c r="C131" s="561">
        <v>2004</v>
      </c>
      <c r="D131" s="562">
        <f t="shared" si="64"/>
        <v>2001</v>
      </c>
      <c r="E131" s="563">
        <f t="shared" si="65"/>
        <v>2003</v>
      </c>
      <c r="F131" s="586">
        <f t="shared" si="66"/>
        <v>130231</v>
      </c>
      <c r="G131" s="587">
        <f t="shared" si="67"/>
        <v>129057</v>
      </c>
      <c r="H131" s="587">
        <f t="shared" si="68"/>
        <v>128385</v>
      </c>
      <c r="I131" s="2121">
        <f t="shared" si="69"/>
        <v>78053</v>
      </c>
      <c r="J131" s="2125">
        <f t="shared" si="70"/>
        <v>0.73175144844655282</v>
      </c>
      <c r="K131" s="590">
        <f t="shared" si="71"/>
        <v>91547</v>
      </c>
      <c r="L131" s="591">
        <f t="shared" ref="L131:L194" si="79">J131*G131</f>
        <v>94437.646682166771</v>
      </c>
      <c r="M131" s="589">
        <f t="shared" si="56"/>
        <v>78053</v>
      </c>
      <c r="N131" s="591">
        <f t="shared" si="57"/>
        <v>10073286021</v>
      </c>
      <c r="O131" s="569">
        <f t="shared" si="72"/>
        <v>9.1432467824294694E-4</v>
      </c>
      <c r="P131" s="592">
        <f t="shared" si="73"/>
        <v>0.73175144844655282</v>
      </c>
      <c r="Q131" s="571">
        <f t="shared" si="74"/>
        <v>0.75366728328952071</v>
      </c>
      <c r="R131" s="572">
        <f t="shared" si="75"/>
        <v>0.77000000000000013</v>
      </c>
      <c r="S131" s="573">
        <f t="shared" si="76"/>
        <v>0.13462631927405849</v>
      </c>
      <c r="T131" s="574">
        <v>1.1000000000000001</v>
      </c>
      <c r="U131" s="557">
        <f t="shared" si="77"/>
        <v>3.0000000000000009</v>
      </c>
      <c r="V131" s="575">
        <f t="shared" si="78"/>
        <v>1</v>
      </c>
      <c r="W131" s="594">
        <v>3.1E-2</v>
      </c>
      <c r="X131" s="595">
        <f t="shared" si="46"/>
        <v>4000.7669999999998</v>
      </c>
      <c r="Y131" s="594">
        <v>2.6365348399246705E-2</v>
      </c>
      <c r="Z131" s="596">
        <f t="shared" si="58"/>
        <v>2837.9569999999999</v>
      </c>
      <c r="AA131" s="2326" t="s">
        <v>1330</v>
      </c>
      <c r="AB131" s="597">
        <f t="shared" si="53"/>
        <v>2927.5670471471699</v>
      </c>
      <c r="AC131" s="597">
        <f t="shared" si="54"/>
        <v>312271866.65100002</v>
      </c>
      <c r="AD131" s="597">
        <f t="shared" si="55"/>
        <v>2489.8814567802915</v>
      </c>
      <c r="AE131" s="598">
        <f>L131*W131</f>
        <v>2927.5670471471699</v>
      </c>
      <c r="AF131" s="572">
        <f>Y131*I131</f>
        <v>2057.8945386064029</v>
      </c>
      <c r="AG131" s="599">
        <f t="shared" si="61"/>
        <v>2.0301318267419967E-2</v>
      </c>
      <c r="AH131" s="600">
        <f>IF(X131=0,0,AG131/X131)</f>
        <v>5.0743565589848065E-6</v>
      </c>
      <c r="AI131" s="613" t="s">
        <v>596</v>
      </c>
    </row>
    <row r="132" spans="1:35" ht="14.4" hidden="1" x14ac:dyDescent="0.3">
      <c r="A132" s="560" t="s">
        <v>568</v>
      </c>
      <c r="B132" s="557" t="str">
        <f t="shared" si="52"/>
        <v>2000s</v>
      </c>
      <c r="C132" s="561">
        <v>2004</v>
      </c>
      <c r="D132" s="562">
        <f t="shared" si="64"/>
        <v>2000</v>
      </c>
      <c r="E132" s="563">
        <f t="shared" si="65"/>
        <v>2002</v>
      </c>
      <c r="F132" s="586">
        <f t="shared" si="66"/>
        <v>130231</v>
      </c>
      <c r="G132" s="587">
        <f t="shared" si="67"/>
        <v>129057</v>
      </c>
      <c r="H132" s="587">
        <f t="shared" si="68"/>
        <v>128385</v>
      </c>
      <c r="I132" s="2121">
        <f t="shared" si="69"/>
        <v>78053</v>
      </c>
      <c r="J132" s="2125">
        <f t="shared" si="70"/>
        <v>0.73175144844655282</v>
      </c>
      <c r="K132" s="590">
        <f t="shared" si="71"/>
        <v>91547</v>
      </c>
      <c r="L132" s="591">
        <f t="shared" si="79"/>
        <v>94437.646682166771</v>
      </c>
      <c r="M132" s="589">
        <f t="shared" si="56"/>
        <v>78053</v>
      </c>
      <c r="N132" s="591">
        <f t="shared" si="57"/>
        <v>10073286021</v>
      </c>
      <c r="O132" s="569">
        <f t="shared" si="72"/>
        <v>9.1432467824294694E-4</v>
      </c>
      <c r="P132" s="592">
        <f t="shared" si="73"/>
        <v>0.73175144844655282</v>
      </c>
      <c r="Q132" s="571">
        <f t="shared" si="74"/>
        <v>0.75366728328952071</v>
      </c>
      <c r="R132" s="572">
        <f t="shared" si="75"/>
        <v>0.77000000000000013</v>
      </c>
      <c r="S132" s="573">
        <f t="shared" si="76"/>
        <v>0.13462631927405849</v>
      </c>
      <c r="T132" s="574">
        <v>1.2</v>
      </c>
      <c r="U132" s="557">
        <f t="shared" si="77"/>
        <v>3.9999999999999996</v>
      </c>
      <c r="V132" s="575">
        <f t="shared" si="78"/>
        <v>1</v>
      </c>
      <c r="W132" s="594">
        <v>0.93400000000000005</v>
      </c>
      <c r="X132" s="595">
        <f t="shared" si="46"/>
        <v>120539.23800000001</v>
      </c>
      <c r="Y132" s="594">
        <v>0.95291902071563084</v>
      </c>
      <c r="Z132" s="596">
        <f t="shared" si="58"/>
        <v>85504.898000000001</v>
      </c>
      <c r="AA132" s="2326" t="s">
        <v>1330</v>
      </c>
      <c r="AB132" s="597">
        <f t="shared" si="53"/>
        <v>88204.762001143768</v>
      </c>
      <c r="AC132" s="597">
        <f t="shared" si="54"/>
        <v>9408449143.6140003</v>
      </c>
      <c r="AD132" s="597">
        <f t="shared" si="55"/>
        <v>89991.429795059099</v>
      </c>
      <c r="AE132" s="598">
        <f t="shared" ref="AE132:AE143" si="80">L132*W132</f>
        <v>88204.762001143768</v>
      </c>
      <c r="AF132" s="572">
        <f>Y132*I132</f>
        <v>74378.188323917129</v>
      </c>
      <c r="AG132" s="572">
        <f t="shared" si="61"/>
        <v>0.73374764595103592</v>
      </c>
      <c r="AH132" s="600">
        <f>IF(X132=0,0,AG132/X132)</f>
        <v>6.0872099253774593E-6</v>
      </c>
      <c r="AI132" s="613" t="s">
        <v>597</v>
      </c>
    </row>
    <row r="133" spans="1:35" ht="14.4" hidden="1" x14ac:dyDescent="0.3">
      <c r="A133" s="560" t="s">
        <v>568</v>
      </c>
      <c r="B133" s="557" t="str">
        <f t="shared" si="52"/>
        <v>2000s</v>
      </c>
      <c r="C133" s="561">
        <v>2004</v>
      </c>
      <c r="D133" s="562">
        <f t="shared" si="64"/>
        <v>1999</v>
      </c>
      <c r="E133" s="563">
        <f t="shared" si="65"/>
        <v>2001</v>
      </c>
      <c r="F133" s="586">
        <f t="shared" si="66"/>
        <v>130231</v>
      </c>
      <c r="G133" s="587">
        <f t="shared" si="67"/>
        <v>129057</v>
      </c>
      <c r="H133" s="587">
        <f t="shared" si="68"/>
        <v>128385</v>
      </c>
      <c r="I133" s="2121">
        <f t="shared" si="69"/>
        <v>78053</v>
      </c>
      <c r="J133" s="2125">
        <f t="shared" si="70"/>
        <v>0.73175144844655282</v>
      </c>
      <c r="K133" s="590">
        <f t="shared" si="71"/>
        <v>91547</v>
      </c>
      <c r="L133" s="591">
        <f t="shared" si="79"/>
        <v>94437.646682166771</v>
      </c>
      <c r="M133" s="589">
        <f t="shared" si="56"/>
        <v>78053</v>
      </c>
      <c r="N133" s="591">
        <f t="shared" si="57"/>
        <v>10073286021</v>
      </c>
      <c r="O133" s="569">
        <f t="shared" si="72"/>
        <v>9.1432467824294694E-4</v>
      </c>
      <c r="P133" s="592">
        <f t="shared" si="73"/>
        <v>0.73175144844655282</v>
      </c>
      <c r="Q133" s="571">
        <f t="shared" si="74"/>
        <v>0.75366728328952071</v>
      </c>
      <c r="R133" s="572">
        <f t="shared" si="75"/>
        <v>0.77000000000000013</v>
      </c>
      <c r="S133" s="573">
        <f t="shared" si="76"/>
        <v>0.13462631927405849</v>
      </c>
      <c r="T133" s="574">
        <v>1.3</v>
      </c>
      <c r="U133" s="557">
        <f t="shared" si="77"/>
        <v>5</v>
      </c>
      <c r="V133" s="575">
        <f t="shared" si="78"/>
        <v>1</v>
      </c>
      <c r="W133" s="594">
        <v>0</v>
      </c>
      <c r="X133" s="595">
        <f t="shared" si="46"/>
        <v>0</v>
      </c>
      <c r="Y133" s="594">
        <v>1.8832391713747645E-2</v>
      </c>
      <c r="Z133" s="596">
        <f t="shared" si="58"/>
        <v>0</v>
      </c>
      <c r="AA133" s="2326" t="s">
        <v>1330</v>
      </c>
      <c r="AB133" s="597">
        <f t="shared" si="53"/>
        <v>0</v>
      </c>
      <c r="AC133" s="597">
        <f t="shared" si="54"/>
        <v>0</v>
      </c>
      <c r="AD133" s="597">
        <f t="shared" si="55"/>
        <v>1778.4867548430652</v>
      </c>
      <c r="AE133" s="598">
        <f t="shared" si="80"/>
        <v>0</v>
      </c>
      <c r="AF133" s="572">
        <f>Y133*I133</f>
        <v>1469.9246704331449</v>
      </c>
      <c r="AG133" s="572">
        <f t="shared" si="61"/>
        <v>1.4500941619585688E-2</v>
      </c>
      <c r="AH133" s="600">
        <f>IF(X133=0,0,AG133/X133)</f>
        <v>0</v>
      </c>
      <c r="AI133" s="613" t="s">
        <v>598</v>
      </c>
    </row>
    <row r="134" spans="1:35" ht="14.4" hidden="1" x14ac:dyDescent="0.3">
      <c r="A134" s="560" t="s">
        <v>568</v>
      </c>
      <c r="B134" s="557" t="str">
        <f t="shared" si="52"/>
        <v>2000s</v>
      </c>
      <c r="C134" s="561">
        <v>2004</v>
      </c>
      <c r="D134" s="562">
        <f t="shared" si="64"/>
        <v>2000</v>
      </c>
      <c r="E134" s="563">
        <f t="shared" si="65"/>
        <v>2003</v>
      </c>
      <c r="F134" s="586">
        <f t="shared" si="66"/>
        <v>130231</v>
      </c>
      <c r="G134" s="587">
        <f t="shared" si="67"/>
        <v>129057</v>
      </c>
      <c r="H134" s="587">
        <f t="shared" si="68"/>
        <v>128385</v>
      </c>
      <c r="I134" s="2121">
        <f t="shared" si="69"/>
        <v>78053</v>
      </c>
      <c r="J134" s="2125">
        <f t="shared" si="70"/>
        <v>0.73175144844655282</v>
      </c>
      <c r="K134" s="590">
        <f t="shared" si="71"/>
        <v>91547</v>
      </c>
      <c r="L134" s="591">
        <f t="shared" si="79"/>
        <v>94437.646682166771</v>
      </c>
      <c r="M134" s="589">
        <f t="shared" si="56"/>
        <v>78053</v>
      </c>
      <c r="N134" s="591">
        <f t="shared" si="57"/>
        <v>10073286021</v>
      </c>
      <c r="O134" s="569">
        <f t="shared" si="72"/>
        <v>9.1432467824294694E-4</v>
      </c>
      <c r="P134" s="592">
        <f t="shared" si="73"/>
        <v>0.73175144844655282</v>
      </c>
      <c r="Q134" s="571">
        <f t="shared" si="74"/>
        <v>0.75366728328952071</v>
      </c>
      <c r="R134" s="572">
        <f t="shared" si="75"/>
        <v>0.77000000000000013</v>
      </c>
      <c r="S134" s="573">
        <f t="shared" si="76"/>
        <v>0.13462631927405849</v>
      </c>
      <c r="T134" s="574">
        <v>2.1</v>
      </c>
      <c r="U134" s="557">
        <f t="shared" si="77"/>
        <v>4.0000000000000009</v>
      </c>
      <c r="V134" s="575">
        <f t="shared" si="78"/>
        <v>2</v>
      </c>
      <c r="W134" s="594">
        <v>3.0000000000000001E-3</v>
      </c>
      <c r="X134" s="595">
        <f t="shared" si="46"/>
        <v>387.17099999999999</v>
      </c>
      <c r="Y134" s="594">
        <v>0</v>
      </c>
      <c r="Z134" s="596">
        <f t="shared" si="58"/>
        <v>274.64100000000002</v>
      </c>
      <c r="AA134" s="2326" t="s">
        <v>1330</v>
      </c>
      <c r="AB134" s="597">
        <f t="shared" si="53"/>
        <v>283.31294004650033</v>
      </c>
      <c r="AC134" s="597">
        <f t="shared" si="54"/>
        <v>30219858.063000001</v>
      </c>
      <c r="AD134" s="597">
        <f>IF(Y134,L134*Y134,0)</f>
        <v>0</v>
      </c>
      <c r="AE134" s="598">
        <f t="shared" si="80"/>
        <v>283.31294004650033</v>
      </c>
      <c r="AF134" s="572">
        <f>Y134*I134</f>
        <v>0</v>
      </c>
      <c r="AG134" s="572">
        <f t="shared" si="61"/>
        <v>0</v>
      </c>
      <c r="AH134" s="600">
        <f>IF(X134=0,0,AG134/X134)</f>
        <v>0</v>
      </c>
      <c r="AI134" s="613" t="s">
        <v>599</v>
      </c>
    </row>
    <row r="135" spans="1:35" ht="14.4" hidden="1" x14ac:dyDescent="0.3">
      <c r="A135" s="560" t="s">
        <v>568</v>
      </c>
      <c r="B135" s="557" t="str">
        <f t="shared" si="52"/>
        <v>2000s</v>
      </c>
      <c r="C135" s="561">
        <v>2004</v>
      </c>
      <c r="D135" s="562">
        <f t="shared" si="64"/>
        <v>1999</v>
      </c>
      <c r="E135" s="563">
        <f t="shared" si="65"/>
        <v>2002</v>
      </c>
      <c r="F135" s="586">
        <f t="shared" si="66"/>
        <v>130231</v>
      </c>
      <c r="G135" s="587">
        <f t="shared" si="67"/>
        <v>129057</v>
      </c>
      <c r="H135" s="587">
        <f t="shared" si="68"/>
        <v>128385</v>
      </c>
      <c r="I135" s="2121">
        <f t="shared" si="69"/>
        <v>78053</v>
      </c>
      <c r="J135" s="2125">
        <f t="shared" si="70"/>
        <v>0.73175144844655282</v>
      </c>
      <c r="K135" s="590">
        <f t="shared" si="71"/>
        <v>91547</v>
      </c>
      <c r="L135" s="591">
        <f t="shared" si="79"/>
        <v>94437.646682166771</v>
      </c>
      <c r="M135" s="589">
        <f t="shared" si="56"/>
        <v>78053</v>
      </c>
      <c r="N135" s="591">
        <f t="shared" si="57"/>
        <v>10073286021</v>
      </c>
      <c r="O135" s="569">
        <f t="shared" si="72"/>
        <v>9.1432467824294694E-4</v>
      </c>
      <c r="P135" s="592">
        <f t="shared" si="73"/>
        <v>0.73175144844655282</v>
      </c>
      <c r="Q135" s="571">
        <f t="shared" si="74"/>
        <v>0.75366728328952071</v>
      </c>
      <c r="R135" s="572">
        <f t="shared" si="75"/>
        <v>0.77000000000000013</v>
      </c>
      <c r="S135" s="573">
        <f t="shared" si="76"/>
        <v>0.13462631927405849</v>
      </c>
      <c r="T135" s="574">
        <v>2.2000000000000002</v>
      </c>
      <c r="U135" s="557">
        <f t="shared" si="77"/>
        <v>5.0000000000000018</v>
      </c>
      <c r="V135" s="575">
        <f t="shared" si="78"/>
        <v>2</v>
      </c>
      <c r="W135" s="594">
        <v>1.4999999999999999E-2</v>
      </c>
      <c r="X135" s="595">
        <f t="shared" si="46"/>
        <v>1935.855</v>
      </c>
      <c r="Y135" s="594">
        <v>1.8832391713747645E-3</v>
      </c>
      <c r="Z135" s="596">
        <f t="shared" si="58"/>
        <v>1373.2049999999999</v>
      </c>
      <c r="AA135" s="2326" t="s">
        <v>1330</v>
      </c>
      <c r="AB135" s="597">
        <f t="shared" si="53"/>
        <v>1416.5647002325015</v>
      </c>
      <c r="AC135" s="597">
        <f t="shared" si="54"/>
        <v>151099290.315</v>
      </c>
      <c r="AD135" s="597">
        <f t="shared" si="55"/>
        <v>177.84867548430654</v>
      </c>
      <c r="AE135" s="598">
        <f t="shared" si="80"/>
        <v>1416.5647002325015</v>
      </c>
      <c r="AF135" s="572">
        <f>Y135*I135</f>
        <v>146.99246704331449</v>
      </c>
      <c r="AG135" s="572">
        <f t="shared" si="61"/>
        <v>1.4500941619585688E-3</v>
      </c>
      <c r="AH135" s="600">
        <f>IF(X135=0,0,AG135/X135)</f>
        <v>7.4907168251680459E-7</v>
      </c>
      <c r="AI135" s="613" t="s">
        <v>600</v>
      </c>
    </row>
    <row r="136" spans="1:35" ht="14.4" hidden="1" x14ac:dyDescent="0.3">
      <c r="A136" s="560" t="s">
        <v>568</v>
      </c>
      <c r="B136" s="557" t="str">
        <f t="shared" si="52"/>
        <v>2000s</v>
      </c>
      <c r="C136" s="561">
        <v>2004</v>
      </c>
      <c r="D136" s="562">
        <f t="shared" si="64"/>
        <v>1998</v>
      </c>
      <c r="E136" s="563">
        <f t="shared" si="65"/>
        <v>2001</v>
      </c>
      <c r="F136" s="586">
        <f t="shared" si="66"/>
        <v>130231</v>
      </c>
      <c r="G136" s="587">
        <f t="shared" si="67"/>
        <v>129057</v>
      </c>
      <c r="H136" s="587">
        <f t="shared" si="68"/>
        <v>128385</v>
      </c>
      <c r="I136" s="2121">
        <f t="shared" si="69"/>
        <v>78053</v>
      </c>
      <c r="J136" s="2125">
        <f t="shared" si="70"/>
        <v>0.73175144844655282</v>
      </c>
      <c r="K136" s="590">
        <f t="shared" si="71"/>
        <v>91547</v>
      </c>
      <c r="L136" s="591">
        <f t="shared" si="79"/>
        <v>94437.646682166771</v>
      </c>
      <c r="M136" s="589">
        <f t="shared" si="56"/>
        <v>78053</v>
      </c>
      <c r="N136" s="591">
        <f t="shared" si="57"/>
        <v>10073286021</v>
      </c>
      <c r="O136" s="569">
        <f t="shared" si="72"/>
        <v>9.1432467824294694E-4</v>
      </c>
      <c r="P136" s="592">
        <f t="shared" si="73"/>
        <v>0.73175144844655282</v>
      </c>
      <c r="Q136" s="571">
        <f t="shared" si="74"/>
        <v>0.75366728328952071</v>
      </c>
      <c r="R136" s="572">
        <f t="shared" si="75"/>
        <v>0.77000000000000013</v>
      </c>
      <c r="S136" s="573">
        <f t="shared" si="76"/>
        <v>0.13462631927405849</v>
      </c>
      <c r="T136" s="574">
        <v>2.2999999999999998</v>
      </c>
      <c r="U136" s="557">
        <f t="shared" si="77"/>
        <v>5.9999999999999982</v>
      </c>
      <c r="V136" s="575">
        <f t="shared" si="78"/>
        <v>2</v>
      </c>
      <c r="W136" s="594">
        <v>0</v>
      </c>
      <c r="X136" s="595">
        <f t="shared" si="46"/>
        <v>0</v>
      </c>
      <c r="Y136" s="612"/>
      <c r="Z136" s="596">
        <f t="shared" si="58"/>
        <v>0</v>
      </c>
      <c r="AA136" s="2326" t="s">
        <v>1330</v>
      </c>
      <c r="AB136" s="597">
        <f t="shared" si="53"/>
        <v>0</v>
      </c>
      <c r="AC136" s="597">
        <f t="shared" si="54"/>
        <v>0</v>
      </c>
      <c r="AD136" s="597">
        <f>IF(Y136,L136*Y136,0)</f>
        <v>0</v>
      </c>
      <c r="AE136" s="598">
        <f t="shared" si="80"/>
        <v>0</v>
      </c>
      <c r="AH136" s="600"/>
      <c r="AI136" s="613"/>
    </row>
    <row r="137" spans="1:35" ht="14.4" hidden="1" x14ac:dyDescent="0.3">
      <c r="A137" s="560" t="s">
        <v>568</v>
      </c>
      <c r="B137" s="557" t="str">
        <f t="shared" si="52"/>
        <v>2000s</v>
      </c>
      <c r="C137" s="561">
        <v>2004</v>
      </c>
      <c r="D137" s="562">
        <f t="shared" si="64"/>
        <v>1999</v>
      </c>
      <c r="E137" s="563">
        <f t="shared" si="65"/>
        <v>2003</v>
      </c>
      <c r="F137" s="586">
        <f t="shared" si="66"/>
        <v>130231</v>
      </c>
      <c r="G137" s="587">
        <f t="shared" si="67"/>
        <v>129057</v>
      </c>
      <c r="H137" s="587">
        <f t="shared" si="68"/>
        <v>128385</v>
      </c>
      <c r="I137" s="2121">
        <f t="shared" si="69"/>
        <v>78053</v>
      </c>
      <c r="J137" s="2125">
        <f t="shared" si="70"/>
        <v>0.73175144844655282</v>
      </c>
      <c r="K137" s="590">
        <f t="shared" si="71"/>
        <v>91547</v>
      </c>
      <c r="L137" s="591">
        <f t="shared" si="79"/>
        <v>94437.646682166771</v>
      </c>
      <c r="M137" s="589">
        <f t="shared" ref="M137:M168" si="81">VLOOKUP($C137,SockeyeReturnsData,12)</f>
        <v>78053</v>
      </c>
      <c r="N137" s="591">
        <f t="shared" si="57"/>
        <v>10073286021</v>
      </c>
      <c r="O137" s="569">
        <f t="shared" si="72"/>
        <v>9.1432467824294694E-4</v>
      </c>
      <c r="P137" s="592">
        <f t="shared" si="73"/>
        <v>0.73175144844655282</v>
      </c>
      <c r="Q137" s="571">
        <f t="shared" si="74"/>
        <v>0.75366728328952071</v>
      </c>
      <c r="R137" s="572">
        <f t="shared" si="75"/>
        <v>0.77000000000000013</v>
      </c>
      <c r="S137" s="573">
        <f t="shared" si="76"/>
        <v>0.13462631927405849</v>
      </c>
      <c r="T137" s="574">
        <v>3.1</v>
      </c>
      <c r="U137" s="557">
        <f t="shared" si="77"/>
        <v>5.0000000000000009</v>
      </c>
      <c r="V137" s="575">
        <f t="shared" si="78"/>
        <v>3</v>
      </c>
      <c r="W137" s="594">
        <v>1.7999999999999999E-2</v>
      </c>
      <c r="X137" s="595">
        <f t="shared" si="46"/>
        <v>2323.0259999999998</v>
      </c>
      <c r="Y137" s="612"/>
      <c r="Z137" s="596">
        <f t="shared" si="58"/>
        <v>1647.8459999999998</v>
      </c>
      <c r="AA137" s="2326" t="s">
        <v>1330</v>
      </c>
      <c r="AB137" s="597">
        <f t="shared" si="53"/>
        <v>1699.8776402790018</v>
      </c>
      <c r="AC137" s="597">
        <f t="shared" si="54"/>
        <v>181319148.37799999</v>
      </c>
      <c r="AD137" s="597">
        <f>IF(Y137,L137*Y137,0)</f>
        <v>0</v>
      </c>
      <c r="AE137" s="598">
        <f t="shared" si="80"/>
        <v>1699.8776402790018</v>
      </c>
      <c r="AH137" s="600"/>
      <c r="AI137" s="613"/>
    </row>
    <row r="138" spans="1:35" ht="14.4" hidden="1" x14ac:dyDescent="0.3">
      <c r="A138" s="560" t="s">
        <v>568</v>
      </c>
      <c r="B138" s="557" t="str">
        <f t="shared" si="52"/>
        <v>2000s</v>
      </c>
      <c r="C138" s="561">
        <v>2005</v>
      </c>
      <c r="D138" s="562">
        <f t="shared" si="64"/>
        <v>2002</v>
      </c>
      <c r="E138" s="563">
        <f t="shared" si="65"/>
        <v>2004</v>
      </c>
      <c r="F138" s="586">
        <f t="shared" si="66"/>
        <v>77399</v>
      </c>
      <c r="G138" s="587">
        <f t="shared" si="67"/>
        <v>75878</v>
      </c>
      <c r="H138" s="587">
        <f t="shared" si="68"/>
        <v>75874</v>
      </c>
      <c r="I138" s="2121">
        <f t="shared" si="69"/>
        <v>55559</v>
      </c>
      <c r="J138" s="2125">
        <f t="shared" si="70"/>
        <v>0.78003818830202454</v>
      </c>
      <c r="K138" s="590">
        <f t="shared" si="71"/>
        <v>59170</v>
      </c>
      <c r="L138" s="591">
        <f t="shared" si="79"/>
        <v>59187.73765198102</v>
      </c>
      <c r="M138" s="589">
        <f t="shared" si="81"/>
        <v>55559</v>
      </c>
      <c r="N138" s="591">
        <f t="shared" si="57"/>
        <v>4215705802</v>
      </c>
      <c r="O138" s="569">
        <f t="shared" si="72"/>
        <v>2.504019610427265E-4</v>
      </c>
      <c r="P138" s="592">
        <f t="shared" si="73"/>
        <v>0.78003818830202454</v>
      </c>
      <c r="Q138" s="571">
        <f t="shared" si="74"/>
        <v>0.78290130693413229</v>
      </c>
      <c r="R138" s="572">
        <f t="shared" si="75"/>
        <v>0.78000000000000014</v>
      </c>
      <c r="S138" s="573">
        <f t="shared" si="76"/>
        <v>2.4553865619316235E-2</v>
      </c>
      <c r="T138" s="574">
        <v>1.1000000000000001</v>
      </c>
      <c r="U138" s="557">
        <f t="shared" si="77"/>
        <v>3.0000000000000009</v>
      </c>
      <c r="V138" s="575">
        <f t="shared" si="78"/>
        <v>1</v>
      </c>
      <c r="W138" s="594">
        <v>1.4999999999999999E-2</v>
      </c>
      <c r="X138" s="595">
        <f t="shared" si="46"/>
        <v>1138.1699999999998</v>
      </c>
      <c r="Y138" s="594">
        <v>3.6496349999999997E-2</v>
      </c>
      <c r="Z138" s="596">
        <f t="shared" si="58"/>
        <v>887.55</v>
      </c>
      <c r="AA138" s="2326" t="s">
        <v>1330</v>
      </c>
      <c r="AB138" s="597">
        <f t="shared" si="53"/>
        <v>887.81606477971525</v>
      </c>
      <c r="AC138" s="597">
        <f t="shared" si="54"/>
        <v>63235587.030000001</v>
      </c>
      <c r="AD138" s="597">
        <f t="shared" si="55"/>
        <v>2160.1363890548773</v>
      </c>
      <c r="AE138" s="598">
        <f t="shared" si="80"/>
        <v>887.81606477971525</v>
      </c>
      <c r="AF138" s="572">
        <f t="shared" ref="AF138:AF148" si="82">Y138*I138</f>
        <v>2027.7007096499999</v>
      </c>
      <c r="AG138" s="599">
        <f t="shared" ref="AG138:AG148" si="83">Y138*R138</f>
        <v>2.8467153000000002E-2</v>
      </c>
      <c r="AH138" s="600">
        <f t="shared" ref="AH138:AH148" si="84">IF(X138=0,0,AG138/X138)</f>
        <v>2.5011336619309949E-5</v>
      </c>
      <c r="AI138" s="613" t="s">
        <v>601</v>
      </c>
    </row>
    <row r="139" spans="1:35" ht="14.4" hidden="1" x14ac:dyDescent="0.3">
      <c r="A139" s="560" t="s">
        <v>568</v>
      </c>
      <c r="B139" s="557" t="str">
        <f t="shared" si="52"/>
        <v>2000s</v>
      </c>
      <c r="C139" s="561">
        <v>2005</v>
      </c>
      <c r="D139" s="562">
        <f t="shared" si="64"/>
        <v>2001</v>
      </c>
      <c r="E139" s="563">
        <f t="shared" si="65"/>
        <v>2003</v>
      </c>
      <c r="F139" s="586">
        <f t="shared" si="66"/>
        <v>77399</v>
      </c>
      <c r="G139" s="587">
        <f t="shared" si="67"/>
        <v>75878</v>
      </c>
      <c r="H139" s="587">
        <f t="shared" si="68"/>
        <v>75874</v>
      </c>
      <c r="I139" s="2121">
        <f t="shared" si="69"/>
        <v>55559</v>
      </c>
      <c r="J139" s="2125">
        <f t="shared" si="70"/>
        <v>0.78003818830202454</v>
      </c>
      <c r="K139" s="590">
        <f t="shared" si="71"/>
        <v>59170</v>
      </c>
      <c r="L139" s="591">
        <f t="shared" si="79"/>
        <v>59187.73765198102</v>
      </c>
      <c r="M139" s="589">
        <f t="shared" si="81"/>
        <v>55559</v>
      </c>
      <c r="N139" s="591">
        <f t="shared" si="57"/>
        <v>4215705802</v>
      </c>
      <c r="O139" s="569">
        <f t="shared" si="72"/>
        <v>2.504019610427265E-4</v>
      </c>
      <c r="P139" s="592">
        <f t="shared" si="73"/>
        <v>0.78003818830202454</v>
      </c>
      <c r="Q139" s="571">
        <f t="shared" si="74"/>
        <v>0.78290130693413229</v>
      </c>
      <c r="R139" s="572">
        <f t="shared" si="75"/>
        <v>0.78000000000000014</v>
      </c>
      <c r="S139" s="573">
        <f t="shared" si="76"/>
        <v>2.4553865619316235E-2</v>
      </c>
      <c r="T139" s="574">
        <v>1.2</v>
      </c>
      <c r="U139" s="557">
        <f t="shared" si="77"/>
        <v>3.9999999999999996</v>
      </c>
      <c r="V139" s="575">
        <f t="shared" si="78"/>
        <v>1</v>
      </c>
      <c r="W139" s="594">
        <v>0.89100000000000001</v>
      </c>
      <c r="X139" s="595">
        <f t="shared" si="46"/>
        <v>67607.297999999995</v>
      </c>
      <c r="Y139" s="594">
        <v>0.96350360000000002</v>
      </c>
      <c r="Z139" s="596">
        <f t="shared" si="58"/>
        <v>52720.47</v>
      </c>
      <c r="AA139" s="2326" t="s">
        <v>1330</v>
      </c>
      <c r="AB139" s="597">
        <f t="shared" si="53"/>
        <v>52736.274247915091</v>
      </c>
      <c r="AC139" s="597">
        <f t="shared" si="54"/>
        <v>3756193869.5820003</v>
      </c>
      <c r="AD139" s="597">
        <f t="shared" si="55"/>
        <v>57027.598303539264</v>
      </c>
      <c r="AE139" s="598">
        <f t="shared" si="80"/>
        <v>52736.274247915091</v>
      </c>
      <c r="AF139" s="572">
        <f t="shared" si="82"/>
        <v>53531.296512400004</v>
      </c>
      <c r="AG139" s="572">
        <f t="shared" si="83"/>
        <v>0.75153280800000011</v>
      </c>
      <c r="AH139" s="600">
        <f t="shared" si="84"/>
        <v>1.1116149147093561E-5</v>
      </c>
      <c r="AI139" s="613" t="s">
        <v>602</v>
      </c>
    </row>
    <row r="140" spans="1:35" ht="14.4" hidden="1" x14ac:dyDescent="0.3">
      <c r="A140" s="560" t="s">
        <v>568</v>
      </c>
      <c r="B140" s="557" t="str">
        <f t="shared" si="52"/>
        <v>2000s</v>
      </c>
      <c r="C140" s="561">
        <v>2005</v>
      </c>
      <c r="D140" s="562">
        <f t="shared" si="64"/>
        <v>2000</v>
      </c>
      <c r="E140" s="563">
        <f t="shared" si="65"/>
        <v>2002</v>
      </c>
      <c r="F140" s="586">
        <f t="shared" si="66"/>
        <v>77399</v>
      </c>
      <c r="G140" s="587">
        <f t="shared" si="67"/>
        <v>75878</v>
      </c>
      <c r="H140" s="587">
        <f t="shared" si="68"/>
        <v>75874</v>
      </c>
      <c r="I140" s="2121">
        <f t="shared" si="69"/>
        <v>55559</v>
      </c>
      <c r="J140" s="2125">
        <f t="shared" si="70"/>
        <v>0.78003818830202454</v>
      </c>
      <c r="K140" s="590">
        <f t="shared" si="71"/>
        <v>59170</v>
      </c>
      <c r="L140" s="591">
        <f t="shared" si="79"/>
        <v>59187.73765198102</v>
      </c>
      <c r="M140" s="589">
        <f t="shared" si="81"/>
        <v>55559</v>
      </c>
      <c r="N140" s="591">
        <f t="shared" si="57"/>
        <v>4215705802</v>
      </c>
      <c r="O140" s="569">
        <f t="shared" si="72"/>
        <v>2.504019610427265E-4</v>
      </c>
      <c r="P140" s="592">
        <f t="shared" si="73"/>
        <v>0.78003818830202454</v>
      </c>
      <c r="Q140" s="571">
        <f t="shared" si="74"/>
        <v>0.78290130693413229</v>
      </c>
      <c r="R140" s="572">
        <f t="shared" si="75"/>
        <v>0.78000000000000014</v>
      </c>
      <c r="S140" s="573">
        <f t="shared" si="76"/>
        <v>2.4553865619316235E-2</v>
      </c>
      <c r="T140" s="574">
        <v>1.3</v>
      </c>
      <c r="U140" s="557">
        <f t="shared" si="77"/>
        <v>5</v>
      </c>
      <c r="V140" s="575">
        <f t="shared" si="78"/>
        <v>1</v>
      </c>
      <c r="W140" s="594">
        <v>3.9E-2</v>
      </c>
      <c r="X140" s="595">
        <f t="shared" si="46"/>
        <v>2959.2420000000002</v>
      </c>
      <c r="Y140" s="594">
        <v>2.919708E-2</v>
      </c>
      <c r="Z140" s="596">
        <f t="shared" si="58"/>
        <v>2307.63</v>
      </c>
      <c r="AA140" s="2326" t="s">
        <v>1330</v>
      </c>
      <c r="AB140" s="597">
        <f t="shared" si="53"/>
        <v>2308.3217684272599</v>
      </c>
      <c r="AC140" s="597">
        <f t="shared" si="54"/>
        <v>164412526.278</v>
      </c>
      <c r="AD140" s="597">
        <f t="shared" si="55"/>
        <v>1728.1091112439021</v>
      </c>
      <c r="AE140" s="598">
        <f t="shared" si="80"/>
        <v>2308.3217684272599</v>
      </c>
      <c r="AF140" s="572">
        <f t="shared" si="82"/>
        <v>1622.16056772</v>
      </c>
      <c r="AG140" s="572">
        <f t="shared" si="83"/>
        <v>2.2773722400000005E-2</v>
      </c>
      <c r="AH140" s="600">
        <f t="shared" si="84"/>
        <v>7.6957958828645989E-6</v>
      </c>
      <c r="AI140" s="613" t="s">
        <v>603</v>
      </c>
    </row>
    <row r="141" spans="1:35" ht="14.4" hidden="1" x14ac:dyDescent="0.3">
      <c r="A141" s="560" t="s">
        <v>568</v>
      </c>
      <c r="B141" s="557" t="str">
        <f t="shared" si="52"/>
        <v>2000s</v>
      </c>
      <c r="C141" s="561">
        <v>2005</v>
      </c>
      <c r="D141" s="562">
        <f t="shared" si="64"/>
        <v>2001</v>
      </c>
      <c r="E141" s="563">
        <f t="shared" si="65"/>
        <v>2004</v>
      </c>
      <c r="F141" s="586">
        <f t="shared" si="66"/>
        <v>77399</v>
      </c>
      <c r="G141" s="587">
        <f t="shared" si="67"/>
        <v>75878</v>
      </c>
      <c r="H141" s="587">
        <f t="shared" si="68"/>
        <v>75874</v>
      </c>
      <c r="I141" s="2121">
        <f t="shared" si="69"/>
        <v>55559</v>
      </c>
      <c r="J141" s="2125">
        <f t="shared" si="70"/>
        <v>0.78003818830202454</v>
      </c>
      <c r="K141" s="590">
        <f t="shared" si="71"/>
        <v>59170</v>
      </c>
      <c r="L141" s="591">
        <f t="shared" si="79"/>
        <v>59187.73765198102</v>
      </c>
      <c r="M141" s="589">
        <f t="shared" si="81"/>
        <v>55559</v>
      </c>
      <c r="N141" s="591">
        <f t="shared" si="57"/>
        <v>4215705802</v>
      </c>
      <c r="O141" s="569">
        <f t="shared" si="72"/>
        <v>2.504019610427265E-4</v>
      </c>
      <c r="P141" s="592">
        <f t="shared" si="73"/>
        <v>0.78003818830202454</v>
      </c>
      <c r="Q141" s="571">
        <f t="shared" si="74"/>
        <v>0.78290130693413229</v>
      </c>
      <c r="R141" s="572">
        <f t="shared" si="75"/>
        <v>0.78000000000000014</v>
      </c>
      <c r="S141" s="573">
        <f t="shared" si="76"/>
        <v>2.4553865619316235E-2</v>
      </c>
      <c r="T141" s="574">
        <v>2.1</v>
      </c>
      <c r="U141" s="557">
        <f t="shared" si="77"/>
        <v>4.0000000000000009</v>
      </c>
      <c r="V141" s="575">
        <f t="shared" si="78"/>
        <v>2</v>
      </c>
      <c r="W141" s="594">
        <v>2.3E-2</v>
      </c>
      <c r="X141" s="595">
        <f t="shared" si="46"/>
        <v>1745.194</v>
      </c>
      <c r="Y141" s="594">
        <v>0</v>
      </c>
      <c r="Z141" s="596">
        <f t="shared" si="58"/>
        <v>1360.91</v>
      </c>
      <c r="AA141" s="2326" t="s">
        <v>1330</v>
      </c>
      <c r="AB141" s="597">
        <f t="shared" si="53"/>
        <v>1361.3179659955636</v>
      </c>
      <c r="AC141" s="597">
        <f t="shared" si="54"/>
        <v>96961233.445999995</v>
      </c>
      <c r="AD141" s="597" t="str">
        <f t="shared" si="55"/>
        <v/>
      </c>
      <c r="AE141" s="598">
        <f t="shared" si="80"/>
        <v>1361.3179659955636</v>
      </c>
      <c r="AF141" s="572">
        <f t="shared" si="82"/>
        <v>0</v>
      </c>
      <c r="AG141" s="572">
        <f t="shared" si="83"/>
        <v>0</v>
      </c>
      <c r="AH141" s="600">
        <f t="shared" si="84"/>
        <v>0</v>
      </c>
      <c r="AI141" s="613" t="s">
        <v>604</v>
      </c>
    </row>
    <row r="142" spans="1:35" ht="14.4" hidden="1" x14ac:dyDescent="0.3">
      <c r="A142" s="560" t="s">
        <v>568</v>
      </c>
      <c r="B142" s="557" t="str">
        <f t="shared" si="52"/>
        <v>2000s</v>
      </c>
      <c r="C142" s="561">
        <v>2005</v>
      </c>
      <c r="D142" s="562">
        <f t="shared" si="64"/>
        <v>2000</v>
      </c>
      <c r="E142" s="563">
        <f t="shared" si="65"/>
        <v>2003</v>
      </c>
      <c r="F142" s="586">
        <f t="shared" si="66"/>
        <v>77399</v>
      </c>
      <c r="G142" s="587">
        <f t="shared" si="67"/>
        <v>75878</v>
      </c>
      <c r="H142" s="587">
        <f t="shared" si="68"/>
        <v>75874</v>
      </c>
      <c r="I142" s="2121">
        <f t="shared" si="69"/>
        <v>55559</v>
      </c>
      <c r="J142" s="2125">
        <f t="shared" si="70"/>
        <v>0.78003818830202454</v>
      </c>
      <c r="K142" s="590">
        <f t="shared" si="71"/>
        <v>59170</v>
      </c>
      <c r="L142" s="591">
        <f t="shared" si="79"/>
        <v>59187.73765198102</v>
      </c>
      <c r="M142" s="589">
        <f t="shared" si="81"/>
        <v>55559</v>
      </c>
      <c r="N142" s="591">
        <f t="shared" si="57"/>
        <v>4215705802</v>
      </c>
      <c r="O142" s="569">
        <f t="shared" si="72"/>
        <v>2.504019610427265E-4</v>
      </c>
      <c r="P142" s="592">
        <f t="shared" si="73"/>
        <v>0.78003818830202454</v>
      </c>
      <c r="Q142" s="571">
        <f t="shared" si="74"/>
        <v>0.78290130693413229</v>
      </c>
      <c r="R142" s="572">
        <f t="shared" si="75"/>
        <v>0.78000000000000014</v>
      </c>
      <c r="S142" s="573">
        <f t="shared" si="76"/>
        <v>2.4553865619316235E-2</v>
      </c>
      <c r="T142" s="574">
        <v>2.2000000000000002</v>
      </c>
      <c r="U142" s="557">
        <f t="shared" si="77"/>
        <v>5.0000000000000018</v>
      </c>
      <c r="V142" s="575">
        <f t="shared" si="78"/>
        <v>2</v>
      </c>
      <c r="W142" s="594">
        <v>1.9E-2</v>
      </c>
      <c r="X142" s="595">
        <f t="shared" si="46"/>
        <v>1441.682</v>
      </c>
      <c r="Y142" s="594">
        <v>3.6496349999999997E-2</v>
      </c>
      <c r="Z142" s="596">
        <f t="shared" si="58"/>
        <v>1124.23</v>
      </c>
      <c r="AA142" s="2326" t="s">
        <v>1330</v>
      </c>
      <c r="AB142" s="597">
        <f t="shared" si="53"/>
        <v>1124.5670153876395</v>
      </c>
      <c r="AC142" s="597">
        <f t="shared" si="54"/>
        <v>80098410.237999991</v>
      </c>
      <c r="AD142" s="597">
        <f t="shared" si="55"/>
        <v>2160.1363890548773</v>
      </c>
      <c r="AE142" s="598">
        <f t="shared" si="80"/>
        <v>1124.5670153876395</v>
      </c>
      <c r="AF142" s="572">
        <f t="shared" si="82"/>
        <v>2027.7007096499999</v>
      </c>
      <c r="AG142" s="572">
        <f t="shared" si="83"/>
        <v>2.8467153000000002E-2</v>
      </c>
      <c r="AH142" s="600">
        <f t="shared" si="84"/>
        <v>1.9745792067876275E-5</v>
      </c>
      <c r="AI142" s="613" t="s">
        <v>604</v>
      </c>
    </row>
    <row r="143" spans="1:35" ht="14.4" hidden="1" x14ac:dyDescent="0.3">
      <c r="A143" s="560" t="s">
        <v>568</v>
      </c>
      <c r="B143" s="557" t="str">
        <f t="shared" si="52"/>
        <v>2000s</v>
      </c>
      <c r="C143" s="561">
        <v>2005</v>
      </c>
      <c r="D143" s="562">
        <f t="shared" si="64"/>
        <v>1999</v>
      </c>
      <c r="E143" s="563">
        <f t="shared" si="65"/>
        <v>2002</v>
      </c>
      <c r="F143" s="586">
        <f t="shared" si="66"/>
        <v>77399</v>
      </c>
      <c r="G143" s="587">
        <f t="shared" si="67"/>
        <v>75878</v>
      </c>
      <c r="H143" s="587">
        <f t="shared" si="68"/>
        <v>75874</v>
      </c>
      <c r="I143" s="2121">
        <f t="shared" si="69"/>
        <v>55559</v>
      </c>
      <c r="J143" s="2125">
        <f t="shared" si="70"/>
        <v>0.78003818830202454</v>
      </c>
      <c r="K143" s="590">
        <f t="shared" si="71"/>
        <v>59170</v>
      </c>
      <c r="L143" s="591">
        <f t="shared" si="79"/>
        <v>59187.73765198102</v>
      </c>
      <c r="M143" s="589">
        <f t="shared" si="81"/>
        <v>55559</v>
      </c>
      <c r="N143" s="591">
        <f t="shared" si="57"/>
        <v>4215705802</v>
      </c>
      <c r="O143" s="569">
        <f t="shared" si="72"/>
        <v>2.504019610427265E-4</v>
      </c>
      <c r="P143" s="592">
        <f t="shared" si="73"/>
        <v>0.78003818830202454</v>
      </c>
      <c r="Q143" s="571">
        <f t="shared" si="74"/>
        <v>0.78290130693413229</v>
      </c>
      <c r="R143" s="572">
        <f t="shared" si="75"/>
        <v>0.78000000000000014</v>
      </c>
      <c r="S143" s="573">
        <f t="shared" si="76"/>
        <v>2.4553865619316235E-2</v>
      </c>
      <c r="T143" s="574">
        <v>2.2999999999999998</v>
      </c>
      <c r="U143" s="557">
        <f t="shared" si="77"/>
        <v>5.9999999999999982</v>
      </c>
      <c r="V143" s="575">
        <f t="shared" si="78"/>
        <v>2</v>
      </c>
      <c r="W143" s="594">
        <v>1.4E-2</v>
      </c>
      <c r="X143" s="595">
        <f t="shared" si="46"/>
        <v>1062.2919999999999</v>
      </c>
      <c r="Y143" s="612"/>
      <c r="Z143" s="596">
        <f t="shared" si="58"/>
        <v>828.38</v>
      </c>
      <c r="AA143" s="2326" t="s">
        <v>1330</v>
      </c>
      <c r="AB143" s="597">
        <f t="shared" si="53"/>
        <v>828.62832712773434</v>
      </c>
      <c r="AC143" s="597">
        <f t="shared" si="54"/>
        <v>59019881.228</v>
      </c>
      <c r="AD143" s="597">
        <f>IF(Y143,L143*Y143,0)</f>
        <v>0</v>
      </c>
      <c r="AE143" s="598">
        <f t="shared" si="80"/>
        <v>828.62832712773434</v>
      </c>
      <c r="AF143" s="572">
        <f t="shared" si="82"/>
        <v>0</v>
      </c>
      <c r="AG143" s="572">
        <f t="shared" si="83"/>
        <v>0</v>
      </c>
      <c r="AH143" s="600">
        <f t="shared" si="84"/>
        <v>0</v>
      </c>
    </row>
    <row r="144" spans="1:35" ht="14.4" hidden="1" x14ac:dyDescent="0.3">
      <c r="A144" s="560" t="s">
        <v>568</v>
      </c>
      <c r="B144" s="557" t="str">
        <f t="shared" si="52"/>
        <v>2000s</v>
      </c>
      <c r="C144" s="561">
        <v>2006</v>
      </c>
      <c r="D144" s="562">
        <f t="shared" si="64"/>
        <v>2003</v>
      </c>
      <c r="E144" s="563">
        <f t="shared" si="65"/>
        <v>2005</v>
      </c>
      <c r="F144" s="586">
        <f t="shared" si="66"/>
        <v>37067</v>
      </c>
      <c r="G144" s="587">
        <f t="shared" si="67"/>
        <v>38407</v>
      </c>
      <c r="H144" s="587">
        <f t="shared" si="68"/>
        <v>38406</v>
      </c>
      <c r="I144" s="2121">
        <f t="shared" si="69"/>
        <v>22075</v>
      </c>
      <c r="J144" s="2125">
        <f t="shared" si="70"/>
        <v>0.62834452920414441</v>
      </c>
      <c r="K144" s="590">
        <f t="shared" si="71"/>
        <v>27616</v>
      </c>
      <c r="L144" s="591">
        <f t="shared" si="79"/>
        <v>24132.828333143574</v>
      </c>
      <c r="M144" s="589">
        <f t="shared" si="81"/>
        <v>22075</v>
      </c>
      <c r="N144" s="591">
        <f t="shared" si="57"/>
        <v>847834525</v>
      </c>
      <c r="O144" s="569">
        <f t="shared" si="72"/>
        <v>1.3278829380060926E-3</v>
      </c>
      <c r="P144" s="592">
        <f t="shared" si="73"/>
        <v>0.62834452920414441</v>
      </c>
      <c r="Q144" s="571">
        <f t="shared" si="74"/>
        <v>0.72233291586018444</v>
      </c>
      <c r="R144" s="572">
        <f t="shared" si="75"/>
        <v>0.72799999999999987</v>
      </c>
      <c r="S144" s="573">
        <f t="shared" si="76"/>
        <v>4.2363172420975891E-2</v>
      </c>
      <c r="T144" s="574">
        <v>1.1000000000000001</v>
      </c>
      <c r="U144" s="557">
        <f t="shared" si="77"/>
        <v>3.0000000000000009</v>
      </c>
      <c r="V144" s="575">
        <f t="shared" si="78"/>
        <v>1</v>
      </c>
      <c r="W144" s="594">
        <v>8.0000000000000002E-3</v>
      </c>
      <c r="X144" s="595">
        <f t="shared" si="46"/>
        <v>307.25600000000003</v>
      </c>
      <c r="Y144" s="594">
        <v>2.3809523809523812E-3</v>
      </c>
      <c r="Z144" s="577">
        <f t="shared" ref="Z144:Z207" si="85">K144*Y144</f>
        <v>65.75238095238096</v>
      </c>
      <c r="AA144" s="2325" t="s">
        <v>1331</v>
      </c>
      <c r="AB144" s="597">
        <f t="shared" si="53"/>
        <v>193.0626266651486</v>
      </c>
      <c r="AC144" s="597">
        <f t="shared" si="54"/>
        <v>6782676.2000000002</v>
      </c>
      <c r="AD144" s="597">
        <f t="shared" si="55"/>
        <v>57.459115078913278</v>
      </c>
      <c r="AE144" s="609">
        <f t="shared" ref="AE144:AE207" si="86">L144*Y144</f>
        <v>57.459115078913278</v>
      </c>
      <c r="AF144" s="572">
        <f t="shared" si="82"/>
        <v>52.559523809523817</v>
      </c>
      <c r="AG144" s="599">
        <f t="shared" si="83"/>
        <v>1.7333333333333333E-3</v>
      </c>
      <c r="AH144" s="600">
        <f t="shared" si="84"/>
        <v>5.6413327431631381E-6</v>
      </c>
      <c r="AI144" s="559" t="s">
        <v>605</v>
      </c>
    </row>
    <row r="145" spans="1:35" ht="14.4" hidden="1" x14ac:dyDescent="0.3">
      <c r="A145" s="560" t="s">
        <v>568</v>
      </c>
      <c r="B145" s="557" t="str">
        <f t="shared" si="52"/>
        <v>2000s</v>
      </c>
      <c r="C145" s="561">
        <v>2006</v>
      </c>
      <c r="D145" s="562">
        <f t="shared" si="64"/>
        <v>2002</v>
      </c>
      <c r="E145" s="563">
        <f t="shared" si="65"/>
        <v>2004</v>
      </c>
      <c r="F145" s="586">
        <f t="shared" si="66"/>
        <v>37067</v>
      </c>
      <c r="G145" s="587">
        <f t="shared" si="67"/>
        <v>38407</v>
      </c>
      <c r="H145" s="587">
        <f t="shared" si="68"/>
        <v>38406</v>
      </c>
      <c r="I145" s="2121">
        <f t="shared" si="69"/>
        <v>22075</v>
      </c>
      <c r="J145" s="2125">
        <f t="shared" si="70"/>
        <v>0.62834452920414441</v>
      </c>
      <c r="K145" s="590">
        <f t="shared" si="71"/>
        <v>27616</v>
      </c>
      <c r="L145" s="591">
        <f t="shared" si="79"/>
        <v>24132.828333143574</v>
      </c>
      <c r="M145" s="589">
        <f t="shared" si="81"/>
        <v>22075</v>
      </c>
      <c r="N145" s="591">
        <f t="shared" si="57"/>
        <v>847834525</v>
      </c>
      <c r="O145" s="569">
        <f t="shared" si="72"/>
        <v>1.3278829380060926E-3</v>
      </c>
      <c r="P145" s="592">
        <f t="shared" si="73"/>
        <v>0.62834452920414441</v>
      </c>
      <c r="Q145" s="571">
        <f t="shared" si="74"/>
        <v>0.72233291586018444</v>
      </c>
      <c r="R145" s="572">
        <f t="shared" si="75"/>
        <v>0.72799999999999987</v>
      </c>
      <c r="S145" s="573">
        <f t="shared" si="76"/>
        <v>4.2363172420975891E-2</v>
      </c>
      <c r="T145" s="574">
        <v>1.2</v>
      </c>
      <c r="U145" s="557">
        <f t="shared" si="77"/>
        <v>3.9999999999999996</v>
      </c>
      <c r="V145" s="575">
        <f t="shared" si="78"/>
        <v>1</v>
      </c>
      <c r="W145" s="608">
        <v>0.72399999999999998</v>
      </c>
      <c r="X145" s="595">
        <f t="shared" si="46"/>
        <v>27806.667999999998</v>
      </c>
      <c r="Y145" s="608">
        <v>0.8833333333333333</v>
      </c>
      <c r="Z145" s="577">
        <f t="shared" si="85"/>
        <v>24394.133333333331</v>
      </c>
      <c r="AA145" s="2325" t="s">
        <v>1331</v>
      </c>
      <c r="AB145" s="597">
        <f t="shared" si="53"/>
        <v>17472.167713195948</v>
      </c>
      <c r="AC145" s="597">
        <f t="shared" si="54"/>
        <v>613832196.10000002</v>
      </c>
      <c r="AD145" s="597">
        <f t="shared" si="55"/>
        <v>21317.331694276822</v>
      </c>
      <c r="AE145" s="610">
        <f t="shared" si="86"/>
        <v>21317.331694276822</v>
      </c>
      <c r="AF145" s="572">
        <f t="shared" si="82"/>
        <v>19499.583333333332</v>
      </c>
      <c r="AG145" s="572">
        <f t="shared" si="83"/>
        <v>0.64306666666666656</v>
      </c>
      <c r="AH145" s="600">
        <f t="shared" si="84"/>
        <v>2.3126347488547229E-5</v>
      </c>
      <c r="AI145" s="559" t="s">
        <v>606</v>
      </c>
    </row>
    <row r="146" spans="1:35" ht="14.4" hidden="1" x14ac:dyDescent="0.3">
      <c r="A146" s="560" t="s">
        <v>568</v>
      </c>
      <c r="B146" s="557" t="str">
        <f t="shared" si="52"/>
        <v>2000s</v>
      </c>
      <c r="C146" s="561">
        <v>2006</v>
      </c>
      <c r="D146" s="562">
        <f t="shared" si="64"/>
        <v>2001</v>
      </c>
      <c r="E146" s="563">
        <f t="shared" si="65"/>
        <v>2003</v>
      </c>
      <c r="F146" s="586">
        <f t="shared" si="66"/>
        <v>37067</v>
      </c>
      <c r="G146" s="587">
        <f t="shared" si="67"/>
        <v>38407</v>
      </c>
      <c r="H146" s="587">
        <f t="shared" si="68"/>
        <v>38406</v>
      </c>
      <c r="I146" s="2121">
        <f t="shared" si="69"/>
        <v>22075</v>
      </c>
      <c r="J146" s="2125">
        <f t="shared" si="70"/>
        <v>0.62834452920414441</v>
      </c>
      <c r="K146" s="590">
        <f t="shared" si="71"/>
        <v>27616</v>
      </c>
      <c r="L146" s="591">
        <f t="shared" si="79"/>
        <v>24132.828333143574</v>
      </c>
      <c r="M146" s="589">
        <f t="shared" si="81"/>
        <v>22075</v>
      </c>
      <c r="N146" s="591">
        <f t="shared" si="57"/>
        <v>847834525</v>
      </c>
      <c r="O146" s="569">
        <f t="shared" si="72"/>
        <v>1.3278829380060926E-3</v>
      </c>
      <c r="P146" s="592">
        <f t="shared" si="73"/>
        <v>0.62834452920414441</v>
      </c>
      <c r="Q146" s="571">
        <f t="shared" si="74"/>
        <v>0.72233291586018444</v>
      </c>
      <c r="R146" s="572">
        <f t="shared" si="75"/>
        <v>0.72799999999999987</v>
      </c>
      <c r="S146" s="573">
        <f t="shared" si="76"/>
        <v>4.2363172420975891E-2</v>
      </c>
      <c r="T146" s="574">
        <v>1.3</v>
      </c>
      <c r="U146" s="557">
        <f t="shared" si="77"/>
        <v>5</v>
      </c>
      <c r="V146" s="575">
        <f t="shared" si="78"/>
        <v>1</v>
      </c>
      <c r="W146" s="594">
        <v>8.4000000000000005E-2</v>
      </c>
      <c r="X146" s="595">
        <f t="shared" si="46"/>
        <v>3226.1880000000001</v>
      </c>
      <c r="Y146" s="594">
        <v>0.10952380952380952</v>
      </c>
      <c r="Z146" s="577">
        <f t="shared" si="85"/>
        <v>3024.6095238095236</v>
      </c>
      <c r="AA146" s="2325" t="s">
        <v>1331</v>
      </c>
      <c r="AB146" s="597">
        <f t="shared" si="53"/>
        <v>2027.1575799840602</v>
      </c>
      <c r="AC146" s="597">
        <f t="shared" si="54"/>
        <v>71218100.100000009</v>
      </c>
      <c r="AD146" s="597">
        <f t="shared" si="55"/>
        <v>2643.1192936300104</v>
      </c>
      <c r="AE146" s="610">
        <f t="shared" si="86"/>
        <v>2643.1192936300104</v>
      </c>
      <c r="AF146" s="572">
        <f t="shared" si="82"/>
        <v>2417.7380952380954</v>
      </c>
      <c r="AG146" s="572">
        <f t="shared" si="83"/>
        <v>7.9733333333333323E-2</v>
      </c>
      <c r="AH146" s="600">
        <f t="shared" si="84"/>
        <v>2.4714410112905174E-5</v>
      </c>
      <c r="AI146" s="559" t="s">
        <v>606</v>
      </c>
    </row>
    <row r="147" spans="1:35" ht="14.4" hidden="1" x14ac:dyDescent="0.3">
      <c r="A147" s="560" t="s">
        <v>568</v>
      </c>
      <c r="B147" s="557" t="str">
        <f t="shared" si="52"/>
        <v>2000s</v>
      </c>
      <c r="C147" s="561">
        <v>2006</v>
      </c>
      <c r="D147" s="562">
        <f t="shared" si="64"/>
        <v>2002</v>
      </c>
      <c r="E147" s="563">
        <f t="shared" si="65"/>
        <v>2005</v>
      </c>
      <c r="F147" s="586">
        <f t="shared" si="66"/>
        <v>37067</v>
      </c>
      <c r="G147" s="587">
        <f t="shared" si="67"/>
        <v>38407</v>
      </c>
      <c r="H147" s="587">
        <f t="shared" si="68"/>
        <v>38406</v>
      </c>
      <c r="I147" s="2121">
        <f t="shared" si="69"/>
        <v>22075</v>
      </c>
      <c r="J147" s="2125">
        <f t="shared" si="70"/>
        <v>0.62834452920414441</v>
      </c>
      <c r="K147" s="590">
        <f t="shared" si="71"/>
        <v>27616</v>
      </c>
      <c r="L147" s="591">
        <f t="shared" si="79"/>
        <v>24132.828333143574</v>
      </c>
      <c r="M147" s="589">
        <f t="shared" si="81"/>
        <v>22075</v>
      </c>
      <c r="N147" s="591">
        <f t="shared" si="57"/>
        <v>847834525</v>
      </c>
      <c r="O147" s="569">
        <f t="shared" si="72"/>
        <v>1.3278829380060926E-3</v>
      </c>
      <c r="P147" s="592">
        <f t="shared" si="73"/>
        <v>0.62834452920414441</v>
      </c>
      <c r="Q147" s="571">
        <f t="shared" si="74"/>
        <v>0.72233291586018444</v>
      </c>
      <c r="R147" s="572">
        <f t="shared" si="75"/>
        <v>0.72799999999999987</v>
      </c>
      <c r="S147" s="573">
        <f t="shared" si="76"/>
        <v>4.2363172420975891E-2</v>
      </c>
      <c r="T147" s="574">
        <v>2.1</v>
      </c>
      <c r="U147" s="557">
        <f t="shared" si="77"/>
        <v>4.0000000000000009</v>
      </c>
      <c r="V147" s="575">
        <f t="shared" si="78"/>
        <v>2</v>
      </c>
      <c r="W147" s="594">
        <v>1.7000000000000001E-2</v>
      </c>
      <c r="X147" s="595">
        <f t="shared" si="46"/>
        <v>652.9190000000001</v>
      </c>
      <c r="Y147" s="594">
        <v>0</v>
      </c>
      <c r="Z147" s="577">
        <f t="shared" si="85"/>
        <v>0</v>
      </c>
      <c r="AA147" s="2325" t="s">
        <v>1331</v>
      </c>
      <c r="AB147" s="597">
        <f t="shared" si="53"/>
        <v>410.25808166344081</v>
      </c>
      <c r="AC147" s="597">
        <f t="shared" si="54"/>
        <v>14413186.925000001</v>
      </c>
      <c r="AD147" s="597">
        <f>IF(Y147,L147*Y147,0)</f>
        <v>0</v>
      </c>
      <c r="AE147" s="610">
        <f t="shared" si="86"/>
        <v>0</v>
      </c>
      <c r="AF147" s="572">
        <f t="shared" si="82"/>
        <v>0</v>
      </c>
      <c r="AG147" s="572">
        <f t="shared" si="83"/>
        <v>0</v>
      </c>
      <c r="AH147" s="600">
        <f t="shared" si="84"/>
        <v>0</v>
      </c>
      <c r="AI147" s="559" t="s">
        <v>606</v>
      </c>
    </row>
    <row r="148" spans="1:35" ht="14.4" hidden="1" x14ac:dyDescent="0.3">
      <c r="A148" s="560" t="s">
        <v>568</v>
      </c>
      <c r="B148" s="557" t="str">
        <f t="shared" si="52"/>
        <v>2000s</v>
      </c>
      <c r="C148" s="561">
        <v>2006</v>
      </c>
      <c r="D148" s="562">
        <f t="shared" si="64"/>
        <v>2001</v>
      </c>
      <c r="E148" s="563">
        <f t="shared" si="65"/>
        <v>2004</v>
      </c>
      <c r="F148" s="586">
        <f t="shared" si="66"/>
        <v>37067</v>
      </c>
      <c r="G148" s="587">
        <f t="shared" si="67"/>
        <v>38407</v>
      </c>
      <c r="H148" s="587">
        <f t="shared" si="68"/>
        <v>38406</v>
      </c>
      <c r="I148" s="2121">
        <f t="shared" si="69"/>
        <v>22075</v>
      </c>
      <c r="J148" s="2125">
        <f t="shared" si="70"/>
        <v>0.62834452920414441</v>
      </c>
      <c r="K148" s="590">
        <f t="shared" si="71"/>
        <v>27616</v>
      </c>
      <c r="L148" s="591">
        <f t="shared" si="79"/>
        <v>24132.828333143574</v>
      </c>
      <c r="M148" s="589">
        <f t="shared" si="81"/>
        <v>22075</v>
      </c>
      <c r="N148" s="591">
        <f t="shared" si="57"/>
        <v>847834525</v>
      </c>
      <c r="O148" s="569">
        <f t="shared" si="72"/>
        <v>1.3278829380060926E-3</v>
      </c>
      <c r="P148" s="592">
        <f t="shared" si="73"/>
        <v>0.62834452920414441</v>
      </c>
      <c r="Q148" s="571">
        <f t="shared" si="74"/>
        <v>0.72233291586018444</v>
      </c>
      <c r="R148" s="572">
        <f t="shared" si="75"/>
        <v>0.72799999999999987</v>
      </c>
      <c r="S148" s="573">
        <f t="shared" si="76"/>
        <v>4.2363172420975891E-2</v>
      </c>
      <c r="T148" s="574">
        <v>2.2000000000000002</v>
      </c>
      <c r="U148" s="557">
        <f t="shared" si="77"/>
        <v>5.0000000000000018</v>
      </c>
      <c r="V148" s="575">
        <f t="shared" si="78"/>
        <v>2</v>
      </c>
      <c r="W148" s="608">
        <v>0.14799999999999999</v>
      </c>
      <c r="X148" s="595">
        <f t="shared" si="46"/>
        <v>5684.2359999999999</v>
      </c>
      <c r="Y148" s="608">
        <v>4.7619047619047623E-3</v>
      </c>
      <c r="Z148" s="577">
        <f t="shared" si="85"/>
        <v>131.50476190476192</v>
      </c>
      <c r="AA148" s="2325" t="s">
        <v>1331</v>
      </c>
      <c r="AB148" s="597">
        <f t="shared" si="53"/>
        <v>3571.6585933052488</v>
      </c>
      <c r="AC148" s="597">
        <f t="shared" si="54"/>
        <v>125479509.69999999</v>
      </c>
      <c r="AD148" s="597">
        <f t="shared" si="55"/>
        <v>114.91823015782656</v>
      </c>
      <c r="AE148" s="610">
        <f t="shared" si="86"/>
        <v>114.91823015782656</v>
      </c>
      <c r="AF148" s="572">
        <f t="shared" si="82"/>
        <v>105.11904761904763</v>
      </c>
      <c r="AG148" s="572">
        <f t="shared" si="83"/>
        <v>3.4666666666666665E-3</v>
      </c>
      <c r="AH148" s="600">
        <f t="shared" si="84"/>
        <v>6.098738100716907E-7</v>
      </c>
      <c r="AI148" s="559" t="s">
        <v>606</v>
      </c>
    </row>
    <row r="149" spans="1:35" ht="14.4" hidden="1" x14ac:dyDescent="0.3">
      <c r="A149" s="560" t="s">
        <v>568</v>
      </c>
      <c r="B149" s="557" t="str">
        <f t="shared" si="52"/>
        <v>2000s</v>
      </c>
      <c r="C149" s="561">
        <v>2006</v>
      </c>
      <c r="D149" s="562">
        <f t="shared" si="64"/>
        <v>2000</v>
      </c>
      <c r="E149" s="563">
        <f t="shared" si="65"/>
        <v>2003</v>
      </c>
      <c r="F149" s="586">
        <f t="shared" si="66"/>
        <v>37067</v>
      </c>
      <c r="G149" s="587">
        <f t="shared" si="67"/>
        <v>38407</v>
      </c>
      <c r="H149" s="587">
        <f t="shared" si="68"/>
        <v>38406</v>
      </c>
      <c r="I149" s="2121">
        <f t="shared" si="69"/>
        <v>22075</v>
      </c>
      <c r="J149" s="2125">
        <f t="shared" si="70"/>
        <v>0.62834452920414441</v>
      </c>
      <c r="K149" s="590">
        <f t="shared" si="71"/>
        <v>27616</v>
      </c>
      <c r="L149" s="591">
        <f t="shared" si="79"/>
        <v>24132.828333143574</v>
      </c>
      <c r="M149" s="589">
        <f t="shared" si="81"/>
        <v>22075</v>
      </c>
      <c r="N149" s="591">
        <f t="shared" si="57"/>
        <v>847834525</v>
      </c>
      <c r="O149" s="569">
        <f t="shared" si="72"/>
        <v>1.3278829380060926E-3</v>
      </c>
      <c r="P149" s="592">
        <f t="shared" si="73"/>
        <v>0.62834452920414441</v>
      </c>
      <c r="Q149" s="571">
        <f t="shared" si="74"/>
        <v>0.72233291586018444</v>
      </c>
      <c r="R149" s="572">
        <f t="shared" si="75"/>
        <v>0.72799999999999987</v>
      </c>
      <c r="S149" s="573">
        <f t="shared" si="76"/>
        <v>4.2363172420975891E-2</v>
      </c>
      <c r="T149" s="574">
        <v>2.2999999999999998</v>
      </c>
      <c r="U149" s="557">
        <f t="shared" si="77"/>
        <v>5.9999999999999982</v>
      </c>
      <c r="V149" s="575">
        <f t="shared" si="78"/>
        <v>2</v>
      </c>
      <c r="W149" s="594">
        <v>2E-3</v>
      </c>
      <c r="X149" s="595">
        <f t="shared" si="46"/>
        <v>76.814000000000007</v>
      </c>
      <c r="Y149" s="612"/>
      <c r="Z149" s="577">
        <f t="shared" si="85"/>
        <v>0</v>
      </c>
      <c r="AA149" s="2325" t="s">
        <v>1331</v>
      </c>
      <c r="AB149" s="597">
        <f t="shared" si="53"/>
        <v>48.26565666628715</v>
      </c>
      <c r="AC149" s="597">
        <f t="shared" si="54"/>
        <v>1695669.05</v>
      </c>
      <c r="AD149" s="597">
        <f>IF(Y149,L149*Y149,0)</f>
        <v>0</v>
      </c>
      <c r="AE149" s="610">
        <f t="shared" si="86"/>
        <v>0</v>
      </c>
      <c r="AH149" s="600"/>
    </row>
    <row r="150" spans="1:35" ht="14.4" hidden="1" x14ac:dyDescent="0.3">
      <c r="A150" s="560" t="s">
        <v>568</v>
      </c>
      <c r="B150" s="557" t="str">
        <f t="shared" si="52"/>
        <v>2000s</v>
      </c>
      <c r="C150" s="561">
        <v>2007</v>
      </c>
      <c r="D150" s="562">
        <f t="shared" si="64"/>
        <v>2004</v>
      </c>
      <c r="E150" s="563">
        <f t="shared" si="65"/>
        <v>2006</v>
      </c>
      <c r="F150" s="586">
        <f t="shared" si="66"/>
        <v>26604</v>
      </c>
      <c r="G150" s="587">
        <f t="shared" si="67"/>
        <v>25164</v>
      </c>
      <c r="H150" s="587">
        <f t="shared" si="68"/>
        <v>25164</v>
      </c>
      <c r="I150" s="2121">
        <f t="shared" si="69"/>
        <v>22273</v>
      </c>
      <c r="J150" s="2125">
        <f t="shared" si="70"/>
        <v>0.95953691802619823</v>
      </c>
      <c r="K150" s="590">
        <f t="shared" si="71"/>
        <v>22344</v>
      </c>
      <c r="L150" s="591">
        <f t="shared" si="79"/>
        <v>24145.787005211252</v>
      </c>
      <c r="M150" s="589">
        <f t="shared" si="81"/>
        <v>22273</v>
      </c>
      <c r="N150" s="591">
        <f t="shared" si="57"/>
        <v>560477772</v>
      </c>
      <c r="O150" s="569">
        <f t="shared" si="72"/>
        <v>2.3048799872834209E-3</v>
      </c>
      <c r="P150" s="592">
        <f t="shared" si="73"/>
        <v>0.95953691802619823</v>
      </c>
      <c r="Q150" s="571">
        <f t="shared" si="74"/>
        <v>0.82300000000000006</v>
      </c>
      <c r="R150" s="572">
        <f t="shared" si="75"/>
        <v>0.85299999999999987</v>
      </c>
      <c r="S150" s="573">
        <f t="shared" si="76"/>
        <v>1.9065382369907159E-2</v>
      </c>
      <c r="T150" s="602">
        <v>1.1000000000000001</v>
      </c>
      <c r="U150" s="557">
        <f t="shared" si="77"/>
        <v>3.0000000000000009</v>
      </c>
      <c r="V150" s="575">
        <f t="shared" si="78"/>
        <v>1</v>
      </c>
      <c r="W150" s="608">
        <v>0.42399999999999999</v>
      </c>
      <c r="X150" s="595">
        <f t="shared" si="46"/>
        <v>10669.536</v>
      </c>
      <c r="Y150" s="605">
        <v>0.2831168831168831</v>
      </c>
      <c r="Z150" s="577">
        <f t="shared" si="85"/>
        <v>6325.9636363636364</v>
      </c>
      <c r="AA150" s="2325" t="s">
        <v>1331</v>
      </c>
      <c r="AB150" s="597">
        <f t="shared" si="53"/>
        <v>10237.81369020957</v>
      </c>
      <c r="AC150" s="597">
        <f t="shared" si="54"/>
        <v>237642575.32799998</v>
      </c>
      <c r="AD150" s="597">
        <f t="shared" si="55"/>
        <v>6836.0799573195491</v>
      </c>
      <c r="AE150" s="610">
        <f t="shared" si="86"/>
        <v>6836.0799573195491</v>
      </c>
      <c r="AF150" s="572">
        <f>Y150*I150</f>
        <v>6305.8623376623373</v>
      </c>
      <c r="AG150" s="599">
        <f>Y150*R150</f>
        <v>0.24149870129870124</v>
      </c>
      <c r="AH150" s="600">
        <f>IF(X150=0,0,AG150/X150)</f>
        <v>2.2634414589228739E-5</v>
      </c>
      <c r="AI150" s="559" t="s">
        <v>605</v>
      </c>
    </row>
    <row r="151" spans="1:35" ht="14.4" hidden="1" x14ac:dyDescent="0.3">
      <c r="A151" s="560" t="s">
        <v>568</v>
      </c>
      <c r="B151" s="557" t="str">
        <f t="shared" si="52"/>
        <v>2000s</v>
      </c>
      <c r="C151" s="561">
        <v>2007</v>
      </c>
      <c r="D151" s="562">
        <f t="shared" si="64"/>
        <v>2003</v>
      </c>
      <c r="E151" s="563">
        <f t="shared" si="65"/>
        <v>2005</v>
      </c>
      <c r="F151" s="586">
        <f t="shared" si="66"/>
        <v>26604</v>
      </c>
      <c r="G151" s="587">
        <f t="shared" si="67"/>
        <v>25164</v>
      </c>
      <c r="H151" s="587">
        <f t="shared" si="68"/>
        <v>25164</v>
      </c>
      <c r="I151" s="588">
        <f t="shared" si="69"/>
        <v>22273</v>
      </c>
      <c r="J151" s="589">
        <f t="shared" si="70"/>
        <v>0.95953691802619823</v>
      </c>
      <c r="K151" s="590">
        <f t="shared" si="71"/>
        <v>22344</v>
      </c>
      <c r="L151" s="591">
        <f t="shared" si="79"/>
        <v>24145.787005211252</v>
      </c>
      <c r="M151" s="589">
        <f t="shared" si="81"/>
        <v>22273</v>
      </c>
      <c r="N151" s="591">
        <f t="shared" si="57"/>
        <v>560477772</v>
      </c>
      <c r="O151" s="569">
        <f t="shared" si="72"/>
        <v>2.3048799872834209E-3</v>
      </c>
      <c r="P151" s="592">
        <f t="shared" si="73"/>
        <v>0.95953691802619823</v>
      </c>
      <c r="Q151" s="571">
        <f t="shared" si="74"/>
        <v>0.82300000000000006</v>
      </c>
      <c r="R151" s="572">
        <f t="shared" si="75"/>
        <v>0.85299999999999987</v>
      </c>
      <c r="S151" s="573">
        <f t="shared" si="76"/>
        <v>1.9065382369907159E-2</v>
      </c>
      <c r="T151" s="574">
        <v>1.2</v>
      </c>
      <c r="U151" s="557">
        <f t="shared" si="77"/>
        <v>3.9999999999999996</v>
      </c>
      <c r="V151" s="575">
        <f t="shared" si="78"/>
        <v>1</v>
      </c>
      <c r="W151" s="608">
        <v>0.38200000000000001</v>
      </c>
      <c r="X151" s="595">
        <f t="shared" si="46"/>
        <v>9612.648000000001</v>
      </c>
      <c r="Y151" s="605">
        <v>0.51168831168831164</v>
      </c>
      <c r="Z151" s="577">
        <f t="shared" si="85"/>
        <v>11433.163636363635</v>
      </c>
      <c r="AA151" s="2325" t="s">
        <v>1331</v>
      </c>
      <c r="AB151" s="597">
        <f t="shared" si="53"/>
        <v>9223.6906359906989</v>
      </c>
      <c r="AC151" s="597">
        <f t="shared" si="54"/>
        <v>214102508.90400001</v>
      </c>
      <c r="AD151" s="597">
        <f t="shared" si="55"/>
        <v>12355.11698708212</v>
      </c>
      <c r="AE151" s="610">
        <f t="shared" si="86"/>
        <v>12355.11698708212</v>
      </c>
      <c r="AF151" s="572">
        <f>Y151*I151</f>
        <v>11396.833766233765</v>
      </c>
      <c r="AG151" s="572">
        <f>Y151*R151</f>
        <v>0.43647012987012979</v>
      </c>
      <c r="AH151" s="600">
        <f>IF(X151=0,0,AG151/X151)</f>
        <v>4.5405816365077525E-5</v>
      </c>
      <c r="AI151" s="559" t="s">
        <v>606</v>
      </c>
    </row>
    <row r="152" spans="1:35" ht="14.4" hidden="1" x14ac:dyDescent="0.3">
      <c r="A152" s="560" t="s">
        <v>568</v>
      </c>
      <c r="B152" s="557" t="str">
        <f t="shared" si="52"/>
        <v>2000s</v>
      </c>
      <c r="C152" s="561">
        <v>2007</v>
      </c>
      <c r="D152" s="562">
        <f t="shared" si="64"/>
        <v>2002</v>
      </c>
      <c r="E152" s="563">
        <f t="shared" si="65"/>
        <v>2004</v>
      </c>
      <c r="F152" s="586">
        <f t="shared" si="66"/>
        <v>26604</v>
      </c>
      <c r="G152" s="587">
        <f t="shared" si="67"/>
        <v>25164</v>
      </c>
      <c r="H152" s="587">
        <f t="shared" si="68"/>
        <v>25164</v>
      </c>
      <c r="I152" s="588">
        <f t="shared" si="69"/>
        <v>22273</v>
      </c>
      <c r="J152" s="589">
        <f t="shared" si="70"/>
        <v>0.95953691802619823</v>
      </c>
      <c r="K152" s="590">
        <f t="shared" si="71"/>
        <v>22344</v>
      </c>
      <c r="L152" s="591">
        <f t="shared" si="79"/>
        <v>24145.787005211252</v>
      </c>
      <c r="M152" s="589">
        <f t="shared" si="81"/>
        <v>22273</v>
      </c>
      <c r="N152" s="591">
        <f t="shared" si="57"/>
        <v>560477772</v>
      </c>
      <c r="O152" s="569">
        <f t="shared" si="72"/>
        <v>2.3048799872834209E-3</v>
      </c>
      <c r="P152" s="592">
        <f t="shared" si="73"/>
        <v>0.95953691802619823</v>
      </c>
      <c r="Q152" s="571">
        <f t="shared" si="74"/>
        <v>0.82300000000000006</v>
      </c>
      <c r="R152" s="572">
        <f t="shared" si="75"/>
        <v>0.85299999999999987</v>
      </c>
      <c r="S152" s="573">
        <f t="shared" si="76"/>
        <v>1.9065382369907159E-2</v>
      </c>
      <c r="T152" s="574">
        <v>1.3</v>
      </c>
      <c r="U152" s="557">
        <f t="shared" si="77"/>
        <v>5</v>
      </c>
      <c r="V152" s="575">
        <f t="shared" si="78"/>
        <v>1</v>
      </c>
      <c r="W152" s="608">
        <v>3.2000000000000001E-2</v>
      </c>
      <c r="X152" s="595">
        <f t="shared" si="46"/>
        <v>805.24800000000005</v>
      </c>
      <c r="Y152" s="605">
        <v>0.12987012987012986</v>
      </c>
      <c r="Z152" s="577">
        <f t="shared" si="85"/>
        <v>2901.8181818181815</v>
      </c>
      <c r="AA152" s="2325" t="s">
        <v>1331</v>
      </c>
      <c r="AB152" s="597">
        <f t="shared" si="53"/>
        <v>772.66518416676013</v>
      </c>
      <c r="AC152" s="597">
        <f t="shared" si="54"/>
        <v>17935288.704</v>
      </c>
      <c r="AD152" s="597">
        <f t="shared" si="55"/>
        <v>3135.8164941832792</v>
      </c>
      <c r="AE152" s="610">
        <f t="shared" si="86"/>
        <v>3135.8164941832792</v>
      </c>
      <c r="AF152" s="572">
        <f>Y152*I152</f>
        <v>2892.5974025974024</v>
      </c>
      <c r="AG152" s="572">
        <f>Y152*R152</f>
        <v>0.11077922077922076</v>
      </c>
      <c r="AH152" s="600">
        <f>IF(X152=0,0,AG152/X152)</f>
        <v>1.3757155656297283E-4</v>
      </c>
      <c r="AI152" s="559" t="s">
        <v>606</v>
      </c>
    </row>
    <row r="153" spans="1:35" ht="14.4" hidden="1" x14ac:dyDescent="0.3">
      <c r="A153" s="560" t="s">
        <v>568</v>
      </c>
      <c r="B153" s="557" t="str">
        <f t="shared" si="52"/>
        <v>2000s</v>
      </c>
      <c r="C153" s="561">
        <v>2007</v>
      </c>
      <c r="D153" s="562">
        <f t="shared" si="64"/>
        <v>2003</v>
      </c>
      <c r="E153" s="563">
        <f t="shared" si="65"/>
        <v>2006</v>
      </c>
      <c r="F153" s="586">
        <f t="shared" si="66"/>
        <v>26604</v>
      </c>
      <c r="G153" s="587">
        <f t="shared" si="67"/>
        <v>25164</v>
      </c>
      <c r="H153" s="587">
        <f t="shared" si="68"/>
        <v>25164</v>
      </c>
      <c r="I153" s="588">
        <f t="shared" si="69"/>
        <v>22273</v>
      </c>
      <c r="J153" s="589">
        <f t="shared" si="70"/>
        <v>0.95953691802619823</v>
      </c>
      <c r="K153" s="590">
        <f t="shared" si="71"/>
        <v>22344</v>
      </c>
      <c r="L153" s="591">
        <f t="shared" si="79"/>
        <v>24145.787005211252</v>
      </c>
      <c r="M153" s="589">
        <f t="shared" si="81"/>
        <v>22273</v>
      </c>
      <c r="N153" s="591">
        <f t="shared" si="57"/>
        <v>560477772</v>
      </c>
      <c r="O153" s="569">
        <f t="shared" si="72"/>
        <v>2.3048799872834209E-3</v>
      </c>
      <c r="P153" s="592">
        <f t="shared" si="73"/>
        <v>0.95953691802619823</v>
      </c>
      <c r="Q153" s="571">
        <f t="shared" si="74"/>
        <v>0.82300000000000006</v>
      </c>
      <c r="R153" s="572">
        <f t="shared" si="75"/>
        <v>0.85299999999999987</v>
      </c>
      <c r="S153" s="573">
        <f t="shared" si="76"/>
        <v>1.9065382369907159E-2</v>
      </c>
      <c r="T153" s="574">
        <v>2.1</v>
      </c>
      <c r="U153" s="557">
        <f t="shared" si="77"/>
        <v>4.0000000000000009</v>
      </c>
      <c r="V153" s="575">
        <f t="shared" si="78"/>
        <v>2</v>
      </c>
      <c r="W153" s="594">
        <v>5.8000000000000003E-2</v>
      </c>
      <c r="X153" s="595">
        <f t="shared" si="46"/>
        <v>1459.5120000000002</v>
      </c>
      <c r="Y153" s="594">
        <v>6.4935064935064901E-2</v>
      </c>
      <c r="Z153" s="577">
        <f t="shared" si="85"/>
        <v>1450.9090909090901</v>
      </c>
      <c r="AA153" s="2325" t="s">
        <v>1331</v>
      </c>
      <c r="AB153" s="597">
        <f t="shared" si="53"/>
        <v>1400.4556463022527</v>
      </c>
      <c r="AC153" s="597">
        <f t="shared" si="54"/>
        <v>32507710.776000001</v>
      </c>
      <c r="AD153" s="597">
        <f t="shared" si="55"/>
        <v>1567.9082470916389</v>
      </c>
      <c r="AE153" s="610">
        <f t="shared" si="86"/>
        <v>1567.9082470916389</v>
      </c>
      <c r="AF153" s="572">
        <f>Y153*I153</f>
        <v>1446.2987012987005</v>
      </c>
      <c r="AG153" s="572">
        <f>Y153*R153</f>
        <v>5.538961038961035E-2</v>
      </c>
      <c r="AH153" s="600">
        <f>IF(X153=0,0,AG153/X153)</f>
        <v>3.7950774224268349E-5</v>
      </c>
      <c r="AI153" s="559" t="s">
        <v>606</v>
      </c>
    </row>
    <row r="154" spans="1:35" ht="14.4" hidden="1" x14ac:dyDescent="0.3">
      <c r="A154" s="560" t="s">
        <v>568</v>
      </c>
      <c r="B154" s="557" t="str">
        <f t="shared" si="52"/>
        <v>2000s</v>
      </c>
      <c r="C154" s="561">
        <v>2007</v>
      </c>
      <c r="D154" s="562">
        <f t="shared" si="64"/>
        <v>2002</v>
      </c>
      <c r="E154" s="563">
        <f t="shared" si="65"/>
        <v>2005</v>
      </c>
      <c r="F154" s="586">
        <f t="shared" si="66"/>
        <v>26604</v>
      </c>
      <c r="G154" s="587">
        <f t="shared" si="67"/>
        <v>25164</v>
      </c>
      <c r="H154" s="587">
        <f t="shared" si="68"/>
        <v>25164</v>
      </c>
      <c r="I154" s="588">
        <f t="shared" si="69"/>
        <v>22273</v>
      </c>
      <c r="J154" s="589">
        <f t="shared" si="70"/>
        <v>0.95953691802619823</v>
      </c>
      <c r="K154" s="590">
        <f t="shared" si="71"/>
        <v>22344</v>
      </c>
      <c r="L154" s="591">
        <f t="shared" si="79"/>
        <v>24145.787005211252</v>
      </c>
      <c r="M154" s="589">
        <f t="shared" si="81"/>
        <v>22273</v>
      </c>
      <c r="N154" s="591">
        <f t="shared" si="57"/>
        <v>560477772</v>
      </c>
      <c r="O154" s="569">
        <f t="shared" si="72"/>
        <v>2.3048799872834209E-3</v>
      </c>
      <c r="P154" s="592">
        <f t="shared" si="73"/>
        <v>0.95953691802619823</v>
      </c>
      <c r="Q154" s="571">
        <f t="shared" si="74"/>
        <v>0.82300000000000006</v>
      </c>
      <c r="R154" s="572">
        <f t="shared" si="75"/>
        <v>0.85299999999999987</v>
      </c>
      <c r="S154" s="573">
        <f t="shared" si="76"/>
        <v>1.9065382369907159E-2</v>
      </c>
      <c r="T154" s="574">
        <v>2.2000000000000002</v>
      </c>
      <c r="U154" s="557">
        <f t="shared" si="77"/>
        <v>5.0000000000000018</v>
      </c>
      <c r="V154" s="575">
        <f t="shared" si="78"/>
        <v>2</v>
      </c>
      <c r="W154" s="608">
        <v>9.2999999999999999E-2</v>
      </c>
      <c r="X154" s="595">
        <f t="shared" si="46"/>
        <v>2340.252</v>
      </c>
      <c r="Y154" s="605">
        <v>1.038961038961039E-2</v>
      </c>
      <c r="Z154" s="577">
        <f t="shared" si="85"/>
        <v>232.14545454545456</v>
      </c>
      <c r="AA154" s="2325" t="s">
        <v>1331</v>
      </c>
      <c r="AB154" s="597">
        <f t="shared" si="53"/>
        <v>2245.5581914846466</v>
      </c>
      <c r="AC154" s="597">
        <f t="shared" si="54"/>
        <v>52124432.795999996</v>
      </c>
      <c r="AD154" s="597">
        <f t="shared" si="55"/>
        <v>250.86531953466235</v>
      </c>
      <c r="AE154" s="610">
        <f t="shared" si="86"/>
        <v>250.86531953466235</v>
      </c>
      <c r="AF154" s="572">
        <f>Y154*I154</f>
        <v>231.4077922077922</v>
      </c>
      <c r="AG154" s="572">
        <f>Y154*R154</f>
        <v>8.8623376623376618E-3</v>
      </c>
      <c r="AH154" s="600">
        <f>IF(X154=0,0,AG154/X154)</f>
        <v>3.7869159656044142E-6</v>
      </c>
      <c r="AI154" s="559" t="s">
        <v>606</v>
      </c>
    </row>
    <row r="155" spans="1:35" ht="14.4" hidden="1" x14ac:dyDescent="0.3">
      <c r="A155" s="560" t="s">
        <v>568</v>
      </c>
      <c r="B155" s="557" t="str">
        <f t="shared" si="52"/>
        <v>2000s</v>
      </c>
      <c r="C155" s="561">
        <v>2007</v>
      </c>
      <c r="D155" s="562">
        <f t="shared" si="64"/>
        <v>2001</v>
      </c>
      <c r="E155" s="563">
        <f t="shared" si="65"/>
        <v>2004</v>
      </c>
      <c r="F155" s="586">
        <f t="shared" si="66"/>
        <v>26604</v>
      </c>
      <c r="G155" s="587">
        <f t="shared" si="67"/>
        <v>25164</v>
      </c>
      <c r="H155" s="587">
        <f t="shared" si="68"/>
        <v>25164</v>
      </c>
      <c r="I155" s="588">
        <f t="shared" si="69"/>
        <v>22273</v>
      </c>
      <c r="J155" s="589">
        <f t="shared" si="70"/>
        <v>0.95953691802619823</v>
      </c>
      <c r="K155" s="590">
        <f t="shared" si="71"/>
        <v>22344</v>
      </c>
      <c r="L155" s="591">
        <f t="shared" si="79"/>
        <v>24145.787005211252</v>
      </c>
      <c r="M155" s="589">
        <f t="shared" si="81"/>
        <v>22273</v>
      </c>
      <c r="N155" s="591">
        <f t="shared" si="57"/>
        <v>560477772</v>
      </c>
      <c r="O155" s="569">
        <f t="shared" si="72"/>
        <v>2.3048799872834209E-3</v>
      </c>
      <c r="P155" s="592">
        <f t="shared" si="73"/>
        <v>0.95953691802619823</v>
      </c>
      <c r="Q155" s="571">
        <f t="shared" si="74"/>
        <v>0.82300000000000006</v>
      </c>
      <c r="R155" s="572">
        <f t="shared" si="75"/>
        <v>0.85299999999999987</v>
      </c>
      <c r="S155" s="573">
        <f t="shared" si="76"/>
        <v>1.9065382369907159E-2</v>
      </c>
      <c r="T155" s="574">
        <v>2.2999999999999998</v>
      </c>
      <c r="U155" s="557">
        <f t="shared" si="77"/>
        <v>5.9999999999999982</v>
      </c>
      <c r="V155" s="575">
        <f t="shared" si="78"/>
        <v>2</v>
      </c>
      <c r="W155" s="594">
        <v>1.0999999999999999E-2</v>
      </c>
      <c r="X155" s="595">
        <f t="shared" ref="X155:X218" si="87">W155*G155</f>
        <v>276.80399999999997</v>
      </c>
      <c r="Y155" s="612"/>
      <c r="Z155" s="577">
        <f t="shared" si="85"/>
        <v>0</v>
      </c>
      <c r="AA155" s="2325" t="s">
        <v>1331</v>
      </c>
      <c r="AB155" s="597">
        <f t="shared" si="53"/>
        <v>265.60365705732374</v>
      </c>
      <c r="AC155" s="597">
        <f t="shared" si="54"/>
        <v>6165255.4919999996</v>
      </c>
      <c r="AD155" s="597">
        <f>IF(Y155,L155*Y155,0)</f>
        <v>0</v>
      </c>
      <c r="AE155" s="610">
        <f t="shared" si="86"/>
        <v>0</v>
      </c>
      <c r="AH155" s="600"/>
    </row>
    <row r="156" spans="1:35" ht="14.4" hidden="1" x14ac:dyDescent="0.3">
      <c r="A156" s="560" t="s">
        <v>568</v>
      </c>
      <c r="B156" s="557" t="str">
        <f t="shared" ref="B156:B219" si="88">LEFT(E156,3)*10 &amp; "s"</f>
        <v>2000s</v>
      </c>
      <c r="C156" s="561">
        <v>2008</v>
      </c>
      <c r="D156" s="562">
        <f t="shared" si="64"/>
        <v>2005</v>
      </c>
      <c r="E156" s="563">
        <f t="shared" si="65"/>
        <v>2007</v>
      </c>
      <c r="F156" s="586">
        <f t="shared" si="66"/>
        <v>214465</v>
      </c>
      <c r="G156" s="587">
        <f t="shared" si="67"/>
        <v>225383</v>
      </c>
      <c r="H156" s="587">
        <f t="shared" si="68"/>
        <v>224525</v>
      </c>
      <c r="I156" s="588">
        <f t="shared" si="69"/>
        <v>165334</v>
      </c>
      <c r="J156" s="589">
        <f t="shared" si="70"/>
        <v>0.85338522445145271</v>
      </c>
      <c r="K156" s="590">
        <f t="shared" si="71"/>
        <v>190819</v>
      </c>
      <c r="L156" s="591">
        <f t="shared" si="79"/>
        <v>192338.52204254176</v>
      </c>
      <c r="M156" s="589">
        <f t="shared" si="81"/>
        <v>165334</v>
      </c>
      <c r="N156" s="591">
        <f t="shared" si="57"/>
        <v>37263472922</v>
      </c>
      <c r="O156" s="569">
        <f t="shared" si="72"/>
        <v>3.9488337629723629E-3</v>
      </c>
      <c r="P156" s="592">
        <f t="shared" si="73"/>
        <v>0.85338522445145271</v>
      </c>
      <c r="Q156" s="571">
        <f t="shared" si="74"/>
        <v>0.87662988966900701</v>
      </c>
      <c r="R156" s="572">
        <f t="shared" si="75"/>
        <v>0.83299999999999996</v>
      </c>
      <c r="S156" s="573">
        <f t="shared" si="76"/>
        <v>9.2991871729206102E-2</v>
      </c>
      <c r="T156" s="574">
        <v>1.1000000000000001</v>
      </c>
      <c r="U156" s="557">
        <f t="shared" si="77"/>
        <v>3.0000000000000009</v>
      </c>
      <c r="V156" s="575">
        <f t="shared" si="78"/>
        <v>1</v>
      </c>
      <c r="W156" s="594">
        <v>7.3999999999999996E-2</v>
      </c>
      <c r="X156" s="595">
        <f t="shared" si="87"/>
        <v>16678.342000000001</v>
      </c>
      <c r="Y156" s="594">
        <v>4.6382189239332093E-2</v>
      </c>
      <c r="Z156" s="577">
        <f t="shared" si="85"/>
        <v>8850.6029684601108</v>
      </c>
      <c r="AA156" s="2325" t="s">
        <v>1331</v>
      </c>
      <c r="AB156" s="597">
        <f t="shared" ref="AB156:AB219" si="89">L156*W156</f>
        <v>14233.050631148089</v>
      </c>
      <c r="AC156" s="597">
        <f t="shared" ref="AC156:AC219" si="90">IF(N156,N156*W156,"")</f>
        <v>2757496996.2279997</v>
      </c>
      <c r="AD156" s="597">
        <f t="shared" ref="AD156:AD219" si="91">IF(Y156,L156*Y156,"")</f>
        <v>8921.0817273906196</v>
      </c>
      <c r="AE156" s="610">
        <f t="shared" si="86"/>
        <v>8921.0817273906196</v>
      </c>
      <c r="AF156" s="572">
        <f t="shared" ref="AF156:AF219" si="92">Y156*I156</f>
        <v>7668.5528756957319</v>
      </c>
      <c r="AG156" s="599">
        <f t="shared" ref="AG156:AG219" si="93">Y156*R156</f>
        <v>3.8636363636363628E-2</v>
      </c>
      <c r="AH156" s="600">
        <f t="shared" ref="AH156:AH219" si="94">IF(X156=0,0,AG156/X156)</f>
        <v>2.3165590222555471E-6</v>
      </c>
      <c r="AI156" s="559" t="s">
        <v>606</v>
      </c>
    </row>
    <row r="157" spans="1:35" ht="14.4" hidden="1" x14ac:dyDescent="0.3">
      <c r="A157" s="560" t="s">
        <v>568</v>
      </c>
      <c r="B157" s="557" t="str">
        <f t="shared" si="88"/>
        <v>2000s</v>
      </c>
      <c r="C157" s="561">
        <v>2008</v>
      </c>
      <c r="D157" s="562">
        <f t="shared" si="64"/>
        <v>2004</v>
      </c>
      <c r="E157" s="563">
        <f t="shared" si="65"/>
        <v>2006</v>
      </c>
      <c r="F157" s="586">
        <f t="shared" si="66"/>
        <v>214465</v>
      </c>
      <c r="G157" s="587">
        <f t="shared" si="67"/>
        <v>225383</v>
      </c>
      <c r="H157" s="587">
        <f t="shared" si="68"/>
        <v>224525</v>
      </c>
      <c r="I157" s="2121">
        <f t="shared" si="69"/>
        <v>165334</v>
      </c>
      <c r="J157" s="2125">
        <f t="shared" si="70"/>
        <v>0.85338522445145271</v>
      </c>
      <c r="K157" s="590">
        <f t="shared" si="71"/>
        <v>190819</v>
      </c>
      <c r="L157" s="591">
        <f t="shared" si="79"/>
        <v>192338.52204254176</v>
      </c>
      <c r="M157" s="589">
        <f t="shared" si="81"/>
        <v>165334</v>
      </c>
      <c r="N157" s="591">
        <f t="shared" si="57"/>
        <v>37263472922</v>
      </c>
      <c r="O157" s="569">
        <f t="shared" si="72"/>
        <v>3.9488337629723629E-3</v>
      </c>
      <c r="P157" s="592">
        <f t="shared" si="73"/>
        <v>0.85338522445145271</v>
      </c>
      <c r="Q157" s="571">
        <f t="shared" si="74"/>
        <v>0.87662988966900701</v>
      </c>
      <c r="R157" s="572">
        <f t="shared" si="75"/>
        <v>0.83299999999999996</v>
      </c>
      <c r="S157" s="573">
        <f t="shared" si="76"/>
        <v>9.2991871729206102E-2</v>
      </c>
      <c r="T157" s="574">
        <v>1.2</v>
      </c>
      <c r="U157" s="557">
        <f t="shared" si="77"/>
        <v>3.9999999999999996</v>
      </c>
      <c r="V157" s="575">
        <f t="shared" si="78"/>
        <v>1</v>
      </c>
      <c r="W157" s="608">
        <v>0.86399999999999999</v>
      </c>
      <c r="X157" s="595">
        <f t="shared" si="87"/>
        <v>194730.91200000001</v>
      </c>
      <c r="Y157" s="608">
        <v>0.94063079777365488</v>
      </c>
      <c r="Z157" s="577">
        <f t="shared" si="85"/>
        <v>179490.22820037106</v>
      </c>
      <c r="AA157" s="2325" t="s">
        <v>1331</v>
      </c>
      <c r="AB157" s="597">
        <f t="shared" si="89"/>
        <v>166180.48304475608</v>
      </c>
      <c r="AC157" s="597">
        <f t="shared" si="90"/>
        <v>32195640604.607998</v>
      </c>
      <c r="AD157" s="597">
        <f t="shared" si="91"/>
        <v>180919.53743148176</v>
      </c>
      <c r="AE157" s="610">
        <f t="shared" si="86"/>
        <v>180919.53743148176</v>
      </c>
      <c r="AF157" s="572">
        <f t="shared" si="92"/>
        <v>155518.25231910945</v>
      </c>
      <c r="AG157" s="572">
        <f t="shared" si="93"/>
        <v>0.78354545454545443</v>
      </c>
      <c r="AH157" s="600">
        <f t="shared" si="94"/>
        <v>4.0237343239344266E-6</v>
      </c>
      <c r="AI157" s="559" t="s">
        <v>606</v>
      </c>
    </row>
    <row r="158" spans="1:35" ht="14.4" hidden="1" x14ac:dyDescent="0.3">
      <c r="A158" s="560" t="s">
        <v>568</v>
      </c>
      <c r="B158" s="557" t="str">
        <f t="shared" si="88"/>
        <v>2000s</v>
      </c>
      <c r="C158" s="561">
        <v>2008</v>
      </c>
      <c r="D158" s="562">
        <f t="shared" si="64"/>
        <v>2003</v>
      </c>
      <c r="E158" s="563">
        <f t="shared" si="65"/>
        <v>2005</v>
      </c>
      <c r="F158" s="586">
        <f t="shared" si="66"/>
        <v>214465</v>
      </c>
      <c r="G158" s="587">
        <f t="shared" si="67"/>
        <v>225383</v>
      </c>
      <c r="H158" s="587">
        <f t="shared" si="68"/>
        <v>224525</v>
      </c>
      <c r="I158" s="588">
        <f t="shared" si="69"/>
        <v>165334</v>
      </c>
      <c r="J158" s="589">
        <f t="shared" si="70"/>
        <v>0.85338522445145271</v>
      </c>
      <c r="K158" s="590">
        <f t="shared" si="71"/>
        <v>190819</v>
      </c>
      <c r="L158" s="591">
        <f t="shared" si="79"/>
        <v>192338.52204254176</v>
      </c>
      <c r="M158" s="589">
        <f t="shared" si="81"/>
        <v>165334</v>
      </c>
      <c r="N158" s="591">
        <f t="shared" si="57"/>
        <v>37263472922</v>
      </c>
      <c r="O158" s="569">
        <f t="shared" si="72"/>
        <v>3.9488337629723629E-3</v>
      </c>
      <c r="P158" s="592">
        <f t="shared" si="73"/>
        <v>0.85338522445145271</v>
      </c>
      <c r="Q158" s="571">
        <f t="shared" si="74"/>
        <v>0.87662988966900701</v>
      </c>
      <c r="R158" s="572">
        <f t="shared" si="75"/>
        <v>0.83299999999999996</v>
      </c>
      <c r="S158" s="573">
        <f t="shared" si="76"/>
        <v>9.2991871729206102E-2</v>
      </c>
      <c r="T158" s="574">
        <v>1.3</v>
      </c>
      <c r="U158" s="557">
        <f t="shared" si="77"/>
        <v>5</v>
      </c>
      <c r="V158" s="575">
        <f t="shared" si="78"/>
        <v>1</v>
      </c>
      <c r="W158" s="594">
        <v>7.0000000000000001E-3</v>
      </c>
      <c r="X158" s="595">
        <f t="shared" si="87"/>
        <v>1577.681</v>
      </c>
      <c r="Y158" s="594">
        <v>9.2764378478664197E-3</v>
      </c>
      <c r="Z158" s="577">
        <f t="shared" si="85"/>
        <v>1770.1205936920223</v>
      </c>
      <c r="AA158" s="2325" t="s">
        <v>1331</v>
      </c>
      <c r="AB158" s="597">
        <f t="shared" si="89"/>
        <v>1346.3696542977923</v>
      </c>
      <c r="AC158" s="597">
        <f t="shared" si="90"/>
        <v>260844310.454</v>
      </c>
      <c r="AD158" s="597">
        <f t="shared" si="91"/>
        <v>1784.2163454781241</v>
      </c>
      <c r="AE158" s="610">
        <f t="shared" si="86"/>
        <v>1784.2163454781241</v>
      </c>
      <c r="AF158" s="572">
        <f t="shared" si="92"/>
        <v>1533.7105751391466</v>
      </c>
      <c r="AG158" s="572">
        <f t="shared" si="93"/>
        <v>7.7272727272727276E-3</v>
      </c>
      <c r="AH158" s="600">
        <f t="shared" si="94"/>
        <v>4.8978676470545864E-6</v>
      </c>
      <c r="AI158" s="559" t="s">
        <v>606</v>
      </c>
    </row>
    <row r="159" spans="1:35" ht="14.4" hidden="1" x14ac:dyDescent="0.3">
      <c r="A159" s="560" t="s">
        <v>568</v>
      </c>
      <c r="B159" s="557" t="str">
        <f t="shared" si="88"/>
        <v>2000s</v>
      </c>
      <c r="C159" s="561">
        <v>2008</v>
      </c>
      <c r="D159" s="562">
        <f t="shared" si="64"/>
        <v>2004</v>
      </c>
      <c r="E159" s="563">
        <f t="shared" si="65"/>
        <v>2007</v>
      </c>
      <c r="F159" s="586">
        <f t="shared" si="66"/>
        <v>214465</v>
      </c>
      <c r="G159" s="587">
        <f t="shared" si="67"/>
        <v>225383</v>
      </c>
      <c r="H159" s="587">
        <f t="shared" si="68"/>
        <v>224525</v>
      </c>
      <c r="I159" s="2121">
        <f t="shared" si="69"/>
        <v>165334</v>
      </c>
      <c r="J159" s="2125">
        <f t="shared" si="70"/>
        <v>0.85338522445145271</v>
      </c>
      <c r="K159" s="590">
        <f t="shared" si="71"/>
        <v>190819</v>
      </c>
      <c r="L159" s="591">
        <f t="shared" si="79"/>
        <v>192338.52204254176</v>
      </c>
      <c r="M159" s="589">
        <f t="shared" si="81"/>
        <v>165334</v>
      </c>
      <c r="N159" s="591">
        <f t="shared" si="57"/>
        <v>37263472922</v>
      </c>
      <c r="O159" s="569">
        <f t="shared" si="72"/>
        <v>3.9488337629723629E-3</v>
      </c>
      <c r="P159" s="592">
        <f t="shared" si="73"/>
        <v>0.85338522445145271</v>
      </c>
      <c r="Q159" s="571">
        <f t="shared" si="74"/>
        <v>0.87662988966900701</v>
      </c>
      <c r="R159" s="572">
        <f t="shared" si="75"/>
        <v>0.83299999999999996</v>
      </c>
      <c r="S159" s="573">
        <f t="shared" si="76"/>
        <v>9.2991871729206102E-2</v>
      </c>
      <c r="T159" s="574">
        <v>2.1</v>
      </c>
      <c r="U159" s="557">
        <f t="shared" si="77"/>
        <v>4.0000000000000009</v>
      </c>
      <c r="V159" s="575">
        <f t="shared" si="78"/>
        <v>2</v>
      </c>
      <c r="W159" s="594">
        <v>2.3E-2</v>
      </c>
      <c r="X159" s="595">
        <f t="shared" si="87"/>
        <v>5183.8090000000002</v>
      </c>
      <c r="Y159" s="594">
        <v>0</v>
      </c>
      <c r="Z159" s="577">
        <f t="shared" si="85"/>
        <v>0</v>
      </c>
      <c r="AA159" s="2325" t="s">
        <v>1331</v>
      </c>
      <c r="AB159" s="597">
        <f t="shared" si="89"/>
        <v>4423.7860069784601</v>
      </c>
      <c r="AC159" s="597">
        <f t="shared" si="90"/>
        <v>857059877.20599997</v>
      </c>
      <c r="AD159" s="597">
        <f>IF(Y159,L159*Y159,0)</f>
        <v>0</v>
      </c>
      <c r="AE159" s="610">
        <f t="shared" si="86"/>
        <v>0</v>
      </c>
      <c r="AF159" s="572">
        <f t="shared" si="92"/>
        <v>0</v>
      </c>
      <c r="AG159" s="572">
        <f t="shared" si="93"/>
        <v>0</v>
      </c>
      <c r="AH159" s="600">
        <f t="shared" si="94"/>
        <v>0</v>
      </c>
      <c r="AI159" s="559" t="s">
        <v>606</v>
      </c>
    </row>
    <row r="160" spans="1:35" ht="14.4" hidden="1" x14ac:dyDescent="0.3">
      <c r="A160" s="560" t="s">
        <v>568</v>
      </c>
      <c r="B160" s="557" t="str">
        <f t="shared" si="88"/>
        <v>2000s</v>
      </c>
      <c r="C160" s="561">
        <v>2008</v>
      </c>
      <c r="D160" s="562">
        <f t="shared" si="64"/>
        <v>2003</v>
      </c>
      <c r="E160" s="563">
        <f t="shared" si="65"/>
        <v>2006</v>
      </c>
      <c r="F160" s="586">
        <f t="shared" si="66"/>
        <v>214465</v>
      </c>
      <c r="G160" s="587">
        <f t="shared" si="67"/>
        <v>225383</v>
      </c>
      <c r="H160" s="587">
        <f t="shared" si="68"/>
        <v>224525</v>
      </c>
      <c r="I160" s="588">
        <f t="shared" si="69"/>
        <v>165334</v>
      </c>
      <c r="J160" s="589">
        <f t="shared" si="70"/>
        <v>0.85338522445145271</v>
      </c>
      <c r="K160" s="590">
        <f t="shared" si="71"/>
        <v>190819</v>
      </c>
      <c r="L160" s="591">
        <f t="shared" si="79"/>
        <v>192338.52204254176</v>
      </c>
      <c r="M160" s="589">
        <f t="shared" si="81"/>
        <v>165334</v>
      </c>
      <c r="N160" s="591">
        <f t="shared" si="57"/>
        <v>37263472922</v>
      </c>
      <c r="O160" s="569">
        <f t="shared" si="72"/>
        <v>3.9488337629723629E-3</v>
      </c>
      <c r="P160" s="592">
        <f t="shared" si="73"/>
        <v>0.85338522445145271</v>
      </c>
      <c r="Q160" s="571">
        <f t="shared" si="74"/>
        <v>0.87662988966900701</v>
      </c>
      <c r="R160" s="572">
        <f t="shared" si="75"/>
        <v>0.83299999999999996</v>
      </c>
      <c r="S160" s="573">
        <f t="shared" si="76"/>
        <v>9.2991871729206102E-2</v>
      </c>
      <c r="T160" s="574">
        <v>2.2000000000000002</v>
      </c>
      <c r="U160" s="557">
        <f t="shared" si="77"/>
        <v>5.0000000000000018</v>
      </c>
      <c r="V160" s="575">
        <f t="shared" si="78"/>
        <v>2</v>
      </c>
      <c r="W160" s="608">
        <v>3.2000000000000001E-2</v>
      </c>
      <c r="X160" s="595">
        <f t="shared" si="87"/>
        <v>7212.2560000000003</v>
      </c>
      <c r="Y160" s="605">
        <v>3.7105751391465678E-3</v>
      </c>
      <c r="Z160" s="577">
        <f t="shared" si="85"/>
        <v>708.04823747680894</v>
      </c>
      <c r="AA160" s="2325" t="s">
        <v>1331</v>
      </c>
      <c r="AB160" s="597">
        <f t="shared" si="89"/>
        <v>6154.8327053613366</v>
      </c>
      <c r="AC160" s="597">
        <f t="shared" si="90"/>
        <v>1192431133.5039999</v>
      </c>
      <c r="AD160" s="597">
        <f t="shared" ref="AD160:AD166" si="95">IF(Y160,L160*Y160,0)</f>
        <v>713.68653819124961</v>
      </c>
      <c r="AE160" s="610">
        <f t="shared" si="86"/>
        <v>713.68653819124961</v>
      </c>
      <c r="AF160" s="572">
        <f t="shared" si="92"/>
        <v>613.4842300556586</v>
      </c>
      <c r="AG160" s="572">
        <f t="shared" si="93"/>
        <v>3.0909090909090908E-3</v>
      </c>
      <c r="AH160" s="600">
        <f t="shared" si="94"/>
        <v>4.285634191172763E-7</v>
      </c>
      <c r="AI160" s="559" t="s">
        <v>606</v>
      </c>
    </row>
    <row r="161" spans="1:35" ht="14.4" hidden="1" x14ac:dyDescent="0.3">
      <c r="A161" s="560" t="s">
        <v>568</v>
      </c>
      <c r="B161" s="557" t="str">
        <f t="shared" si="88"/>
        <v>2000s</v>
      </c>
      <c r="C161" s="561">
        <v>2009</v>
      </c>
      <c r="D161" s="562">
        <f t="shared" si="64"/>
        <v>2006</v>
      </c>
      <c r="E161" s="563">
        <f t="shared" si="65"/>
        <v>2008</v>
      </c>
      <c r="F161" s="586">
        <f t="shared" si="66"/>
        <v>179732</v>
      </c>
      <c r="G161" s="587">
        <f t="shared" si="67"/>
        <v>187614</v>
      </c>
      <c r="H161" s="587">
        <f t="shared" si="68"/>
        <v>186485</v>
      </c>
      <c r="I161" s="588">
        <f t="shared" si="69"/>
        <v>134937</v>
      </c>
      <c r="J161" s="589">
        <f t="shared" si="70"/>
        <v>0.82869864275624883</v>
      </c>
      <c r="K161" s="590">
        <f t="shared" si="71"/>
        <v>154546</v>
      </c>
      <c r="L161" s="591">
        <f t="shared" si="79"/>
        <v>155475.46716207085</v>
      </c>
      <c r="M161" s="589">
        <f t="shared" si="81"/>
        <v>134937</v>
      </c>
      <c r="N161" s="591">
        <f t="shared" si="57"/>
        <v>25316070318</v>
      </c>
      <c r="O161" s="569">
        <f t="shared" si="72"/>
        <v>7.5367509887321838E-3</v>
      </c>
      <c r="P161" s="592">
        <f t="shared" si="73"/>
        <v>0.82869864275624883</v>
      </c>
      <c r="Q161" s="571">
        <f t="shared" si="74"/>
        <v>0.84521802685402403</v>
      </c>
      <c r="R161" s="572">
        <f t="shared" si="75"/>
        <v>0.82599999999999996</v>
      </c>
      <c r="S161" s="573">
        <f t="shared" si="76"/>
        <v>6.7083143416360569E-2</v>
      </c>
      <c r="T161" s="602">
        <v>1.1000000000000001</v>
      </c>
      <c r="U161" s="557">
        <f t="shared" si="77"/>
        <v>3.0000000000000009</v>
      </c>
      <c r="V161" s="575">
        <f t="shared" si="78"/>
        <v>1</v>
      </c>
      <c r="W161" s="608">
        <v>0.125</v>
      </c>
      <c r="X161" s="595">
        <f t="shared" si="87"/>
        <v>23451.75</v>
      </c>
      <c r="Y161" s="608">
        <v>3.4979423868312758E-2</v>
      </c>
      <c r="Z161" s="577">
        <f t="shared" si="85"/>
        <v>5405.9300411522636</v>
      </c>
      <c r="AA161" s="2325" t="s">
        <v>1331</v>
      </c>
      <c r="AB161" s="597">
        <f t="shared" si="89"/>
        <v>19434.433395258857</v>
      </c>
      <c r="AC161" s="597">
        <f t="shared" si="90"/>
        <v>3164508789.75</v>
      </c>
      <c r="AD161" s="597">
        <f t="shared" si="95"/>
        <v>5438.4422669860178</v>
      </c>
      <c r="AE161" s="610">
        <f t="shared" si="86"/>
        <v>5438.4422669860178</v>
      </c>
      <c r="AF161" s="572">
        <f t="shared" si="92"/>
        <v>4720.0185185185182</v>
      </c>
      <c r="AG161" s="572">
        <f t="shared" si="93"/>
        <v>2.8893004115226335E-2</v>
      </c>
      <c r="AH161" s="600">
        <f t="shared" si="94"/>
        <v>1.2320191079653473E-6</v>
      </c>
      <c r="AI161" s="559" t="s">
        <v>606</v>
      </c>
    </row>
    <row r="162" spans="1:35" ht="14.4" hidden="1" x14ac:dyDescent="0.3">
      <c r="A162" s="560" t="s">
        <v>568</v>
      </c>
      <c r="B162" s="557" t="str">
        <f t="shared" si="88"/>
        <v>2000s</v>
      </c>
      <c r="C162" s="561">
        <v>2009</v>
      </c>
      <c r="D162" s="562">
        <f t="shared" si="64"/>
        <v>2005</v>
      </c>
      <c r="E162" s="563">
        <f t="shared" si="65"/>
        <v>2007</v>
      </c>
      <c r="F162" s="586">
        <f t="shared" si="66"/>
        <v>179732</v>
      </c>
      <c r="G162" s="587">
        <f t="shared" si="67"/>
        <v>187614</v>
      </c>
      <c r="H162" s="587">
        <f t="shared" si="68"/>
        <v>186485</v>
      </c>
      <c r="I162" s="588">
        <f t="shared" si="69"/>
        <v>134937</v>
      </c>
      <c r="J162" s="589">
        <f t="shared" si="70"/>
        <v>0.82869864275624883</v>
      </c>
      <c r="K162" s="590">
        <f t="shared" si="71"/>
        <v>154546</v>
      </c>
      <c r="L162" s="591">
        <f t="shared" si="79"/>
        <v>155475.46716207085</v>
      </c>
      <c r="M162" s="589">
        <f t="shared" si="81"/>
        <v>134937</v>
      </c>
      <c r="N162" s="591">
        <f t="shared" si="57"/>
        <v>25316070318</v>
      </c>
      <c r="O162" s="569">
        <f t="shared" si="72"/>
        <v>7.5367509887321838E-3</v>
      </c>
      <c r="P162" s="592">
        <f t="shared" si="73"/>
        <v>0.82869864275624883</v>
      </c>
      <c r="Q162" s="571">
        <f t="shared" si="74"/>
        <v>0.84521802685402403</v>
      </c>
      <c r="R162" s="572">
        <f t="shared" si="75"/>
        <v>0.82599999999999996</v>
      </c>
      <c r="S162" s="573">
        <f t="shared" si="76"/>
        <v>6.7083143416360569E-2</v>
      </c>
      <c r="T162" s="574">
        <v>1.2</v>
      </c>
      <c r="U162" s="557">
        <f t="shared" si="77"/>
        <v>3.9999999999999996</v>
      </c>
      <c r="V162" s="575">
        <f t="shared" si="78"/>
        <v>1</v>
      </c>
      <c r="W162" s="608">
        <v>0.79200000000000004</v>
      </c>
      <c r="X162" s="595">
        <f t="shared" si="87"/>
        <v>148590.288</v>
      </c>
      <c r="Y162" s="608">
        <v>0.87860082304526754</v>
      </c>
      <c r="Z162" s="577">
        <f t="shared" si="85"/>
        <v>135784.24279835392</v>
      </c>
      <c r="AA162" s="2325" t="s">
        <v>1331</v>
      </c>
      <c r="AB162" s="597">
        <f t="shared" si="89"/>
        <v>123136.56999236012</v>
      </c>
      <c r="AC162" s="597">
        <f t="shared" si="90"/>
        <v>20050327691.856003</v>
      </c>
      <c r="AD162" s="597">
        <f t="shared" si="95"/>
        <v>136600.87341194291</v>
      </c>
      <c r="AE162" s="610">
        <f t="shared" si="86"/>
        <v>136600.87341194291</v>
      </c>
      <c r="AF162" s="572">
        <f t="shared" si="92"/>
        <v>118555.75925925927</v>
      </c>
      <c r="AG162" s="572">
        <f t="shared" si="93"/>
        <v>0.72572427983539101</v>
      </c>
      <c r="AH162" s="600">
        <f t="shared" si="94"/>
        <v>4.8840626773358905E-6</v>
      </c>
      <c r="AI162" s="559" t="s">
        <v>606</v>
      </c>
    </row>
    <row r="163" spans="1:35" ht="14.4" hidden="1" x14ac:dyDescent="0.3">
      <c r="A163" s="560" t="s">
        <v>568</v>
      </c>
      <c r="B163" s="557" t="str">
        <f t="shared" si="88"/>
        <v>2000s</v>
      </c>
      <c r="C163" s="561">
        <v>2009</v>
      </c>
      <c r="D163" s="562">
        <f t="shared" si="64"/>
        <v>2004</v>
      </c>
      <c r="E163" s="563">
        <f t="shared" si="65"/>
        <v>2006</v>
      </c>
      <c r="F163" s="586">
        <f t="shared" si="66"/>
        <v>179732</v>
      </c>
      <c r="G163" s="587">
        <f t="shared" si="67"/>
        <v>187614</v>
      </c>
      <c r="H163" s="587">
        <f t="shared" si="68"/>
        <v>186485</v>
      </c>
      <c r="I163" s="2121">
        <f t="shared" si="69"/>
        <v>134937</v>
      </c>
      <c r="J163" s="2125">
        <f t="shared" si="70"/>
        <v>0.82869864275624883</v>
      </c>
      <c r="K163" s="590">
        <f t="shared" si="71"/>
        <v>154546</v>
      </c>
      <c r="L163" s="591">
        <f t="shared" si="79"/>
        <v>155475.46716207085</v>
      </c>
      <c r="M163" s="589">
        <f t="shared" si="81"/>
        <v>134937</v>
      </c>
      <c r="N163" s="591">
        <f t="shared" si="57"/>
        <v>25316070318</v>
      </c>
      <c r="O163" s="569">
        <f t="shared" si="72"/>
        <v>7.5367509887321838E-3</v>
      </c>
      <c r="P163" s="592">
        <f t="shared" si="73"/>
        <v>0.82869864275624883</v>
      </c>
      <c r="Q163" s="571">
        <f t="shared" si="74"/>
        <v>0.84521802685402403</v>
      </c>
      <c r="R163" s="572">
        <f t="shared" si="75"/>
        <v>0.82599999999999996</v>
      </c>
      <c r="S163" s="573">
        <f t="shared" si="76"/>
        <v>6.7083143416360569E-2</v>
      </c>
      <c r="T163" s="574">
        <v>1.3</v>
      </c>
      <c r="U163" s="557">
        <f t="shared" si="77"/>
        <v>5</v>
      </c>
      <c r="V163" s="575">
        <f t="shared" si="78"/>
        <v>1</v>
      </c>
      <c r="W163" s="594">
        <v>2.5999999999999999E-2</v>
      </c>
      <c r="X163" s="595">
        <f t="shared" si="87"/>
        <v>4877.9639999999999</v>
      </c>
      <c r="Y163" s="594">
        <v>5.3497942386831275E-2</v>
      </c>
      <c r="Z163" s="577">
        <f t="shared" si="85"/>
        <v>8267.8930041152271</v>
      </c>
      <c r="AA163" s="2325" t="s">
        <v>1331</v>
      </c>
      <c r="AB163" s="597">
        <f t="shared" si="89"/>
        <v>4042.3621462138422</v>
      </c>
      <c r="AC163" s="597">
        <f t="shared" si="90"/>
        <v>658217828.26800001</v>
      </c>
      <c r="AD163" s="597">
        <f t="shared" si="95"/>
        <v>8317.6175848021448</v>
      </c>
      <c r="AE163" s="610">
        <f t="shared" si="86"/>
        <v>8317.6175848021448</v>
      </c>
      <c r="AF163" s="572">
        <f t="shared" si="92"/>
        <v>7218.8518518518522</v>
      </c>
      <c r="AG163" s="572">
        <f t="shared" si="93"/>
        <v>4.4189300411522629E-2</v>
      </c>
      <c r="AH163" s="600">
        <f t="shared" si="94"/>
        <v>9.0589640291569652E-6</v>
      </c>
      <c r="AI163" s="559" t="s">
        <v>606</v>
      </c>
    </row>
    <row r="164" spans="1:35" ht="14.4" hidden="1" x14ac:dyDescent="0.3">
      <c r="A164" s="560" t="s">
        <v>568</v>
      </c>
      <c r="B164" s="557" t="str">
        <f t="shared" si="88"/>
        <v>2000s</v>
      </c>
      <c r="C164" s="561">
        <v>2009</v>
      </c>
      <c r="D164" s="562">
        <f t="shared" si="64"/>
        <v>2005</v>
      </c>
      <c r="E164" s="563">
        <f t="shared" si="65"/>
        <v>2008</v>
      </c>
      <c r="F164" s="586">
        <f t="shared" si="66"/>
        <v>179732</v>
      </c>
      <c r="G164" s="587">
        <f t="shared" si="67"/>
        <v>187614</v>
      </c>
      <c r="H164" s="587">
        <f t="shared" si="68"/>
        <v>186485</v>
      </c>
      <c r="I164" s="588">
        <f t="shared" si="69"/>
        <v>134937</v>
      </c>
      <c r="J164" s="589">
        <f t="shared" si="70"/>
        <v>0.82869864275624883</v>
      </c>
      <c r="K164" s="590">
        <f t="shared" si="71"/>
        <v>154546</v>
      </c>
      <c r="L164" s="591">
        <f t="shared" si="79"/>
        <v>155475.46716207085</v>
      </c>
      <c r="M164" s="589">
        <f t="shared" si="81"/>
        <v>134937</v>
      </c>
      <c r="N164" s="591">
        <f t="shared" si="57"/>
        <v>25316070318</v>
      </c>
      <c r="O164" s="569">
        <f t="shared" si="72"/>
        <v>7.5367509887321838E-3</v>
      </c>
      <c r="P164" s="592">
        <f t="shared" si="73"/>
        <v>0.82869864275624883</v>
      </c>
      <c r="Q164" s="571">
        <f t="shared" si="74"/>
        <v>0.84521802685402403</v>
      </c>
      <c r="R164" s="572">
        <f t="shared" si="75"/>
        <v>0.82599999999999996</v>
      </c>
      <c r="S164" s="573">
        <f t="shared" si="76"/>
        <v>6.7083143416360569E-2</v>
      </c>
      <c r="T164" s="574">
        <v>2.1</v>
      </c>
      <c r="U164" s="557">
        <f t="shared" si="77"/>
        <v>4.0000000000000009</v>
      </c>
      <c r="V164" s="575">
        <f t="shared" si="78"/>
        <v>2</v>
      </c>
      <c r="W164" s="594">
        <v>0.01</v>
      </c>
      <c r="X164" s="595">
        <f t="shared" si="87"/>
        <v>1876.14</v>
      </c>
      <c r="Y164" s="594">
        <v>0</v>
      </c>
      <c r="Z164" s="577">
        <f t="shared" si="85"/>
        <v>0</v>
      </c>
      <c r="AA164" s="2325" t="s">
        <v>1331</v>
      </c>
      <c r="AB164" s="597">
        <f t="shared" si="89"/>
        <v>1554.7546716207087</v>
      </c>
      <c r="AC164" s="597">
        <f t="shared" si="90"/>
        <v>253160703.18000001</v>
      </c>
      <c r="AD164" s="597">
        <f t="shared" si="95"/>
        <v>0</v>
      </c>
      <c r="AE164" s="610">
        <f t="shared" si="86"/>
        <v>0</v>
      </c>
      <c r="AF164" s="572">
        <f t="shared" si="92"/>
        <v>0</v>
      </c>
      <c r="AG164" s="572">
        <f t="shared" si="93"/>
        <v>0</v>
      </c>
      <c r="AH164" s="600">
        <f t="shared" si="94"/>
        <v>0</v>
      </c>
      <c r="AI164" s="559" t="s">
        <v>606</v>
      </c>
    </row>
    <row r="165" spans="1:35" ht="14.4" hidden="1" x14ac:dyDescent="0.3">
      <c r="A165" s="560" t="s">
        <v>568</v>
      </c>
      <c r="B165" s="557" t="str">
        <f t="shared" si="88"/>
        <v>2000s</v>
      </c>
      <c r="C165" s="561">
        <v>2009</v>
      </c>
      <c r="D165" s="562">
        <f t="shared" si="64"/>
        <v>2004</v>
      </c>
      <c r="E165" s="563">
        <f t="shared" si="65"/>
        <v>2007</v>
      </c>
      <c r="F165" s="586">
        <f t="shared" si="66"/>
        <v>179732</v>
      </c>
      <c r="G165" s="587">
        <f t="shared" si="67"/>
        <v>187614</v>
      </c>
      <c r="H165" s="587">
        <f t="shared" si="68"/>
        <v>186485</v>
      </c>
      <c r="I165" s="2121">
        <f t="shared" si="69"/>
        <v>134937</v>
      </c>
      <c r="J165" s="2125">
        <f t="shared" si="70"/>
        <v>0.82869864275624883</v>
      </c>
      <c r="K165" s="590">
        <f t="shared" si="71"/>
        <v>154546</v>
      </c>
      <c r="L165" s="591">
        <f t="shared" si="79"/>
        <v>155475.46716207085</v>
      </c>
      <c r="M165" s="589">
        <f t="shared" si="81"/>
        <v>134937</v>
      </c>
      <c r="N165" s="591">
        <f t="shared" si="57"/>
        <v>25316070318</v>
      </c>
      <c r="O165" s="569">
        <f t="shared" si="72"/>
        <v>7.5367509887321838E-3</v>
      </c>
      <c r="P165" s="592">
        <f t="shared" si="73"/>
        <v>0.82869864275624883</v>
      </c>
      <c r="Q165" s="571">
        <f t="shared" si="74"/>
        <v>0.84521802685402403</v>
      </c>
      <c r="R165" s="572">
        <f t="shared" si="75"/>
        <v>0.82599999999999996</v>
      </c>
      <c r="S165" s="573">
        <f t="shared" si="76"/>
        <v>6.7083143416360569E-2</v>
      </c>
      <c r="T165" s="574">
        <v>2.2000000000000002</v>
      </c>
      <c r="U165" s="557">
        <f t="shared" si="77"/>
        <v>5.0000000000000018</v>
      </c>
      <c r="V165" s="575">
        <f t="shared" si="78"/>
        <v>2</v>
      </c>
      <c r="W165" s="594">
        <v>4.5999999999999999E-2</v>
      </c>
      <c r="X165" s="595">
        <f t="shared" si="87"/>
        <v>8630.2440000000006</v>
      </c>
      <c r="Y165" s="594">
        <v>3.292181069958848E-2</v>
      </c>
      <c r="Z165" s="577">
        <f t="shared" si="85"/>
        <v>5087.9341563786011</v>
      </c>
      <c r="AA165" s="2325" t="s">
        <v>1331</v>
      </c>
      <c r="AB165" s="597">
        <f t="shared" si="89"/>
        <v>7151.8714894552595</v>
      </c>
      <c r="AC165" s="597">
        <f t="shared" si="90"/>
        <v>1164539234.628</v>
      </c>
      <c r="AD165" s="597">
        <f t="shared" si="95"/>
        <v>5118.5338983397814</v>
      </c>
      <c r="AE165" s="610">
        <f t="shared" si="86"/>
        <v>5118.5338983397814</v>
      </c>
      <c r="AF165" s="572">
        <f t="shared" si="92"/>
        <v>4442.3703703703704</v>
      </c>
      <c r="AG165" s="572">
        <f t="shared" si="93"/>
        <v>2.7193415637860083E-2</v>
      </c>
      <c r="AH165" s="600">
        <f t="shared" si="94"/>
        <v>3.1509440101415536E-6</v>
      </c>
      <c r="AI165" s="559" t="s">
        <v>606</v>
      </c>
    </row>
    <row r="166" spans="1:35" ht="14.4" hidden="1" x14ac:dyDescent="0.3">
      <c r="A166" s="560" t="s">
        <v>568</v>
      </c>
      <c r="B166" s="557" t="str">
        <f t="shared" si="88"/>
        <v>2000s</v>
      </c>
      <c r="C166" s="561">
        <v>2009</v>
      </c>
      <c r="D166" s="562">
        <f t="shared" si="64"/>
        <v>2003</v>
      </c>
      <c r="E166" s="563">
        <f t="shared" si="65"/>
        <v>2006</v>
      </c>
      <c r="F166" s="586">
        <f t="shared" si="66"/>
        <v>179732</v>
      </c>
      <c r="G166" s="587">
        <f t="shared" si="67"/>
        <v>187614</v>
      </c>
      <c r="H166" s="587">
        <f t="shared" si="68"/>
        <v>186485</v>
      </c>
      <c r="I166" s="2121">
        <f t="shared" si="69"/>
        <v>134937</v>
      </c>
      <c r="J166" s="2125">
        <f t="shared" si="70"/>
        <v>0.82869864275624883</v>
      </c>
      <c r="K166" s="590">
        <f t="shared" si="71"/>
        <v>154546</v>
      </c>
      <c r="L166" s="591">
        <f t="shared" si="79"/>
        <v>155475.46716207085</v>
      </c>
      <c r="M166" s="589">
        <f t="shared" si="81"/>
        <v>134937</v>
      </c>
      <c r="N166" s="591">
        <f t="shared" si="57"/>
        <v>25316070318</v>
      </c>
      <c r="O166" s="569">
        <f t="shared" si="72"/>
        <v>7.5367509887321838E-3</v>
      </c>
      <c r="P166" s="592">
        <f t="shared" si="73"/>
        <v>0.82869864275624883</v>
      </c>
      <c r="Q166" s="571">
        <f t="shared" si="74"/>
        <v>0.84521802685402403</v>
      </c>
      <c r="R166" s="572">
        <f t="shared" si="75"/>
        <v>0.82599999999999996</v>
      </c>
      <c r="S166" s="573">
        <f t="shared" si="76"/>
        <v>6.7083143416360569E-2</v>
      </c>
      <c r="T166" s="574">
        <v>2.2999999999999998</v>
      </c>
      <c r="U166" s="557">
        <f t="shared" si="77"/>
        <v>5.9999999999999982</v>
      </c>
      <c r="V166" s="575">
        <f t="shared" si="78"/>
        <v>2</v>
      </c>
      <c r="W166" s="594">
        <v>1E-3</v>
      </c>
      <c r="X166" s="595">
        <f t="shared" si="87"/>
        <v>187.614</v>
      </c>
      <c r="Y166" s="594">
        <v>0</v>
      </c>
      <c r="Z166" s="577">
        <f t="shared" si="85"/>
        <v>0</v>
      </c>
      <c r="AA166" s="2325" t="s">
        <v>1331</v>
      </c>
      <c r="AB166" s="597">
        <f t="shared" si="89"/>
        <v>155.47546716207086</v>
      </c>
      <c r="AC166" s="597">
        <f t="shared" si="90"/>
        <v>25316070.318</v>
      </c>
      <c r="AD166" s="597">
        <f t="shared" si="95"/>
        <v>0</v>
      </c>
      <c r="AE166" s="610">
        <f t="shared" si="86"/>
        <v>0</v>
      </c>
      <c r="AF166" s="572">
        <f t="shared" si="92"/>
        <v>0</v>
      </c>
      <c r="AG166" s="572">
        <f t="shared" si="93"/>
        <v>0</v>
      </c>
      <c r="AH166" s="600">
        <f t="shared" si="94"/>
        <v>0</v>
      </c>
    </row>
    <row r="167" spans="1:35" ht="14.4" hidden="1" x14ac:dyDescent="0.3">
      <c r="A167" s="560" t="s">
        <v>568</v>
      </c>
      <c r="B167" s="557" t="str">
        <f t="shared" si="88"/>
        <v>2000s</v>
      </c>
      <c r="C167" s="561">
        <v>2010</v>
      </c>
      <c r="D167" s="562">
        <f t="shared" si="64"/>
        <v>2007</v>
      </c>
      <c r="E167" s="563">
        <f t="shared" si="65"/>
        <v>2009</v>
      </c>
      <c r="F167" s="586">
        <f t="shared" si="66"/>
        <v>392193</v>
      </c>
      <c r="G167" s="587">
        <f t="shared" si="67"/>
        <v>409950</v>
      </c>
      <c r="H167" s="587">
        <f t="shared" si="68"/>
        <v>408346</v>
      </c>
      <c r="I167" s="2121">
        <f t="shared" si="69"/>
        <v>291764</v>
      </c>
      <c r="J167" s="2125">
        <f t="shared" si="70"/>
        <v>0.86241612722059646</v>
      </c>
      <c r="K167" s="590">
        <f t="shared" si="71"/>
        <v>355037</v>
      </c>
      <c r="L167" s="591">
        <f t="shared" si="79"/>
        <v>353547.49135408353</v>
      </c>
      <c r="M167" s="589">
        <f t="shared" si="81"/>
        <v>291764</v>
      </c>
      <c r="N167" s="591">
        <f t="shared" si="57"/>
        <v>119608651800</v>
      </c>
      <c r="O167" s="569">
        <f t="shared" si="72"/>
        <v>4.539577997316746E-3</v>
      </c>
      <c r="P167" s="592">
        <f t="shared" si="73"/>
        <v>0.86241612722059646</v>
      </c>
      <c r="Q167" s="571">
        <f t="shared" si="74"/>
        <v>0.87268949753590441</v>
      </c>
      <c r="R167" s="572">
        <f t="shared" si="75"/>
        <v>0.81799999999999995</v>
      </c>
      <c r="S167" s="573">
        <f t="shared" si="76"/>
        <v>0.10297639746685409</v>
      </c>
      <c r="T167" s="574">
        <v>1.1000000000000001</v>
      </c>
      <c r="U167" s="557">
        <f t="shared" si="77"/>
        <v>3.0000000000000009</v>
      </c>
      <c r="V167" s="575">
        <f t="shared" si="78"/>
        <v>1</v>
      </c>
      <c r="W167" s="594">
        <v>1.7999999999999999E-2</v>
      </c>
      <c r="X167" s="595">
        <f t="shared" si="87"/>
        <v>7379.0999999999995</v>
      </c>
      <c r="Y167" s="594">
        <v>8.8183421516754845E-3</v>
      </c>
      <c r="Z167" s="577">
        <f t="shared" si="85"/>
        <v>3130.8377425044091</v>
      </c>
      <c r="AA167" s="2325" t="s">
        <v>1331</v>
      </c>
      <c r="AB167" s="597">
        <f t="shared" si="89"/>
        <v>6363.8548443735026</v>
      </c>
      <c r="AC167" s="597">
        <f t="shared" si="90"/>
        <v>2152955732.3999996</v>
      </c>
      <c r="AD167" s="597">
        <f t="shared" si="91"/>
        <v>3117.7027456268388</v>
      </c>
      <c r="AE167" s="610">
        <f t="shared" si="86"/>
        <v>3117.7027456268388</v>
      </c>
      <c r="AF167" s="572">
        <f t="shared" si="92"/>
        <v>2572.8747795414461</v>
      </c>
      <c r="AG167" s="599">
        <f t="shared" si="93"/>
        <v>7.2134038800705461E-3</v>
      </c>
      <c r="AH167" s="600">
        <f t="shared" si="94"/>
        <v>9.7754521284039333E-7</v>
      </c>
      <c r="AI167" s="559" t="s">
        <v>606</v>
      </c>
    </row>
    <row r="168" spans="1:35" ht="14.4" hidden="1" x14ac:dyDescent="0.3">
      <c r="A168" s="560" t="s">
        <v>568</v>
      </c>
      <c r="B168" s="557" t="str">
        <f t="shared" si="88"/>
        <v>2000s</v>
      </c>
      <c r="C168" s="561">
        <v>2010</v>
      </c>
      <c r="D168" s="562">
        <f t="shared" si="64"/>
        <v>2006</v>
      </c>
      <c r="E168" s="563">
        <f t="shared" si="65"/>
        <v>2008</v>
      </c>
      <c r="F168" s="586">
        <f t="shared" si="66"/>
        <v>392193</v>
      </c>
      <c r="G168" s="587">
        <f t="shared" si="67"/>
        <v>409950</v>
      </c>
      <c r="H168" s="587">
        <f t="shared" si="68"/>
        <v>408346</v>
      </c>
      <c r="I168" s="2121">
        <f t="shared" si="69"/>
        <v>291764</v>
      </c>
      <c r="J168" s="2125">
        <f t="shared" si="70"/>
        <v>0.86241612722059646</v>
      </c>
      <c r="K168" s="590">
        <f t="shared" si="71"/>
        <v>355037</v>
      </c>
      <c r="L168" s="591">
        <f t="shared" si="79"/>
        <v>353547.49135408353</v>
      </c>
      <c r="M168" s="589">
        <f t="shared" si="81"/>
        <v>291764</v>
      </c>
      <c r="N168" s="591">
        <f t="shared" si="57"/>
        <v>119608651800</v>
      </c>
      <c r="O168" s="569">
        <f t="shared" si="72"/>
        <v>4.539577997316746E-3</v>
      </c>
      <c r="P168" s="592">
        <f t="shared" si="73"/>
        <v>0.86241612722059646</v>
      </c>
      <c r="Q168" s="571">
        <f t="shared" si="74"/>
        <v>0.87268949753590441</v>
      </c>
      <c r="R168" s="572">
        <f t="shared" si="75"/>
        <v>0.81799999999999995</v>
      </c>
      <c r="S168" s="573">
        <f t="shared" si="76"/>
        <v>0.10297639746685409</v>
      </c>
      <c r="T168" s="574">
        <v>1.2</v>
      </c>
      <c r="U168" s="557">
        <f t="shared" si="77"/>
        <v>3.9999999999999996</v>
      </c>
      <c r="V168" s="575">
        <f t="shared" si="78"/>
        <v>1</v>
      </c>
      <c r="W168" s="608">
        <v>0.95399999999999996</v>
      </c>
      <c r="X168" s="595">
        <f t="shared" si="87"/>
        <v>391092.3</v>
      </c>
      <c r="Y168" s="608">
        <v>0.89400000000000002</v>
      </c>
      <c r="Z168" s="577">
        <f t="shared" si="85"/>
        <v>317403.07799999998</v>
      </c>
      <c r="AA168" s="2325" t="s">
        <v>1331</v>
      </c>
      <c r="AB168" s="597">
        <f t="shared" si="89"/>
        <v>337284.3067517957</v>
      </c>
      <c r="AC168" s="597">
        <f t="shared" si="90"/>
        <v>114106653817.2</v>
      </c>
      <c r="AD168" s="597">
        <f t="shared" si="91"/>
        <v>316071.45727055066</v>
      </c>
      <c r="AE168" s="610">
        <f t="shared" si="86"/>
        <v>316071.45727055066</v>
      </c>
      <c r="AF168" s="572">
        <f t="shared" si="92"/>
        <v>260837.016</v>
      </c>
      <c r="AG168" s="572">
        <f t="shared" si="93"/>
        <v>0.73129199999999994</v>
      </c>
      <c r="AH168" s="600">
        <f t="shared" si="94"/>
        <v>1.8698706162202631E-6</v>
      </c>
      <c r="AI168" s="559" t="s">
        <v>606</v>
      </c>
    </row>
    <row r="169" spans="1:35" ht="14.4" hidden="1" x14ac:dyDescent="0.3">
      <c r="A169" s="560" t="s">
        <v>568</v>
      </c>
      <c r="B169" s="557" t="str">
        <f t="shared" si="88"/>
        <v>2000s</v>
      </c>
      <c r="C169" s="561">
        <v>2010</v>
      </c>
      <c r="D169" s="562">
        <f t="shared" si="64"/>
        <v>2005</v>
      </c>
      <c r="E169" s="563">
        <f t="shared" si="65"/>
        <v>2007</v>
      </c>
      <c r="F169" s="586">
        <f t="shared" si="66"/>
        <v>392193</v>
      </c>
      <c r="G169" s="587">
        <f t="shared" si="67"/>
        <v>409950</v>
      </c>
      <c r="H169" s="587">
        <f t="shared" si="68"/>
        <v>408346</v>
      </c>
      <c r="I169" s="2121">
        <f t="shared" si="69"/>
        <v>291764</v>
      </c>
      <c r="J169" s="2125">
        <f t="shared" si="70"/>
        <v>0.86241612722059646</v>
      </c>
      <c r="K169" s="590">
        <f t="shared" si="71"/>
        <v>355037</v>
      </c>
      <c r="L169" s="591">
        <f t="shared" si="79"/>
        <v>353547.49135408353</v>
      </c>
      <c r="M169" s="589">
        <f t="shared" ref="M169:M200" si="96">VLOOKUP($C169,SockeyeReturnsData,12)</f>
        <v>291764</v>
      </c>
      <c r="N169" s="591">
        <f t="shared" ref="N169:N234" si="97">IF(M169,M169*G169,J169*G169)</f>
        <v>119608651800</v>
      </c>
      <c r="O169" s="569">
        <f t="shared" si="72"/>
        <v>4.539577997316746E-3</v>
      </c>
      <c r="P169" s="592">
        <f t="shared" si="73"/>
        <v>0.86241612722059646</v>
      </c>
      <c r="Q169" s="571">
        <f t="shared" si="74"/>
        <v>0.87268949753590441</v>
      </c>
      <c r="R169" s="572">
        <f t="shared" si="75"/>
        <v>0.81799999999999995</v>
      </c>
      <c r="S169" s="573">
        <f t="shared" si="76"/>
        <v>0.10297639746685409</v>
      </c>
      <c r="T169" s="574">
        <v>1.3</v>
      </c>
      <c r="U169" s="557">
        <f t="shared" si="77"/>
        <v>5</v>
      </c>
      <c r="V169" s="575">
        <f t="shared" si="78"/>
        <v>1</v>
      </c>
      <c r="W169" s="608">
        <v>5.0000000000000001E-3</v>
      </c>
      <c r="X169" s="595">
        <f t="shared" si="87"/>
        <v>2049.75</v>
      </c>
      <c r="Y169" s="608">
        <v>7.3999999999999996E-2</v>
      </c>
      <c r="Z169" s="577">
        <f t="shared" si="85"/>
        <v>26272.737999999998</v>
      </c>
      <c r="AA169" s="2325" t="s">
        <v>1331</v>
      </c>
      <c r="AB169" s="597">
        <f t="shared" si="89"/>
        <v>1767.7374567704176</v>
      </c>
      <c r="AC169" s="597">
        <f t="shared" si="90"/>
        <v>598043259</v>
      </c>
      <c r="AD169" s="597">
        <f t="shared" si="91"/>
        <v>26162.514360202178</v>
      </c>
      <c r="AE169" s="610">
        <f t="shared" si="86"/>
        <v>26162.514360202178</v>
      </c>
      <c r="AF169" s="572">
        <f t="shared" si="92"/>
        <v>21590.536</v>
      </c>
      <c r="AG169" s="572">
        <f t="shared" si="93"/>
        <v>6.0531999999999996E-2</v>
      </c>
      <c r="AH169" s="600">
        <f t="shared" si="94"/>
        <v>2.95314062690572E-5</v>
      </c>
      <c r="AI169" s="559" t="s">
        <v>606</v>
      </c>
    </row>
    <row r="170" spans="1:35" ht="14.4" hidden="1" x14ac:dyDescent="0.3">
      <c r="A170" s="560" t="s">
        <v>568</v>
      </c>
      <c r="B170" s="557" t="str">
        <f t="shared" si="88"/>
        <v>2000s</v>
      </c>
      <c r="C170" s="561">
        <v>2010</v>
      </c>
      <c r="D170" s="562">
        <f t="shared" si="64"/>
        <v>2006</v>
      </c>
      <c r="E170" s="563">
        <f t="shared" si="65"/>
        <v>2009</v>
      </c>
      <c r="F170" s="586">
        <f t="shared" si="66"/>
        <v>392193</v>
      </c>
      <c r="G170" s="587">
        <f t="shared" si="67"/>
        <v>409950</v>
      </c>
      <c r="H170" s="587">
        <f t="shared" si="68"/>
        <v>408346</v>
      </c>
      <c r="I170" s="2121">
        <f t="shared" si="69"/>
        <v>291764</v>
      </c>
      <c r="J170" s="2125">
        <f t="shared" si="70"/>
        <v>0.86241612722059646</v>
      </c>
      <c r="K170" s="590">
        <f t="shared" si="71"/>
        <v>355037</v>
      </c>
      <c r="L170" s="591">
        <f t="shared" si="79"/>
        <v>353547.49135408353</v>
      </c>
      <c r="M170" s="589">
        <f t="shared" si="96"/>
        <v>291764</v>
      </c>
      <c r="N170" s="591">
        <f t="shared" si="97"/>
        <v>119608651800</v>
      </c>
      <c r="O170" s="569">
        <f t="shared" si="72"/>
        <v>4.539577997316746E-3</v>
      </c>
      <c r="P170" s="592">
        <f t="shared" si="73"/>
        <v>0.86241612722059646</v>
      </c>
      <c r="Q170" s="571">
        <f t="shared" si="74"/>
        <v>0.87268949753590441</v>
      </c>
      <c r="R170" s="572">
        <f t="shared" si="75"/>
        <v>0.81799999999999995</v>
      </c>
      <c r="S170" s="573">
        <f t="shared" si="76"/>
        <v>0.10297639746685409</v>
      </c>
      <c r="T170" s="574">
        <v>2.1</v>
      </c>
      <c r="U170" s="557">
        <f t="shared" si="77"/>
        <v>4.0000000000000009</v>
      </c>
      <c r="V170" s="575">
        <f t="shared" si="78"/>
        <v>2</v>
      </c>
      <c r="W170" s="594">
        <v>6.0000000000000001E-3</v>
      </c>
      <c r="X170" s="595">
        <f t="shared" si="87"/>
        <v>2459.7000000000003</v>
      </c>
      <c r="Y170" s="594">
        <v>1.7000000000000001E-2</v>
      </c>
      <c r="Z170" s="577">
        <f t="shared" si="85"/>
        <v>6035.6290000000008</v>
      </c>
      <c r="AA170" s="2325" t="s">
        <v>1331</v>
      </c>
      <c r="AB170" s="597">
        <f t="shared" si="89"/>
        <v>2121.2849481245012</v>
      </c>
      <c r="AC170" s="597">
        <f t="shared" si="90"/>
        <v>717651910.80000007</v>
      </c>
      <c r="AD170" s="597">
        <f t="shared" si="91"/>
        <v>6010.3073530194206</v>
      </c>
      <c r="AE170" s="610">
        <f t="shared" si="86"/>
        <v>6010.3073530194206</v>
      </c>
      <c r="AF170" s="572">
        <f t="shared" si="92"/>
        <v>4959.9880000000003</v>
      </c>
      <c r="AG170" s="572">
        <f t="shared" si="93"/>
        <v>1.3906E-2</v>
      </c>
      <c r="AH170" s="600">
        <f t="shared" si="94"/>
        <v>5.6535349839411304E-6</v>
      </c>
      <c r="AI170" s="559" t="s">
        <v>606</v>
      </c>
    </row>
    <row r="171" spans="1:35" ht="14.4" hidden="1" x14ac:dyDescent="0.3">
      <c r="A171" s="560" t="s">
        <v>568</v>
      </c>
      <c r="B171" s="557" t="str">
        <f t="shared" si="88"/>
        <v>2000s</v>
      </c>
      <c r="C171" s="561">
        <v>2010</v>
      </c>
      <c r="D171" s="562">
        <f t="shared" si="64"/>
        <v>2005</v>
      </c>
      <c r="E171" s="563">
        <f t="shared" si="65"/>
        <v>2008</v>
      </c>
      <c r="F171" s="586">
        <f t="shared" si="66"/>
        <v>392193</v>
      </c>
      <c r="G171" s="587">
        <f t="shared" si="67"/>
        <v>409950</v>
      </c>
      <c r="H171" s="587">
        <f t="shared" si="68"/>
        <v>408346</v>
      </c>
      <c r="I171" s="2121">
        <f t="shared" si="69"/>
        <v>291764</v>
      </c>
      <c r="J171" s="2125">
        <f t="shared" si="70"/>
        <v>0.86241612722059646</v>
      </c>
      <c r="K171" s="590">
        <f t="shared" si="71"/>
        <v>355037</v>
      </c>
      <c r="L171" s="591">
        <f t="shared" si="79"/>
        <v>353547.49135408353</v>
      </c>
      <c r="M171" s="589">
        <f t="shared" si="96"/>
        <v>291764</v>
      </c>
      <c r="N171" s="591">
        <f t="shared" si="97"/>
        <v>119608651800</v>
      </c>
      <c r="O171" s="569">
        <f t="shared" si="72"/>
        <v>4.539577997316746E-3</v>
      </c>
      <c r="P171" s="592">
        <f t="shared" si="73"/>
        <v>0.86241612722059646</v>
      </c>
      <c r="Q171" s="571">
        <f t="shared" si="74"/>
        <v>0.87268949753590441</v>
      </c>
      <c r="R171" s="572">
        <f t="shared" si="75"/>
        <v>0.81799999999999995</v>
      </c>
      <c r="S171" s="573">
        <f t="shared" si="76"/>
        <v>0.10297639746685409</v>
      </c>
      <c r="T171" s="574">
        <v>2.2000000000000002</v>
      </c>
      <c r="U171" s="557">
        <f t="shared" si="77"/>
        <v>5.0000000000000018</v>
      </c>
      <c r="V171" s="575">
        <f t="shared" si="78"/>
        <v>2</v>
      </c>
      <c r="W171" s="594">
        <v>1.6E-2</v>
      </c>
      <c r="X171" s="595">
        <f t="shared" si="87"/>
        <v>6559.2</v>
      </c>
      <c r="Y171" s="594">
        <v>6.0000000000000001E-3</v>
      </c>
      <c r="Z171" s="577">
        <f t="shared" si="85"/>
        <v>2130.2220000000002</v>
      </c>
      <c r="AA171" s="2325" t="s">
        <v>1331</v>
      </c>
      <c r="AB171" s="597">
        <f t="shared" si="89"/>
        <v>5656.7598616653368</v>
      </c>
      <c r="AC171" s="597">
        <f t="shared" si="90"/>
        <v>1913738428.8</v>
      </c>
      <c r="AD171" s="597">
        <f t="shared" si="91"/>
        <v>2121.2849481245012</v>
      </c>
      <c r="AE171" s="610">
        <f t="shared" si="86"/>
        <v>2121.2849481245012</v>
      </c>
      <c r="AF171" s="572">
        <f t="shared" si="92"/>
        <v>1750.5840000000001</v>
      </c>
      <c r="AG171" s="572">
        <f t="shared" si="93"/>
        <v>4.908E-3</v>
      </c>
      <c r="AH171" s="600">
        <f t="shared" si="94"/>
        <v>7.4826198316867915E-7</v>
      </c>
      <c r="AI171" s="559" t="s">
        <v>606</v>
      </c>
    </row>
    <row r="172" spans="1:35" ht="14.4" hidden="1" x14ac:dyDescent="0.3">
      <c r="A172" s="560" t="s">
        <v>568</v>
      </c>
      <c r="B172" s="557" t="str">
        <f t="shared" si="88"/>
        <v>2010s</v>
      </c>
      <c r="C172" s="561">
        <v>2011</v>
      </c>
      <c r="D172" s="562">
        <f t="shared" si="64"/>
        <v>2008</v>
      </c>
      <c r="E172" s="563">
        <f t="shared" si="65"/>
        <v>2010</v>
      </c>
      <c r="F172" s="586">
        <f t="shared" si="66"/>
        <v>187365</v>
      </c>
      <c r="G172" s="587">
        <f t="shared" si="67"/>
        <v>196529</v>
      </c>
      <c r="H172" s="587">
        <f t="shared" si="68"/>
        <v>194960</v>
      </c>
      <c r="I172" s="2121">
        <f t="shared" si="69"/>
        <v>111508</v>
      </c>
      <c r="J172" s="2125">
        <f t="shared" si="70"/>
        <v>0.76317320393399535</v>
      </c>
      <c r="K172" s="590">
        <f t="shared" si="71"/>
        <v>171572</v>
      </c>
      <c r="L172" s="591">
        <f t="shared" si="79"/>
        <v>149985.66659594417</v>
      </c>
      <c r="M172" s="589">
        <f t="shared" si="96"/>
        <v>111508</v>
      </c>
      <c r="N172" s="591">
        <f t="shared" si="97"/>
        <v>21914555732</v>
      </c>
      <c r="O172" s="569">
        <f t="shared" si="72"/>
        <v>7.9428481292837198E-3</v>
      </c>
      <c r="P172" s="592">
        <f t="shared" si="73"/>
        <v>0.76317320393399535</v>
      </c>
      <c r="Q172" s="593">
        <f t="shared" si="74"/>
        <v>0.85363401434282982</v>
      </c>
      <c r="R172" s="572">
        <f t="shared" si="75"/>
        <v>0.7679999999999999</v>
      </c>
      <c r="S172" s="573">
        <f t="shared" si="76"/>
        <v>0.17662597455888387</v>
      </c>
      <c r="T172" s="602">
        <v>1.1000000000000001</v>
      </c>
      <c r="U172" s="557">
        <f t="shared" si="77"/>
        <v>3.0000000000000009</v>
      </c>
      <c r="V172" s="575">
        <f t="shared" si="78"/>
        <v>1</v>
      </c>
      <c r="W172" s="608">
        <v>0.26100000000000001</v>
      </c>
      <c r="X172" s="595">
        <f t="shared" si="87"/>
        <v>51294.069000000003</v>
      </c>
      <c r="Y172" s="608">
        <v>0.182</v>
      </c>
      <c r="Z172" s="577">
        <f t="shared" si="85"/>
        <v>31226.103999999999</v>
      </c>
      <c r="AA172" s="2325" t="s">
        <v>1331</v>
      </c>
      <c r="AB172" s="597">
        <f t="shared" si="89"/>
        <v>39146.258981541432</v>
      </c>
      <c r="AC172" s="597">
        <f t="shared" si="90"/>
        <v>5719699046.052</v>
      </c>
      <c r="AD172" s="597">
        <f t="shared" si="91"/>
        <v>27297.39132046184</v>
      </c>
      <c r="AE172" s="610">
        <f t="shared" si="86"/>
        <v>27297.39132046184</v>
      </c>
      <c r="AF172" s="572">
        <f t="shared" si="92"/>
        <v>20294.455999999998</v>
      </c>
      <c r="AG172" s="572">
        <f t="shared" si="93"/>
        <v>0.13977599999999998</v>
      </c>
      <c r="AH172" s="600">
        <f t="shared" si="94"/>
        <v>2.724993410056823E-6</v>
      </c>
      <c r="AI172" s="559" t="s">
        <v>606</v>
      </c>
    </row>
    <row r="173" spans="1:35" ht="14.4" hidden="1" x14ac:dyDescent="0.3">
      <c r="A173" s="560" t="s">
        <v>568</v>
      </c>
      <c r="B173" s="557" t="str">
        <f t="shared" si="88"/>
        <v>2000s</v>
      </c>
      <c r="C173" s="561">
        <v>2011</v>
      </c>
      <c r="D173" s="562">
        <f t="shared" si="64"/>
        <v>2007</v>
      </c>
      <c r="E173" s="563">
        <f t="shared" si="65"/>
        <v>2009</v>
      </c>
      <c r="F173" s="586">
        <f t="shared" si="66"/>
        <v>187365</v>
      </c>
      <c r="G173" s="587">
        <f t="shared" si="67"/>
        <v>196529</v>
      </c>
      <c r="H173" s="587">
        <f t="shared" si="68"/>
        <v>194960</v>
      </c>
      <c r="I173" s="2121">
        <f t="shared" si="69"/>
        <v>111508</v>
      </c>
      <c r="J173" s="2125">
        <f t="shared" si="70"/>
        <v>0.76317320393399535</v>
      </c>
      <c r="K173" s="590">
        <f t="shared" si="71"/>
        <v>171572</v>
      </c>
      <c r="L173" s="591">
        <f t="shared" si="79"/>
        <v>149985.66659594417</v>
      </c>
      <c r="M173" s="589">
        <f t="shared" si="96"/>
        <v>111508</v>
      </c>
      <c r="N173" s="591">
        <f t="shared" si="97"/>
        <v>21914555732</v>
      </c>
      <c r="O173" s="569">
        <f t="shared" si="72"/>
        <v>7.9428481292837198E-3</v>
      </c>
      <c r="P173" s="592">
        <f t="shared" si="73"/>
        <v>0.76317320393399535</v>
      </c>
      <c r="Q173" s="593">
        <f t="shared" si="74"/>
        <v>0.85363401434282982</v>
      </c>
      <c r="R173" s="572">
        <f t="shared" si="75"/>
        <v>0.7679999999999999</v>
      </c>
      <c r="S173" s="573">
        <f t="shared" si="76"/>
        <v>0.17662597455888387</v>
      </c>
      <c r="T173" s="574">
        <v>1.2</v>
      </c>
      <c r="U173" s="557">
        <f t="shared" si="77"/>
        <v>3.9999999999999996</v>
      </c>
      <c r="V173" s="575">
        <f t="shared" si="78"/>
        <v>1</v>
      </c>
      <c r="W173" s="608">
        <v>0.59199999999999997</v>
      </c>
      <c r="X173" s="595">
        <f t="shared" si="87"/>
        <v>116345.16799999999</v>
      </c>
      <c r="Y173" s="608">
        <v>0.66400000000000003</v>
      </c>
      <c r="Z173" s="577">
        <f t="shared" si="85"/>
        <v>113923.808</v>
      </c>
      <c r="AA173" s="2325" t="s">
        <v>1331</v>
      </c>
      <c r="AB173" s="597">
        <f t="shared" si="89"/>
        <v>88791.514624798947</v>
      </c>
      <c r="AC173" s="597">
        <f t="shared" si="90"/>
        <v>12973416993.344</v>
      </c>
      <c r="AD173" s="597">
        <f t="shared" si="91"/>
        <v>99590.482619706934</v>
      </c>
      <c r="AE173" s="610">
        <f t="shared" si="86"/>
        <v>99590.482619706934</v>
      </c>
      <c r="AF173" s="572">
        <f t="shared" si="92"/>
        <v>74041.312000000005</v>
      </c>
      <c r="AG173" s="572">
        <f t="shared" si="93"/>
        <v>0.50995199999999996</v>
      </c>
      <c r="AH173" s="600">
        <f t="shared" si="94"/>
        <v>4.3830956520686786E-6</v>
      </c>
      <c r="AI173" s="559" t="s">
        <v>606</v>
      </c>
    </row>
    <row r="174" spans="1:35" ht="14.4" hidden="1" x14ac:dyDescent="0.3">
      <c r="A174" s="560" t="s">
        <v>568</v>
      </c>
      <c r="B174" s="557" t="str">
        <f t="shared" si="88"/>
        <v>2000s</v>
      </c>
      <c r="C174" s="561">
        <v>2011</v>
      </c>
      <c r="D174" s="562">
        <f t="shared" si="64"/>
        <v>2006</v>
      </c>
      <c r="E174" s="563">
        <f t="shared" si="65"/>
        <v>2008</v>
      </c>
      <c r="F174" s="586">
        <f t="shared" si="66"/>
        <v>187365</v>
      </c>
      <c r="G174" s="587">
        <f t="shared" si="67"/>
        <v>196529</v>
      </c>
      <c r="H174" s="587">
        <f t="shared" si="68"/>
        <v>194960</v>
      </c>
      <c r="I174" s="2121">
        <f t="shared" si="69"/>
        <v>111508</v>
      </c>
      <c r="J174" s="2125">
        <f t="shared" si="70"/>
        <v>0.76317320393399535</v>
      </c>
      <c r="K174" s="590">
        <f t="shared" si="71"/>
        <v>171572</v>
      </c>
      <c r="L174" s="591">
        <f t="shared" si="79"/>
        <v>149985.66659594417</v>
      </c>
      <c r="M174" s="589">
        <f t="shared" si="96"/>
        <v>111508</v>
      </c>
      <c r="N174" s="591">
        <f t="shared" si="97"/>
        <v>21914555732</v>
      </c>
      <c r="O174" s="569">
        <f t="shared" si="72"/>
        <v>7.9428481292837198E-3</v>
      </c>
      <c r="P174" s="592">
        <f t="shared" si="73"/>
        <v>0.76317320393399535</v>
      </c>
      <c r="Q174" s="593">
        <f t="shared" si="74"/>
        <v>0.85363401434282982</v>
      </c>
      <c r="R174" s="572">
        <f t="shared" si="75"/>
        <v>0.7679999999999999</v>
      </c>
      <c r="S174" s="573">
        <f t="shared" si="76"/>
        <v>0.17662597455888387</v>
      </c>
      <c r="T174" s="574">
        <v>1.3</v>
      </c>
      <c r="U174" s="557">
        <f t="shared" si="77"/>
        <v>5</v>
      </c>
      <c r="V174" s="575">
        <f t="shared" si="78"/>
        <v>1</v>
      </c>
      <c r="W174" s="594">
        <v>7.6999999999999999E-2</v>
      </c>
      <c r="X174" s="595">
        <f t="shared" si="87"/>
        <v>15132.733</v>
      </c>
      <c r="Y174" s="594">
        <v>7.0999999999999994E-2</v>
      </c>
      <c r="Z174" s="577">
        <f t="shared" si="85"/>
        <v>12181.611999999999</v>
      </c>
      <c r="AA174" s="2325" t="s">
        <v>1331</v>
      </c>
      <c r="AB174" s="597">
        <f t="shared" si="89"/>
        <v>11548.896327887702</v>
      </c>
      <c r="AC174" s="597">
        <f t="shared" si="90"/>
        <v>1687420791.3640001</v>
      </c>
      <c r="AD174" s="597">
        <f t="shared" si="91"/>
        <v>10648.982328312035</v>
      </c>
      <c r="AE174" s="610">
        <f t="shared" si="86"/>
        <v>10648.982328312035</v>
      </c>
      <c r="AF174" s="572">
        <f t="shared" si="92"/>
        <v>7917.0679999999993</v>
      </c>
      <c r="AG174" s="572">
        <f t="shared" si="93"/>
        <v>5.4527999999999986E-2</v>
      </c>
      <c r="AH174" s="600">
        <f t="shared" si="94"/>
        <v>3.6033147482348352E-6</v>
      </c>
      <c r="AI174" s="559" t="s">
        <v>606</v>
      </c>
    </row>
    <row r="175" spans="1:35" ht="14.4" hidden="1" x14ac:dyDescent="0.3">
      <c r="A175" s="560" t="s">
        <v>568</v>
      </c>
      <c r="B175" s="557" t="str">
        <f t="shared" si="88"/>
        <v>2010s</v>
      </c>
      <c r="C175" s="561">
        <v>2011</v>
      </c>
      <c r="D175" s="562">
        <f t="shared" si="64"/>
        <v>2007</v>
      </c>
      <c r="E175" s="563">
        <f t="shared" si="65"/>
        <v>2010</v>
      </c>
      <c r="F175" s="586">
        <f t="shared" si="66"/>
        <v>187365</v>
      </c>
      <c r="G175" s="587">
        <f t="shared" si="67"/>
        <v>196529</v>
      </c>
      <c r="H175" s="587">
        <f t="shared" si="68"/>
        <v>194960</v>
      </c>
      <c r="I175" s="2121">
        <f t="shared" si="69"/>
        <v>111508</v>
      </c>
      <c r="J175" s="2125">
        <f t="shared" si="70"/>
        <v>0.76317320393399535</v>
      </c>
      <c r="K175" s="590">
        <f t="shared" si="71"/>
        <v>171572</v>
      </c>
      <c r="L175" s="591">
        <f t="shared" si="79"/>
        <v>149985.66659594417</v>
      </c>
      <c r="M175" s="589">
        <f t="shared" si="96"/>
        <v>111508</v>
      </c>
      <c r="N175" s="591">
        <f t="shared" si="97"/>
        <v>21914555732</v>
      </c>
      <c r="O175" s="569">
        <f t="shared" si="72"/>
        <v>7.9428481292837198E-3</v>
      </c>
      <c r="P175" s="592">
        <f t="shared" si="73"/>
        <v>0.76317320393399535</v>
      </c>
      <c r="Q175" s="593">
        <f t="shared" si="74"/>
        <v>0.85363401434282982</v>
      </c>
      <c r="R175" s="572">
        <f t="shared" si="75"/>
        <v>0.7679999999999999</v>
      </c>
      <c r="S175" s="573">
        <f t="shared" si="76"/>
        <v>0.17662597455888387</v>
      </c>
      <c r="T175" s="574">
        <v>2.1</v>
      </c>
      <c r="U175" s="557">
        <f t="shared" si="77"/>
        <v>4.0000000000000009</v>
      </c>
      <c r="V175" s="575">
        <f t="shared" si="78"/>
        <v>2</v>
      </c>
      <c r="W175" s="594">
        <v>3.1E-2</v>
      </c>
      <c r="X175" s="595">
        <f t="shared" si="87"/>
        <v>6092.3990000000003</v>
      </c>
      <c r="Y175" s="594">
        <v>4.2999999999999997E-2</v>
      </c>
      <c r="Z175" s="577">
        <f t="shared" si="85"/>
        <v>7377.5959999999995</v>
      </c>
      <c r="AA175" s="2325" t="s">
        <v>1331</v>
      </c>
      <c r="AB175" s="597">
        <f t="shared" si="89"/>
        <v>4649.5556644742692</v>
      </c>
      <c r="AC175" s="597">
        <f t="shared" si="90"/>
        <v>679351227.69200003</v>
      </c>
      <c r="AD175" s="597">
        <f t="shared" si="91"/>
        <v>6449.3836636255992</v>
      </c>
      <c r="AE175" s="610">
        <f t="shared" si="86"/>
        <v>6449.3836636255992</v>
      </c>
      <c r="AF175" s="572">
        <f t="shared" si="92"/>
        <v>4794.8440000000001</v>
      </c>
      <c r="AG175" s="572">
        <f t="shared" si="93"/>
        <v>3.3023999999999991E-2</v>
      </c>
      <c r="AH175" s="600">
        <f t="shared" si="94"/>
        <v>5.4205248211747109E-6</v>
      </c>
      <c r="AI175" s="559" t="s">
        <v>606</v>
      </c>
    </row>
    <row r="176" spans="1:35" ht="14.4" hidden="1" x14ac:dyDescent="0.3">
      <c r="A176" s="560" t="s">
        <v>568</v>
      </c>
      <c r="B176" s="557" t="str">
        <f t="shared" si="88"/>
        <v>2000s</v>
      </c>
      <c r="C176" s="561">
        <v>2011</v>
      </c>
      <c r="D176" s="562">
        <f t="shared" si="64"/>
        <v>2006</v>
      </c>
      <c r="E176" s="563">
        <f t="shared" si="65"/>
        <v>2009</v>
      </c>
      <c r="F176" s="586">
        <f t="shared" si="66"/>
        <v>187365</v>
      </c>
      <c r="G176" s="587">
        <f t="shared" si="67"/>
        <v>196529</v>
      </c>
      <c r="H176" s="587">
        <f t="shared" si="68"/>
        <v>194960</v>
      </c>
      <c r="I176" s="2121">
        <f t="shared" si="69"/>
        <v>111508</v>
      </c>
      <c r="J176" s="2125">
        <f t="shared" si="70"/>
        <v>0.76317320393399535</v>
      </c>
      <c r="K176" s="590">
        <f t="shared" si="71"/>
        <v>171572</v>
      </c>
      <c r="L176" s="591">
        <f t="shared" si="79"/>
        <v>149985.66659594417</v>
      </c>
      <c r="M176" s="589">
        <f t="shared" si="96"/>
        <v>111508</v>
      </c>
      <c r="N176" s="591">
        <f t="shared" si="97"/>
        <v>21914555732</v>
      </c>
      <c r="O176" s="569">
        <f t="shared" si="72"/>
        <v>7.9428481292837198E-3</v>
      </c>
      <c r="P176" s="592">
        <f t="shared" si="73"/>
        <v>0.76317320393399535</v>
      </c>
      <c r="Q176" s="593">
        <f t="shared" si="74"/>
        <v>0.85363401434282982</v>
      </c>
      <c r="R176" s="572">
        <f t="shared" si="75"/>
        <v>0.7679999999999999</v>
      </c>
      <c r="S176" s="573">
        <f t="shared" si="76"/>
        <v>0.17662597455888387</v>
      </c>
      <c r="T176" s="574">
        <v>2.2000000000000002</v>
      </c>
      <c r="U176" s="557">
        <f t="shared" si="77"/>
        <v>5.0000000000000018</v>
      </c>
      <c r="V176" s="575">
        <f t="shared" si="78"/>
        <v>2</v>
      </c>
      <c r="W176" s="594">
        <v>3.6999999999999998E-2</v>
      </c>
      <c r="X176" s="595">
        <f t="shared" si="87"/>
        <v>7271.5729999999994</v>
      </c>
      <c r="Y176" s="594">
        <v>0.04</v>
      </c>
      <c r="Z176" s="577">
        <f t="shared" si="85"/>
        <v>6862.88</v>
      </c>
      <c r="AA176" s="2325" t="s">
        <v>1331</v>
      </c>
      <c r="AB176" s="597">
        <f t="shared" si="89"/>
        <v>5549.4696640499342</v>
      </c>
      <c r="AC176" s="597">
        <f t="shared" si="90"/>
        <v>810838562.08399999</v>
      </c>
      <c r="AD176" s="597">
        <f t="shared" si="91"/>
        <v>5999.4266638377667</v>
      </c>
      <c r="AE176" s="610">
        <f t="shared" si="86"/>
        <v>5999.4266638377667</v>
      </c>
      <c r="AF176" s="572">
        <f t="shared" si="92"/>
        <v>4460.32</v>
      </c>
      <c r="AG176" s="572">
        <f t="shared" si="93"/>
        <v>3.0719999999999997E-2</v>
      </c>
      <c r="AH176" s="600">
        <f t="shared" si="94"/>
        <v>4.2246705080180034E-6</v>
      </c>
      <c r="AI176" s="559" t="s">
        <v>606</v>
      </c>
    </row>
    <row r="177" spans="1:35" ht="14.4" hidden="1" x14ac:dyDescent="0.3">
      <c r="A177" s="560" t="s">
        <v>568</v>
      </c>
      <c r="B177" s="557" t="str">
        <f t="shared" si="88"/>
        <v>2000s</v>
      </c>
      <c r="C177" s="561">
        <v>2011</v>
      </c>
      <c r="D177" s="562">
        <f t="shared" si="64"/>
        <v>2005</v>
      </c>
      <c r="E177" s="563">
        <f t="shared" si="65"/>
        <v>2008</v>
      </c>
      <c r="F177" s="586">
        <f t="shared" si="66"/>
        <v>187365</v>
      </c>
      <c r="G177" s="587">
        <f t="shared" si="67"/>
        <v>196529</v>
      </c>
      <c r="H177" s="587">
        <f t="shared" si="68"/>
        <v>194960</v>
      </c>
      <c r="I177" s="2121">
        <f t="shared" si="69"/>
        <v>111508</v>
      </c>
      <c r="J177" s="2125">
        <f t="shared" si="70"/>
        <v>0.76317320393399535</v>
      </c>
      <c r="K177" s="590">
        <f t="shared" si="71"/>
        <v>171572</v>
      </c>
      <c r="L177" s="591">
        <f t="shared" si="79"/>
        <v>149985.66659594417</v>
      </c>
      <c r="M177" s="589">
        <f t="shared" si="96"/>
        <v>111508</v>
      </c>
      <c r="N177" s="591">
        <f t="shared" si="97"/>
        <v>21914555732</v>
      </c>
      <c r="O177" s="569">
        <f t="shared" si="72"/>
        <v>7.9428481292837198E-3</v>
      </c>
      <c r="P177" s="592">
        <f t="shared" si="73"/>
        <v>0.76317320393399535</v>
      </c>
      <c r="Q177" s="593">
        <f t="shared" si="74"/>
        <v>0.85363401434282982</v>
      </c>
      <c r="R177" s="572">
        <f t="shared" si="75"/>
        <v>0.7679999999999999</v>
      </c>
      <c r="S177" s="573">
        <f t="shared" si="76"/>
        <v>0.17662597455888387</v>
      </c>
      <c r="T177" s="574">
        <v>2.2999999999999998</v>
      </c>
      <c r="U177" s="557">
        <f t="shared" si="77"/>
        <v>5.9999999999999982</v>
      </c>
      <c r="V177" s="575">
        <f t="shared" si="78"/>
        <v>2</v>
      </c>
      <c r="W177" s="594">
        <v>2E-3</v>
      </c>
      <c r="X177" s="595">
        <f t="shared" si="87"/>
        <v>393.05799999999999</v>
      </c>
      <c r="Y177" s="594">
        <v>0</v>
      </c>
      <c r="Z177" s="577">
        <f t="shared" si="85"/>
        <v>0</v>
      </c>
      <c r="AA177" s="2325" t="s">
        <v>1331</v>
      </c>
      <c r="AB177" s="597">
        <f t="shared" si="89"/>
        <v>299.97133319188833</v>
      </c>
      <c r="AC177" s="597">
        <f t="shared" si="90"/>
        <v>43829111.464000002</v>
      </c>
      <c r="AD177" s="597">
        <f>IF(Y177,L177*Y177,0)</f>
        <v>0</v>
      </c>
      <c r="AE177" s="610">
        <f t="shared" si="86"/>
        <v>0</v>
      </c>
      <c r="AF177" s="572">
        <f t="shared" si="92"/>
        <v>0</v>
      </c>
      <c r="AG177" s="572">
        <f t="shared" si="93"/>
        <v>0</v>
      </c>
      <c r="AH177" s="600">
        <f t="shared" si="94"/>
        <v>0</v>
      </c>
    </row>
    <row r="178" spans="1:35" ht="14.4" hidden="1" x14ac:dyDescent="0.3">
      <c r="A178" s="560" t="s">
        <v>568</v>
      </c>
      <c r="B178" s="557" t="str">
        <f t="shared" si="88"/>
        <v>2010s</v>
      </c>
      <c r="C178" s="561">
        <v>2012</v>
      </c>
      <c r="D178" s="562">
        <f t="shared" si="64"/>
        <v>2009</v>
      </c>
      <c r="E178" s="563">
        <f t="shared" si="65"/>
        <v>2011</v>
      </c>
      <c r="F178" s="586">
        <f t="shared" si="66"/>
        <v>521159</v>
      </c>
      <c r="G178" s="587">
        <f t="shared" si="67"/>
        <v>550232</v>
      </c>
      <c r="H178" s="587">
        <f t="shared" si="68"/>
        <v>545637</v>
      </c>
      <c r="I178" s="2121">
        <f t="shared" si="69"/>
        <v>326107</v>
      </c>
      <c r="J178" s="2125">
        <f t="shared" si="70"/>
        <v>0.79418196873021285</v>
      </c>
      <c r="K178" s="590">
        <f t="shared" si="71"/>
        <v>461765</v>
      </c>
      <c r="L178" s="591">
        <f t="shared" si="79"/>
        <v>436984.33301836246</v>
      </c>
      <c r="M178" s="589">
        <f t="shared" si="96"/>
        <v>326107</v>
      </c>
      <c r="N178" s="591">
        <f t="shared" si="97"/>
        <v>179434506824</v>
      </c>
      <c r="O178" s="569">
        <f t="shared" si="72"/>
        <v>9.3051658209627943E-4</v>
      </c>
      <c r="P178" s="592">
        <f t="shared" si="73"/>
        <v>0.79418196873021285</v>
      </c>
      <c r="Q178" s="593">
        <f t="shared" si="74"/>
        <v>0.88812599785679791</v>
      </c>
      <c r="R178" s="572">
        <f t="shared" si="75"/>
        <v>0.82400000000000007</v>
      </c>
      <c r="S178" s="573">
        <f t="shared" si="76"/>
        <v>0.16339251187144566</v>
      </c>
      <c r="T178" s="574">
        <v>1.1000000000000001</v>
      </c>
      <c r="U178" s="557">
        <f t="shared" si="77"/>
        <v>3.0000000000000009</v>
      </c>
      <c r="V178" s="575">
        <f t="shared" si="78"/>
        <v>1</v>
      </c>
      <c r="W178" s="594">
        <v>1.7000000000000001E-2</v>
      </c>
      <c r="X178" s="595">
        <f t="shared" si="87"/>
        <v>9353.9440000000013</v>
      </c>
      <c r="Y178" s="594">
        <v>3.0000000000000001E-3</v>
      </c>
      <c r="Z178" s="577">
        <f t="shared" si="85"/>
        <v>1385.2950000000001</v>
      </c>
      <c r="AA178" s="2325" t="s">
        <v>1331</v>
      </c>
      <c r="AB178" s="597">
        <f t="shared" si="89"/>
        <v>7428.7336613121624</v>
      </c>
      <c r="AC178" s="597">
        <f t="shared" si="90"/>
        <v>3050386616.0080004</v>
      </c>
      <c r="AD178" s="597">
        <f t="shared" si="91"/>
        <v>1310.9529990550875</v>
      </c>
      <c r="AE178" s="610">
        <f t="shared" si="86"/>
        <v>1310.9529990550875</v>
      </c>
      <c r="AF178" s="572">
        <f t="shared" si="92"/>
        <v>978.32100000000003</v>
      </c>
      <c r="AG178" s="572">
        <f t="shared" si="93"/>
        <v>2.4720000000000002E-3</v>
      </c>
      <c r="AH178" s="600">
        <f t="shared" si="94"/>
        <v>2.6427355134903521E-7</v>
      </c>
      <c r="AI178" s="559" t="s">
        <v>606</v>
      </c>
    </row>
    <row r="179" spans="1:35" ht="14.4" hidden="1" x14ac:dyDescent="0.3">
      <c r="A179" s="560" t="s">
        <v>568</v>
      </c>
      <c r="B179" s="557" t="str">
        <f t="shared" si="88"/>
        <v>2010s</v>
      </c>
      <c r="C179" s="561">
        <v>2012</v>
      </c>
      <c r="D179" s="562">
        <f t="shared" si="64"/>
        <v>2008</v>
      </c>
      <c r="E179" s="563">
        <f t="shared" si="65"/>
        <v>2010</v>
      </c>
      <c r="F179" s="586">
        <f t="shared" si="66"/>
        <v>521159</v>
      </c>
      <c r="G179" s="587">
        <f t="shared" si="67"/>
        <v>550232</v>
      </c>
      <c r="H179" s="587">
        <f t="shared" si="68"/>
        <v>545637</v>
      </c>
      <c r="I179" s="2121">
        <f t="shared" si="69"/>
        <v>326107</v>
      </c>
      <c r="J179" s="2125">
        <f t="shared" si="70"/>
        <v>0.79418196873021285</v>
      </c>
      <c r="K179" s="590">
        <f t="shared" si="71"/>
        <v>461765</v>
      </c>
      <c r="L179" s="591">
        <f t="shared" si="79"/>
        <v>436984.33301836246</v>
      </c>
      <c r="M179" s="589">
        <f t="shared" si="96"/>
        <v>326107</v>
      </c>
      <c r="N179" s="591">
        <f t="shared" si="97"/>
        <v>179434506824</v>
      </c>
      <c r="O179" s="569">
        <f t="shared" si="72"/>
        <v>9.3051658209627943E-4</v>
      </c>
      <c r="P179" s="592">
        <f t="shared" si="73"/>
        <v>0.79418196873021285</v>
      </c>
      <c r="Q179" s="593">
        <f t="shared" si="74"/>
        <v>0.88812599785679791</v>
      </c>
      <c r="R179" s="572">
        <f t="shared" si="75"/>
        <v>0.82400000000000007</v>
      </c>
      <c r="S179" s="573">
        <f t="shared" si="76"/>
        <v>0.16339251187144566</v>
      </c>
      <c r="T179" s="574">
        <v>1.2</v>
      </c>
      <c r="U179" s="557">
        <f t="shared" si="77"/>
        <v>3.9999999999999996</v>
      </c>
      <c r="V179" s="575">
        <f t="shared" si="78"/>
        <v>1</v>
      </c>
      <c r="W179" s="594">
        <v>0.96</v>
      </c>
      <c r="X179" s="595">
        <f t="shared" si="87"/>
        <v>528222.71999999997</v>
      </c>
      <c r="Y179" s="594">
        <v>0.97099999999999997</v>
      </c>
      <c r="Z179" s="577">
        <f t="shared" si="85"/>
        <v>448373.815</v>
      </c>
      <c r="AA179" s="2325" t="s">
        <v>1331</v>
      </c>
      <c r="AB179" s="597">
        <f t="shared" si="89"/>
        <v>419504.95969762793</v>
      </c>
      <c r="AC179" s="597">
        <f t="shared" si="90"/>
        <v>172257126551.04001</v>
      </c>
      <c r="AD179" s="597">
        <f t="shared" si="91"/>
        <v>424311.78736082994</v>
      </c>
      <c r="AE179" s="610">
        <f t="shared" si="86"/>
        <v>424311.78736082994</v>
      </c>
      <c r="AF179" s="572">
        <f t="shared" si="92"/>
        <v>316649.897</v>
      </c>
      <c r="AG179" s="572">
        <f t="shared" si="93"/>
        <v>0.80010400000000004</v>
      </c>
      <c r="AH179" s="600">
        <f t="shared" si="94"/>
        <v>1.5147095528189322E-6</v>
      </c>
      <c r="AI179" s="559" t="s">
        <v>606</v>
      </c>
    </row>
    <row r="180" spans="1:35" ht="14.4" hidden="1" x14ac:dyDescent="0.3">
      <c r="A180" s="560" t="s">
        <v>568</v>
      </c>
      <c r="B180" s="557" t="str">
        <f t="shared" si="88"/>
        <v>2000s</v>
      </c>
      <c r="C180" s="561">
        <v>2012</v>
      </c>
      <c r="D180" s="562">
        <f t="shared" si="64"/>
        <v>2007</v>
      </c>
      <c r="E180" s="563">
        <f t="shared" si="65"/>
        <v>2009</v>
      </c>
      <c r="F180" s="586">
        <f t="shared" si="66"/>
        <v>521159</v>
      </c>
      <c r="G180" s="587">
        <f t="shared" si="67"/>
        <v>550232</v>
      </c>
      <c r="H180" s="587">
        <f t="shared" si="68"/>
        <v>545637</v>
      </c>
      <c r="I180" s="2121">
        <f t="shared" si="69"/>
        <v>326107</v>
      </c>
      <c r="J180" s="2125">
        <f t="shared" si="70"/>
        <v>0.79418196873021285</v>
      </c>
      <c r="K180" s="590">
        <f t="shared" si="71"/>
        <v>461765</v>
      </c>
      <c r="L180" s="591">
        <f t="shared" si="79"/>
        <v>436984.33301836246</v>
      </c>
      <c r="M180" s="589">
        <f t="shared" si="96"/>
        <v>326107</v>
      </c>
      <c r="N180" s="591">
        <f t="shared" si="97"/>
        <v>179434506824</v>
      </c>
      <c r="O180" s="569">
        <f t="shared" si="72"/>
        <v>9.3051658209627943E-4</v>
      </c>
      <c r="P180" s="592">
        <f t="shared" si="73"/>
        <v>0.79418196873021285</v>
      </c>
      <c r="Q180" s="593">
        <f t="shared" si="74"/>
        <v>0.88812599785679791</v>
      </c>
      <c r="R180" s="572">
        <f t="shared" si="75"/>
        <v>0.82400000000000007</v>
      </c>
      <c r="S180" s="573">
        <f t="shared" si="76"/>
        <v>0.16339251187144566</v>
      </c>
      <c r="T180" s="574">
        <v>1.3</v>
      </c>
      <c r="U180" s="557">
        <f t="shared" si="77"/>
        <v>5</v>
      </c>
      <c r="V180" s="575">
        <f t="shared" si="78"/>
        <v>1</v>
      </c>
      <c r="W180" s="594">
        <v>1.7000000000000001E-2</v>
      </c>
      <c r="X180" s="595">
        <f t="shared" si="87"/>
        <v>9353.9440000000013</v>
      </c>
      <c r="Y180" s="594">
        <v>7.0000000000000001E-3</v>
      </c>
      <c r="Z180" s="577">
        <f t="shared" si="85"/>
        <v>3232.355</v>
      </c>
      <c r="AA180" s="2325" t="s">
        <v>1331</v>
      </c>
      <c r="AB180" s="597">
        <f t="shared" si="89"/>
        <v>7428.7336613121624</v>
      </c>
      <c r="AC180" s="597">
        <f t="shared" si="90"/>
        <v>3050386616.0080004</v>
      </c>
      <c r="AD180" s="597">
        <f t="shared" si="91"/>
        <v>3058.8903311285371</v>
      </c>
      <c r="AE180" s="610">
        <f t="shared" si="86"/>
        <v>3058.8903311285371</v>
      </c>
      <c r="AF180" s="572">
        <f t="shared" si="92"/>
        <v>2282.7490000000003</v>
      </c>
      <c r="AG180" s="572">
        <f t="shared" si="93"/>
        <v>5.7680000000000006E-3</v>
      </c>
      <c r="AH180" s="600">
        <f t="shared" si="94"/>
        <v>6.1663828648108213E-7</v>
      </c>
      <c r="AI180" s="559" t="s">
        <v>606</v>
      </c>
    </row>
    <row r="181" spans="1:35" ht="14.4" hidden="1" x14ac:dyDescent="0.3">
      <c r="A181" s="560" t="s">
        <v>568</v>
      </c>
      <c r="B181" s="557" t="str">
        <f t="shared" si="88"/>
        <v>2010s</v>
      </c>
      <c r="C181" s="561">
        <v>2012</v>
      </c>
      <c r="D181" s="562">
        <f t="shared" si="64"/>
        <v>2008</v>
      </c>
      <c r="E181" s="563">
        <f t="shared" si="65"/>
        <v>2011</v>
      </c>
      <c r="F181" s="586">
        <f t="shared" si="66"/>
        <v>521159</v>
      </c>
      <c r="G181" s="587">
        <f t="shared" si="67"/>
        <v>550232</v>
      </c>
      <c r="H181" s="587">
        <f t="shared" si="68"/>
        <v>545637</v>
      </c>
      <c r="I181" s="2121">
        <f t="shared" si="69"/>
        <v>326107</v>
      </c>
      <c r="J181" s="2125">
        <f t="shared" si="70"/>
        <v>0.79418196873021285</v>
      </c>
      <c r="K181" s="590">
        <f t="shared" si="71"/>
        <v>461765</v>
      </c>
      <c r="L181" s="591">
        <f t="shared" si="79"/>
        <v>436984.33301836246</v>
      </c>
      <c r="M181" s="589">
        <f t="shared" si="96"/>
        <v>326107</v>
      </c>
      <c r="N181" s="591">
        <f t="shared" si="97"/>
        <v>179434506824</v>
      </c>
      <c r="O181" s="569">
        <f t="shared" si="72"/>
        <v>9.3051658209627943E-4</v>
      </c>
      <c r="P181" s="592">
        <f t="shared" si="73"/>
        <v>0.79418196873021285</v>
      </c>
      <c r="Q181" s="593">
        <f t="shared" si="74"/>
        <v>0.88812599785679791</v>
      </c>
      <c r="R181" s="572">
        <f t="shared" si="75"/>
        <v>0.82400000000000007</v>
      </c>
      <c r="S181" s="573">
        <f t="shared" si="76"/>
        <v>0.16339251187144566</v>
      </c>
      <c r="T181" s="574">
        <v>2.1</v>
      </c>
      <c r="U181" s="557">
        <f t="shared" si="77"/>
        <v>4.0000000000000009</v>
      </c>
      <c r="V181" s="575">
        <f t="shared" si="78"/>
        <v>2</v>
      </c>
      <c r="W181" s="594">
        <v>1E-3</v>
      </c>
      <c r="X181" s="595">
        <f t="shared" si="87"/>
        <v>550.23199999999997</v>
      </c>
      <c r="Y181" s="594">
        <v>7.0000000000000001E-3</v>
      </c>
      <c r="Z181" s="577">
        <f t="shared" si="85"/>
        <v>3232.355</v>
      </c>
      <c r="AA181" s="2325" t="s">
        <v>1331</v>
      </c>
      <c r="AB181" s="597">
        <f t="shared" si="89"/>
        <v>436.98433301836246</v>
      </c>
      <c r="AC181" s="597">
        <f t="shared" si="90"/>
        <v>179434506.824</v>
      </c>
      <c r="AD181" s="597">
        <f t="shared" si="91"/>
        <v>3058.8903311285371</v>
      </c>
      <c r="AE181" s="610">
        <f t="shared" si="86"/>
        <v>3058.8903311285371</v>
      </c>
      <c r="AF181" s="572">
        <f t="shared" si="92"/>
        <v>2282.7490000000003</v>
      </c>
      <c r="AG181" s="572">
        <f t="shared" si="93"/>
        <v>5.7680000000000006E-3</v>
      </c>
      <c r="AH181" s="600">
        <f t="shared" si="94"/>
        <v>1.0482850870178399E-5</v>
      </c>
      <c r="AI181" s="559" t="s">
        <v>606</v>
      </c>
    </row>
    <row r="182" spans="1:35" ht="14.4" hidden="1" x14ac:dyDescent="0.3">
      <c r="A182" s="560" t="s">
        <v>568</v>
      </c>
      <c r="B182" s="557" t="str">
        <f t="shared" si="88"/>
        <v>2010s</v>
      </c>
      <c r="C182" s="561">
        <v>2012</v>
      </c>
      <c r="D182" s="562">
        <f t="shared" si="64"/>
        <v>2007</v>
      </c>
      <c r="E182" s="563">
        <f t="shared" si="65"/>
        <v>2010</v>
      </c>
      <c r="F182" s="586">
        <f t="shared" si="66"/>
        <v>521159</v>
      </c>
      <c r="G182" s="587">
        <f t="shared" si="67"/>
        <v>550232</v>
      </c>
      <c r="H182" s="587">
        <f t="shared" si="68"/>
        <v>545637</v>
      </c>
      <c r="I182" s="2121">
        <f t="shared" si="69"/>
        <v>326107</v>
      </c>
      <c r="J182" s="2125">
        <f t="shared" si="70"/>
        <v>0.79418196873021285</v>
      </c>
      <c r="K182" s="590">
        <f t="shared" si="71"/>
        <v>461765</v>
      </c>
      <c r="L182" s="591">
        <f t="shared" si="79"/>
        <v>436984.33301836246</v>
      </c>
      <c r="M182" s="589">
        <f t="shared" si="96"/>
        <v>326107</v>
      </c>
      <c r="N182" s="591">
        <f t="shared" si="97"/>
        <v>179434506824</v>
      </c>
      <c r="O182" s="569">
        <f t="shared" si="72"/>
        <v>9.3051658209627943E-4</v>
      </c>
      <c r="P182" s="592">
        <f t="shared" si="73"/>
        <v>0.79418196873021285</v>
      </c>
      <c r="Q182" s="593">
        <f t="shared" si="74"/>
        <v>0.88812599785679791</v>
      </c>
      <c r="R182" s="572">
        <f t="shared" si="75"/>
        <v>0.82400000000000007</v>
      </c>
      <c r="S182" s="573">
        <f t="shared" si="76"/>
        <v>0.16339251187144566</v>
      </c>
      <c r="T182" s="574">
        <v>2.2000000000000002</v>
      </c>
      <c r="U182" s="557">
        <f t="shared" si="77"/>
        <v>5.0000000000000018</v>
      </c>
      <c r="V182" s="575">
        <f t="shared" si="78"/>
        <v>2</v>
      </c>
      <c r="W182" s="594">
        <v>6.0000000000000001E-3</v>
      </c>
      <c r="X182" s="595">
        <f t="shared" si="87"/>
        <v>3301.3920000000003</v>
      </c>
      <c r="Y182" s="594">
        <v>1.2E-2</v>
      </c>
      <c r="Z182" s="577">
        <f t="shared" si="85"/>
        <v>5541.18</v>
      </c>
      <c r="AA182" s="2325" t="s">
        <v>1331</v>
      </c>
      <c r="AB182" s="597">
        <f t="shared" si="89"/>
        <v>2621.905998110175</v>
      </c>
      <c r="AC182" s="597">
        <f t="shared" si="90"/>
        <v>1076607040.944</v>
      </c>
      <c r="AD182" s="597">
        <f t="shared" si="91"/>
        <v>5243.81199622035</v>
      </c>
      <c r="AE182" s="610">
        <f t="shared" si="86"/>
        <v>5243.81199622035</v>
      </c>
      <c r="AF182" s="572">
        <f t="shared" si="92"/>
        <v>3913.2840000000001</v>
      </c>
      <c r="AG182" s="572">
        <f t="shared" si="93"/>
        <v>9.888000000000001E-3</v>
      </c>
      <c r="AH182" s="600">
        <f t="shared" si="94"/>
        <v>2.9951002486223994E-6</v>
      </c>
      <c r="AI182" s="559" t="s">
        <v>606</v>
      </c>
    </row>
    <row r="183" spans="1:35" ht="14.4" hidden="1" x14ac:dyDescent="0.3">
      <c r="A183" s="560" t="s">
        <v>568</v>
      </c>
      <c r="B183" s="557" t="str">
        <f t="shared" si="88"/>
        <v>2010s</v>
      </c>
      <c r="C183" s="561">
        <v>2013</v>
      </c>
      <c r="D183" s="562">
        <f t="shared" si="64"/>
        <v>2010</v>
      </c>
      <c r="E183" s="563">
        <f t="shared" si="65"/>
        <v>2012</v>
      </c>
      <c r="F183" s="586">
        <f t="shared" si="66"/>
        <v>186191</v>
      </c>
      <c r="G183" s="587">
        <f t="shared" si="67"/>
        <v>195327</v>
      </c>
      <c r="H183" s="587">
        <f t="shared" si="68"/>
        <v>194651</v>
      </c>
      <c r="I183" s="2121">
        <f t="shared" si="69"/>
        <v>129993</v>
      </c>
      <c r="J183" s="2125">
        <f t="shared" si="70"/>
        <v>0.81644150509675351</v>
      </c>
      <c r="K183" s="590">
        <f t="shared" si="71"/>
        <v>159339</v>
      </c>
      <c r="L183" s="591">
        <f t="shared" si="79"/>
        <v>159473.06986603356</v>
      </c>
      <c r="M183" s="589">
        <f t="shared" si="96"/>
        <v>129993</v>
      </c>
      <c r="N183" s="591">
        <f t="shared" si="97"/>
        <v>25391142711</v>
      </c>
      <c r="O183" s="569">
        <f t="shared" si="72"/>
        <v>5.1759357385307717E-3</v>
      </c>
      <c r="P183" s="592">
        <f t="shared" si="73"/>
        <v>0.81644150509675351</v>
      </c>
      <c r="Q183" s="593">
        <f t="shared" si="74"/>
        <v>0.83868307496053995</v>
      </c>
      <c r="R183" s="572">
        <f t="shared" si="75"/>
        <v>0.7</v>
      </c>
      <c r="S183" s="573">
        <f t="shared" si="76"/>
        <v>0.13549891857735125</v>
      </c>
      <c r="T183" s="602">
        <v>1.1000000000000001</v>
      </c>
      <c r="U183" s="557">
        <f t="shared" si="77"/>
        <v>3.0000000000000009</v>
      </c>
      <c r="V183" s="575">
        <f t="shared" si="78"/>
        <v>1</v>
      </c>
      <c r="W183" s="617">
        <v>0.23499999999999999</v>
      </c>
      <c r="X183" s="618">
        <f t="shared" si="87"/>
        <v>45901.844999999994</v>
      </c>
      <c r="Y183" s="619">
        <v>0.17100000000000001</v>
      </c>
      <c r="Z183" s="596">
        <f>K183*W183</f>
        <v>37444.665000000001</v>
      </c>
      <c r="AA183" s="2326" t="s">
        <v>1330</v>
      </c>
      <c r="AB183" s="597">
        <f t="shared" si="89"/>
        <v>37476.171418517886</v>
      </c>
      <c r="AC183" s="597">
        <f t="shared" si="90"/>
        <v>5966918537.085</v>
      </c>
      <c r="AD183" s="597">
        <f t="shared" si="91"/>
        <v>27269.89494709174</v>
      </c>
      <c r="AE183" s="610">
        <f t="shared" si="86"/>
        <v>27269.89494709174</v>
      </c>
      <c r="AF183" s="572">
        <f t="shared" si="92"/>
        <v>22228.803</v>
      </c>
      <c r="AG183" s="572">
        <f t="shared" si="93"/>
        <v>0.1197</v>
      </c>
      <c r="AH183" s="600">
        <f t="shared" si="94"/>
        <v>2.607738316401008E-6</v>
      </c>
      <c r="AI183" s="559" t="s">
        <v>607</v>
      </c>
    </row>
    <row r="184" spans="1:35" ht="14.4" hidden="1" x14ac:dyDescent="0.3">
      <c r="A184" s="560" t="s">
        <v>568</v>
      </c>
      <c r="B184" s="557" t="str">
        <f t="shared" si="88"/>
        <v>2010s</v>
      </c>
      <c r="C184" s="561">
        <v>2013</v>
      </c>
      <c r="D184" s="562">
        <f t="shared" si="64"/>
        <v>2009</v>
      </c>
      <c r="E184" s="563">
        <f t="shared" si="65"/>
        <v>2011</v>
      </c>
      <c r="F184" s="586">
        <f t="shared" si="66"/>
        <v>186191</v>
      </c>
      <c r="G184" s="587">
        <f t="shared" si="67"/>
        <v>195327</v>
      </c>
      <c r="H184" s="587">
        <f t="shared" si="68"/>
        <v>194651</v>
      </c>
      <c r="I184" s="588">
        <f t="shared" si="69"/>
        <v>129993</v>
      </c>
      <c r="J184" s="589">
        <f t="shared" si="70"/>
        <v>0.81644150509675351</v>
      </c>
      <c r="K184" s="590">
        <f t="shared" si="71"/>
        <v>159339</v>
      </c>
      <c r="L184" s="591">
        <f t="shared" si="79"/>
        <v>159473.06986603356</v>
      </c>
      <c r="M184" s="589">
        <f t="shared" si="96"/>
        <v>129993</v>
      </c>
      <c r="N184" s="591">
        <f t="shared" si="97"/>
        <v>25391142711</v>
      </c>
      <c r="O184" s="569">
        <f t="shared" si="72"/>
        <v>5.1759357385307717E-3</v>
      </c>
      <c r="P184" s="592">
        <f t="shared" si="73"/>
        <v>0.81644150509675351</v>
      </c>
      <c r="Q184" s="593">
        <f t="shared" si="74"/>
        <v>0.83868307496053995</v>
      </c>
      <c r="R184" s="572">
        <f t="shared" si="75"/>
        <v>0.7</v>
      </c>
      <c r="S184" s="573">
        <f t="shared" si="76"/>
        <v>0.13549891857735125</v>
      </c>
      <c r="T184" s="574">
        <v>1.2</v>
      </c>
      <c r="U184" s="557">
        <f t="shared" si="77"/>
        <v>3.9999999999999996</v>
      </c>
      <c r="V184" s="575">
        <f t="shared" si="78"/>
        <v>1</v>
      </c>
      <c r="W184" s="617">
        <v>0.63400000000000001</v>
      </c>
      <c r="X184" s="618">
        <f t="shared" si="87"/>
        <v>123837.318</v>
      </c>
      <c r="Y184" s="619">
        <v>0.57299999999999995</v>
      </c>
      <c r="Z184" s="596">
        <f>K184*W184</f>
        <v>101020.92600000001</v>
      </c>
      <c r="AA184" s="2326" t="s">
        <v>1330</v>
      </c>
      <c r="AB184" s="597">
        <f t="shared" si="89"/>
        <v>101105.92629506528</v>
      </c>
      <c r="AC184" s="597">
        <f t="shared" si="90"/>
        <v>16097984478.774</v>
      </c>
      <c r="AD184" s="597">
        <f t="shared" si="91"/>
        <v>91378.069033237218</v>
      </c>
      <c r="AE184" s="610">
        <f t="shared" si="86"/>
        <v>91378.069033237218</v>
      </c>
      <c r="AF184" s="572">
        <f t="shared" si="92"/>
        <v>74485.988999999987</v>
      </c>
      <c r="AG184" s="572">
        <f t="shared" si="93"/>
        <v>0.40109999999999996</v>
      </c>
      <c r="AH184" s="600">
        <f t="shared" si="94"/>
        <v>3.2389267345082518E-6</v>
      </c>
      <c r="AI184" s="559" t="s">
        <v>607</v>
      </c>
    </row>
    <row r="185" spans="1:35" ht="14.4" hidden="1" x14ac:dyDescent="0.3">
      <c r="A185" s="560" t="s">
        <v>568</v>
      </c>
      <c r="B185" s="557" t="str">
        <f t="shared" si="88"/>
        <v>2010s</v>
      </c>
      <c r="C185" s="561">
        <v>2013</v>
      </c>
      <c r="D185" s="562">
        <f t="shared" si="64"/>
        <v>2008</v>
      </c>
      <c r="E185" s="563">
        <f t="shared" si="65"/>
        <v>2010</v>
      </c>
      <c r="F185" s="586">
        <f t="shared" si="66"/>
        <v>186191</v>
      </c>
      <c r="G185" s="587">
        <f t="shared" si="67"/>
        <v>195327</v>
      </c>
      <c r="H185" s="587">
        <f t="shared" si="68"/>
        <v>194651</v>
      </c>
      <c r="I185" s="588">
        <f t="shared" si="69"/>
        <v>129993</v>
      </c>
      <c r="J185" s="589">
        <f t="shared" si="70"/>
        <v>0.81644150509675351</v>
      </c>
      <c r="K185" s="590">
        <f t="shared" si="71"/>
        <v>159339</v>
      </c>
      <c r="L185" s="591">
        <f t="shared" si="79"/>
        <v>159473.06986603356</v>
      </c>
      <c r="M185" s="589">
        <f t="shared" si="96"/>
        <v>129993</v>
      </c>
      <c r="N185" s="591">
        <f t="shared" si="97"/>
        <v>25391142711</v>
      </c>
      <c r="O185" s="569">
        <f t="shared" si="72"/>
        <v>5.1759357385307717E-3</v>
      </c>
      <c r="P185" s="592">
        <f t="shared" si="73"/>
        <v>0.81644150509675351</v>
      </c>
      <c r="Q185" s="593">
        <f t="shared" si="74"/>
        <v>0.83868307496053995</v>
      </c>
      <c r="R185" s="572">
        <f t="shared" si="75"/>
        <v>0.7</v>
      </c>
      <c r="S185" s="573">
        <f t="shared" si="76"/>
        <v>0.13549891857735125</v>
      </c>
      <c r="T185" s="574">
        <v>1.3</v>
      </c>
      <c r="U185" s="557">
        <f t="shared" si="77"/>
        <v>5</v>
      </c>
      <c r="V185" s="575">
        <f t="shared" si="78"/>
        <v>1</v>
      </c>
      <c r="W185" s="604">
        <v>8.1000000000000003E-2</v>
      </c>
      <c r="X185" s="595">
        <f t="shared" si="87"/>
        <v>15821.487000000001</v>
      </c>
      <c r="Y185" s="605">
        <v>2.4E-2</v>
      </c>
      <c r="Z185" s="596">
        <f>K185*W185</f>
        <v>12906.459000000001</v>
      </c>
      <c r="AA185" s="2326" t="s">
        <v>1330</v>
      </c>
      <c r="AB185" s="597">
        <f t="shared" si="89"/>
        <v>12917.318659148719</v>
      </c>
      <c r="AC185" s="597">
        <f t="shared" si="90"/>
        <v>2056682559.5910001</v>
      </c>
      <c r="AD185" s="597">
        <f t="shared" si="91"/>
        <v>3827.3536767848054</v>
      </c>
      <c r="AE185" s="610">
        <f t="shared" si="86"/>
        <v>3827.3536767848054</v>
      </c>
      <c r="AF185" s="572">
        <f t="shared" si="92"/>
        <v>3119.8319999999999</v>
      </c>
      <c r="AG185" s="572">
        <f t="shared" si="93"/>
        <v>1.6799999999999999E-2</v>
      </c>
      <c r="AH185" s="600">
        <f t="shared" si="94"/>
        <v>1.0618470943976378E-6</v>
      </c>
      <c r="AI185" s="559" t="s">
        <v>607</v>
      </c>
    </row>
    <row r="186" spans="1:35" ht="14.4" hidden="1" x14ac:dyDescent="0.3">
      <c r="A186" s="560" t="s">
        <v>568</v>
      </c>
      <c r="B186" s="557" t="str">
        <f t="shared" si="88"/>
        <v>2010s</v>
      </c>
      <c r="C186" s="561">
        <v>2013</v>
      </c>
      <c r="D186" s="562">
        <f t="shared" si="64"/>
        <v>2009</v>
      </c>
      <c r="E186" s="563">
        <f t="shared" si="65"/>
        <v>2012</v>
      </c>
      <c r="F186" s="586">
        <f t="shared" si="66"/>
        <v>186191</v>
      </c>
      <c r="G186" s="587">
        <f t="shared" si="67"/>
        <v>195327</v>
      </c>
      <c r="H186" s="587">
        <f t="shared" si="68"/>
        <v>194651</v>
      </c>
      <c r="I186" s="588">
        <f t="shared" si="69"/>
        <v>129993</v>
      </c>
      <c r="J186" s="589">
        <f t="shared" si="70"/>
        <v>0.81644150509675351</v>
      </c>
      <c r="K186" s="590">
        <f t="shared" si="71"/>
        <v>159339</v>
      </c>
      <c r="L186" s="591">
        <f t="shared" si="79"/>
        <v>159473.06986603356</v>
      </c>
      <c r="M186" s="589">
        <f t="shared" si="96"/>
        <v>129993</v>
      </c>
      <c r="N186" s="591">
        <f t="shared" si="97"/>
        <v>25391142711</v>
      </c>
      <c r="O186" s="569">
        <f t="shared" si="72"/>
        <v>5.1759357385307717E-3</v>
      </c>
      <c r="P186" s="592">
        <f t="shared" si="73"/>
        <v>0.81644150509675351</v>
      </c>
      <c r="Q186" s="593">
        <f t="shared" si="74"/>
        <v>0.83868307496053995</v>
      </c>
      <c r="R186" s="572">
        <f t="shared" si="75"/>
        <v>0.7</v>
      </c>
      <c r="S186" s="573">
        <f t="shared" si="76"/>
        <v>0.13549891857735125</v>
      </c>
      <c r="T186" s="574">
        <v>2.1</v>
      </c>
      <c r="U186" s="557">
        <f t="shared" si="77"/>
        <v>4.0000000000000009</v>
      </c>
      <c r="V186" s="575">
        <f t="shared" si="78"/>
        <v>2</v>
      </c>
      <c r="W186" s="594">
        <v>0</v>
      </c>
      <c r="X186" s="595">
        <f t="shared" si="87"/>
        <v>0</v>
      </c>
      <c r="Y186" s="594">
        <v>1.2E-2</v>
      </c>
      <c r="Z186" s="596">
        <f>K186*W186</f>
        <v>0</v>
      </c>
      <c r="AA186" s="2326" t="s">
        <v>1330</v>
      </c>
      <c r="AB186" s="597">
        <f t="shared" si="89"/>
        <v>0</v>
      </c>
      <c r="AC186" s="597">
        <f t="shared" si="90"/>
        <v>0</v>
      </c>
      <c r="AD186" s="597">
        <f t="shared" si="91"/>
        <v>1913.6768383924027</v>
      </c>
      <c r="AE186" s="610">
        <f t="shared" si="86"/>
        <v>1913.6768383924027</v>
      </c>
      <c r="AF186" s="572">
        <f t="shared" si="92"/>
        <v>1559.9159999999999</v>
      </c>
      <c r="AG186" s="572">
        <f t="shared" si="93"/>
        <v>8.3999999999999995E-3</v>
      </c>
      <c r="AH186" s="600">
        <f t="shared" si="94"/>
        <v>0</v>
      </c>
      <c r="AI186" s="559" t="s">
        <v>607</v>
      </c>
    </row>
    <row r="187" spans="1:35" ht="14.4" hidden="1" x14ac:dyDescent="0.3">
      <c r="A187" s="560" t="s">
        <v>568</v>
      </c>
      <c r="B187" s="557" t="str">
        <f t="shared" si="88"/>
        <v>2010s</v>
      </c>
      <c r="C187" s="561">
        <v>2013</v>
      </c>
      <c r="D187" s="562">
        <f t="shared" si="64"/>
        <v>2008</v>
      </c>
      <c r="E187" s="563">
        <f t="shared" si="65"/>
        <v>2011</v>
      </c>
      <c r="F187" s="586">
        <f t="shared" si="66"/>
        <v>186191</v>
      </c>
      <c r="G187" s="587">
        <f t="shared" si="67"/>
        <v>195327</v>
      </c>
      <c r="H187" s="587">
        <f t="shared" si="68"/>
        <v>194651</v>
      </c>
      <c r="I187" s="588">
        <f t="shared" si="69"/>
        <v>129993</v>
      </c>
      <c r="J187" s="589">
        <f t="shared" si="70"/>
        <v>0.81644150509675351</v>
      </c>
      <c r="K187" s="590">
        <f t="shared" si="71"/>
        <v>159339</v>
      </c>
      <c r="L187" s="591">
        <f t="shared" si="79"/>
        <v>159473.06986603356</v>
      </c>
      <c r="M187" s="589">
        <f t="shared" si="96"/>
        <v>129993</v>
      </c>
      <c r="N187" s="591">
        <f t="shared" si="97"/>
        <v>25391142711</v>
      </c>
      <c r="O187" s="569">
        <f t="shared" si="72"/>
        <v>5.1759357385307717E-3</v>
      </c>
      <c r="P187" s="592">
        <f t="shared" si="73"/>
        <v>0.81644150509675351</v>
      </c>
      <c r="Q187" s="593">
        <f t="shared" si="74"/>
        <v>0.83868307496053995</v>
      </c>
      <c r="R187" s="572">
        <f t="shared" si="75"/>
        <v>0.7</v>
      </c>
      <c r="S187" s="573">
        <f t="shared" si="76"/>
        <v>0.13549891857735125</v>
      </c>
      <c r="T187" s="574">
        <v>2.2000000000000002</v>
      </c>
      <c r="U187" s="557">
        <f t="shared" si="77"/>
        <v>5.0000000000000018</v>
      </c>
      <c r="V187" s="575">
        <f t="shared" si="78"/>
        <v>2</v>
      </c>
      <c r="W187" s="604">
        <v>0.05</v>
      </c>
      <c r="X187" s="595">
        <f t="shared" si="87"/>
        <v>9766.35</v>
      </c>
      <c r="Y187" s="605">
        <v>0.11</v>
      </c>
      <c r="Z187" s="596">
        <f>K187*W187</f>
        <v>7966.9500000000007</v>
      </c>
      <c r="AA187" s="2326" t="s">
        <v>1330</v>
      </c>
      <c r="AB187" s="597">
        <f t="shared" si="89"/>
        <v>7973.6534933016783</v>
      </c>
      <c r="AC187" s="597">
        <f t="shared" si="90"/>
        <v>1269557135.55</v>
      </c>
      <c r="AD187" s="597">
        <f t="shared" si="91"/>
        <v>17542.037685263691</v>
      </c>
      <c r="AE187" s="610">
        <f t="shared" si="86"/>
        <v>17542.037685263691</v>
      </c>
      <c r="AF187" s="572">
        <f t="shared" si="92"/>
        <v>14299.23</v>
      </c>
      <c r="AG187" s="572">
        <f t="shared" si="93"/>
        <v>7.6999999999999999E-2</v>
      </c>
      <c r="AH187" s="600">
        <f t="shared" si="94"/>
        <v>7.8842146759024609E-6</v>
      </c>
      <c r="AI187" s="559" t="s">
        <v>607</v>
      </c>
    </row>
    <row r="188" spans="1:35" ht="14.4" hidden="1" x14ac:dyDescent="0.3">
      <c r="A188" s="560" t="s">
        <v>568</v>
      </c>
      <c r="B188" s="557" t="str">
        <f t="shared" si="88"/>
        <v>2010s</v>
      </c>
      <c r="C188" s="561">
        <v>2014</v>
      </c>
      <c r="D188" s="562">
        <f t="shared" si="64"/>
        <v>2011</v>
      </c>
      <c r="E188" s="563">
        <f t="shared" si="65"/>
        <v>2013</v>
      </c>
      <c r="F188" s="586">
        <f t="shared" si="66"/>
        <v>651146</v>
      </c>
      <c r="G188" s="587">
        <f t="shared" si="67"/>
        <v>651702</v>
      </c>
      <c r="H188" s="587">
        <f t="shared" si="68"/>
        <v>650354</v>
      </c>
      <c r="I188" s="588">
        <f t="shared" si="69"/>
        <v>490804</v>
      </c>
      <c r="J188" s="589">
        <f t="shared" si="70"/>
        <v>0.84458142108097967</v>
      </c>
      <c r="K188" s="590">
        <f t="shared" si="71"/>
        <v>538819</v>
      </c>
      <c r="L188" s="591">
        <f t="shared" si="79"/>
        <v>550415.40128131665</v>
      </c>
      <c r="M188" s="589">
        <f t="shared" si="96"/>
        <v>490804</v>
      </c>
      <c r="N188" s="591">
        <f t="shared" si="97"/>
        <v>319857948408</v>
      </c>
      <c r="O188" s="569">
        <f t="shared" si="72"/>
        <v>3.8714013460139757E-3</v>
      </c>
      <c r="P188" s="592">
        <f t="shared" si="73"/>
        <v>0.84458142108097967</v>
      </c>
      <c r="Q188" s="593">
        <f t="shared" si="74"/>
        <v>0.84608240013574598</v>
      </c>
      <c r="R188" s="572">
        <f t="shared" si="75"/>
        <v>0.81100000000000017</v>
      </c>
      <c r="S188" s="573">
        <f t="shared" si="76"/>
        <v>5.5366769482466473E-2</v>
      </c>
      <c r="T188" s="602">
        <v>1.1000000000000001</v>
      </c>
      <c r="U188" s="557">
        <f t="shared" si="77"/>
        <v>3.0000000000000009</v>
      </c>
      <c r="V188" s="575">
        <f t="shared" si="78"/>
        <v>1</v>
      </c>
      <c r="W188" s="604">
        <v>0.17499999999999999</v>
      </c>
      <c r="X188" s="595">
        <f t="shared" si="87"/>
        <v>114047.84999999999</v>
      </c>
      <c r="Y188" s="605">
        <v>8.2199999999999995E-2</v>
      </c>
      <c r="Z188" s="577">
        <f t="shared" si="85"/>
        <v>44290.921799999996</v>
      </c>
      <c r="AA188" s="2325" t="s">
        <v>1331</v>
      </c>
      <c r="AB188" s="597">
        <f t="shared" si="89"/>
        <v>96322.695224230411</v>
      </c>
      <c r="AC188" s="597">
        <f t="shared" si="90"/>
        <v>55975140971.399994</v>
      </c>
      <c r="AD188" s="597">
        <f t="shared" si="91"/>
        <v>45244.145985324227</v>
      </c>
      <c r="AE188" s="610">
        <f t="shared" si="86"/>
        <v>45244.145985324227</v>
      </c>
      <c r="AF188" s="572">
        <f t="shared" si="92"/>
        <v>40344.088799999998</v>
      </c>
      <c r="AG188" s="572">
        <f t="shared" si="93"/>
        <v>6.6664200000000007E-2</v>
      </c>
      <c r="AH188" s="600">
        <f t="shared" si="94"/>
        <v>5.8452833613259703E-7</v>
      </c>
      <c r="AI188" s="559" t="s">
        <v>606</v>
      </c>
    </row>
    <row r="189" spans="1:35" ht="14.4" hidden="1" x14ac:dyDescent="0.3">
      <c r="A189" s="560" t="s">
        <v>568</v>
      </c>
      <c r="B189" s="557" t="str">
        <f t="shared" si="88"/>
        <v>2010s</v>
      </c>
      <c r="C189" s="561">
        <v>2014</v>
      </c>
      <c r="D189" s="562">
        <f t="shared" si="64"/>
        <v>2010</v>
      </c>
      <c r="E189" s="563">
        <f t="shared" si="65"/>
        <v>2012</v>
      </c>
      <c r="F189" s="586">
        <f t="shared" si="66"/>
        <v>651146</v>
      </c>
      <c r="G189" s="587">
        <f t="shared" si="67"/>
        <v>651702</v>
      </c>
      <c r="H189" s="587">
        <f t="shared" si="68"/>
        <v>650354</v>
      </c>
      <c r="I189" s="2121">
        <f t="shared" si="69"/>
        <v>490804</v>
      </c>
      <c r="J189" s="2125">
        <f t="shared" si="70"/>
        <v>0.84458142108097967</v>
      </c>
      <c r="K189" s="590">
        <f t="shared" si="71"/>
        <v>538819</v>
      </c>
      <c r="L189" s="591">
        <f t="shared" si="79"/>
        <v>550415.40128131665</v>
      </c>
      <c r="M189" s="589">
        <f t="shared" si="96"/>
        <v>490804</v>
      </c>
      <c r="N189" s="591">
        <f t="shared" si="97"/>
        <v>319857948408</v>
      </c>
      <c r="O189" s="569">
        <f t="shared" si="72"/>
        <v>3.8714013460139757E-3</v>
      </c>
      <c r="P189" s="592">
        <f t="shared" si="73"/>
        <v>0.84458142108097967</v>
      </c>
      <c r="Q189" s="593">
        <f t="shared" si="74"/>
        <v>0.84608240013574598</v>
      </c>
      <c r="R189" s="572">
        <f t="shared" si="75"/>
        <v>0.81100000000000017</v>
      </c>
      <c r="S189" s="573">
        <f t="shared" si="76"/>
        <v>5.5366769482466473E-2</v>
      </c>
      <c r="T189" s="574">
        <v>1.2</v>
      </c>
      <c r="U189" s="557">
        <f t="shared" si="77"/>
        <v>3.9999999999999996</v>
      </c>
      <c r="V189" s="575">
        <f t="shared" si="78"/>
        <v>1</v>
      </c>
      <c r="W189" s="617">
        <v>0.81899999999999995</v>
      </c>
      <c r="X189" s="618">
        <f t="shared" si="87"/>
        <v>533743.93799999997</v>
      </c>
      <c r="Y189" s="619">
        <v>0.88400000000000001</v>
      </c>
      <c r="Z189" s="577">
        <f t="shared" si="85"/>
        <v>476315.99599999998</v>
      </c>
      <c r="AA189" s="2325" t="s">
        <v>1331</v>
      </c>
      <c r="AB189" s="597">
        <f t="shared" si="89"/>
        <v>450790.2136493983</v>
      </c>
      <c r="AC189" s="597">
        <f t="shared" si="90"/>
        <v>261963659746.15198</v>
      </c>
      <c r="AD189" s="597">
        <f t="shared" si="91"/>
        <v>486567.2147326839</v>
      </c>
      <c r="AE189" s="610">
        <f t="shared" si="86"/>
        <v>486567.2147326839</v>
      </c>
      <c r="AF189" s="572">
        <f t="shared" si="92"/>
        <v>433870.73599999998</v>
      </c>
      <c r="AG189" s="572">
        <f t="shared" si="93"/>
        <v>0.71692400000000012</v>
      </c>
      <c r="AH189" s="600">
        <f t="shared" si="94"/>
        <v>1.3431983933839078E-6</v>
      </c>
      <c r="AI189" s="559" t="s">
        <v>606</v>
      </c>
    </row>
    <row r="190" spans="1:35" ht="14.4" hidden="1" x14ac:dyDescent="0.3">
      <c r="A190" s="560" t="s">
        <v>568</v>
      </c>
      <c r="B190" s="557" t="str">
        <f t="shared" si="88"/>
        <v>2010s</v>
      </c>
      <c r="C190" s="561">
        <v>2014</v>
      </c>
      <c r="D190" s="562">
        <f t="shared" si="64"/>
        <v>2009</v>
      </c>
      <c r="E190" s="563">
        <f t="shared" si="65"/>
        <v>2011</v>
      </c>
      <c r="F190" s="586">
        <f t="shared" si="66"/>
        <v>651146</v>
      </c>
      <c r="G190" s="587">
        <f t="shared" si="67"/>
        <v>651702</v>
      </c>
      <c r="H190" s="587">
        <f t="shared" si="68"/>
        <v>650354</v>
      </c>
      <c r="I190" s="588">
        <f t="shared" si="69"/>
        <v>490804</v>
      </c>
      <c r="J190" s="589">
        <f t="shared" si="70"/>
        <v>0.84458142108097967</v>
      </c>
      <c r="K190" s="590">
        <f t="shared" si="71"/>
        <v>538819</v>
      </c>
      <c r="L190" s="591">
        <f t="shared" si="79"/>
        <v>550415.40128131665</v>
      </c>
      <c r="M190" s="589">
        <f t="shared" si="96"/>
        <v>490804</v>
      </c>
      <c r="N190" s="591">
        <f t="shared" si="97"/>
        <v>319857948408</v>
      </c>
      <c r="O190" s="569">
        <f t="shared" si="72"/>
        <v>3.8714013460139757E-3</v>
      </c>
      <c r="P190" s="592">
        <f t="shared" si="73"/>
        <v>0.84458142108097967</v>
      </c>
      <c r="Q190" s="593">
        <f t="shared" si="74"/>
        <v>0.84608240013574598</v>
      </c>
      <c r="R190" s="572">
        <f t="shared" si="75"/>
        <v>0.81100000000000017</v>
      </c>
      <c r="S190" s="573">
        <f t="shared" si="76"/>
        <v>5.5366769482466473E-2</v>
      </c>
      <c r="T190" s="574">
        <v>1.3</v>
      </c>
      <c r="U190" s="557">
        <f t="shared" si="77"/>
        <v>5</v>
      </c>
      <c r="V190" s="575">
        <f t="shared" si="78"/>
        <v>1</v>
      </c>
      <c r="W190" s="594">
        <v>1E-3</v>
      </c>
      <c r="X190" s="595">
        <f t="shared" si="87"/>
        <v>651.702</v>
      </c>
      <c r="Y190" s="594">
        <v>0.03</v>
      </c>
      <c r="Z190" s="577">
        <f t="shared" si="85"/>
        <v>16164.57</v>
      </c>
      <c r="AA190" s="2325" t="s">
        <v>1331</v>
      </c>
      <c r="AB190" s="597">
        <f t="shared" si="89"/>
        <v>550.41540128131669</v>
      </c>
      <c r="AC190" s="597">
        <f t="shared" si="90"/>
        <v>319857948.40799999</v>
      </c>
      <c r="AD190" s="597">
        <f t="shared" si="91"/>
        <v>16512.462038439498</v>
      </c>
      <c r="AE190" s="610">
        <f t="shared" si="86"/>
        <v>16512.462038439498</v>
      </c>
      <c r="AF190" s="572">
        <f t="shared" si="92"/>
        <v>14724.119999999999</v>
      </c>
      <c r="AG190" s="572">
        <f t="shared" si="93"/>
        <v>2.4330000000000004E-2</v>
      </c>
      <c r="AH190" s="600">
        <f t="shared" si="94"/>
        <v>3.7333014169052734E-5</v>
      </c>
      <c r="AI190" s="559" t="s">
        <v>606</v>
      </c>
    </row>
    <row r="191" spans="1:35" ht="14.4" hidden="1" x14ac:dyDescent="0.3">
      <c r="A191" s="560" t="s">
        <v>568</v>
      </c>
      <c r="B191" s="557" t="str">
        <f t="shared" si="88"/>
        <v>2010s</v>
      </c>
      <c r="C191" s="561">
        <v>2014</v>
      </c>
      <c r="D191" s="562">
        <f t="shared" si="64"/>
        <v>2010</v>
      </c>
      <c r="E191" s="563">
        <f t="shared" si="65"/>
        <v>2013</v>
      </c>
      <c r="F191" s="586">
        <f t="shared" si="66"/>
        <v>651146</v>
      </c>
      <c r="G191" s="587">
        <f t="shared" si="67"/>
        <v>651702</v>
      </c>
      <c r="H191" s="587">
        <f t="shared" si="68"/>
        <v>650354</v>
      </c>
      <c r="I191" s="2121">
        <f t="shared" si="69"/>
        <v>490804</v>
      </c>
      <c r="J191" s="2125">
        <f t="shared" si="70"/>
        <v>0.84458142108097967</v>
      </c>
      <c r="K191" s="590">
        <f t="shared" si="71"/>
        <v>538819</v>
      </c>
      <c r="L191" s="591">
        <f t="shared" si="79"/>
        <v>550415.40128131665</v>
      </c>
      <c r="M191" s="589">
        <f t="shared" si="96"/>
        <v>490804</v>
      </c>
      <c r="N191" s="591">
        <f t="shared" si="97"/>
        <v>319857948408</v>
      </c>
      <c r="O191" s="569">
        <f t="shared" si="72"/>
        <v>3.8714013460139757E-3</v>
      </c>
      <c r="P191" s="592">
        <f t="shared" si="73"/>
        <v>0.84458142108097967</v>
      </c>
      <c r="Q191" s="593">
        <f t="shared" si="74"/>
        <v>0.84608240013574598</v>
      </c>
      <c r="R191" s="572">
        <f t="shared" si="75"/>
        <v>0.81100000000000017</v>
      </c>
      <c r="S191" s="573">
        <f t="shared" si="76"/>
        <v>5.5366769482466473E-2</v>
      </c>
      <c r="T191" s="574">
        <v>2.1</v>
      </c>
      <c r="U191" s="557">
        <f t="shared" si="77"/>
        <v>4.0000000000000009</v>
      </c>
      <c r="V191" s="575">
        <f t="shared" si="78"/>
        <v>2</v>
      </c>
      <c r="W191" s="594">
        <v>1E-3</v>
      </c>
      <c r="X191" s="595">
        <f t="shared" si="87"/>
        <v>651.702</v>
      </c>
      <c r="Y191" s="594">
        <v>0</v>
      </c>
      <c r="Z191" s="577">
        <f t="shared" si="85"/>
        <v>0</v>
      </c>
      <c r="AA191" s="2325" t="s">
        <v>1331</v>
      </c>
      <c r="AB191" s="597">
        <f t="shared" si="89"/>
        <v>550.41540128131669</v>
      </c>
      <c r="AC191" s="597">
        <f t="shared" si="90"/>
        <v>319857948.40799999</v>
      </c>
      <c r="AD191" s="597">
        <f>IF(Y191,L191*Y191,0)</f>
        <v>0</v>
      </c>
      <c r="AE191" s="610">
        <f t="shared" si="86"/>
        <v>0</v>
      </c>
      <c r="AF191" s="572">
        <f t="shared" si="92"/>
        <v>0</v>
      </c>
      <c r="AG191" s="572">
        <f t="shared" si="93"/>
        <v>0</v>
      </c>
      <c r="AH191" s="600">
        <f t="shared" si="94"/>
        <v>0</v>
      </c>
      <c r="AI191" s="559" t="s">
        <v>606</v>
      </c>
    </row>
    <row r="192" spans="1:35" ht="14.4" hidden="1" x14ac:dyDescent="0.3">
      <c r="A192" s="560" t="s">
        <v>568</v>
      </c>
      <c r="B192" s="557" t="str">
        <f t="shared" si="88"/>
        <v>2010s</v>
      </c>
      <c r="C192" s="561">
        <v>2014</v>
      </c>
      <c r="D192" s="562">
        <f t="shared" ref="D192:D237" si="98">C192-U192</f>
        <v>2009</v>
      </c>
      <c r="E192" s="563">
        <f t="shared" ref="E192:E237" si="99">C192-(T192-INT(T192))*10</f>
        <v>2012</v>
      </c>
      <c r="F192" s="586">
        <f t="shared" si="66"/>
        <v>651146</v>
      </c>
      <c r="G192" s="587">
        <f t="shared" si="67"/>
        <v>651702</v>
      </c>
      <c r="H192" s="587">
        <f t="shared" si="68"/>
        <v>650354</v>
      </c>
      <c r="I192" s="588">
        <f t="shared" si="69"/>
        <v>490804</v>
      </c>
      <c r="J192" s="589">
        <f t="shared" si="70"/>
        <v>0.84458142108097967</v>
      </c>
      <c r="K192" s="590">
        <f t="shared" si="71"/>
        <v>538819</v>
      </c>
      <c r="L192" s="591">
        <f t="shared" si="79"/>
        <v>550415.40128131665</v>
      </c>
      <c r="M192" s="589">
        <f t="shared" si="96"/>
        <v>490804</v>
      </c>
      <c r="N192" s="591">
        <f t="shared" si="97"/>
        <v>319857948408</v>
      </c>
      <c r="O192" s="569">
        <f t="shared" si="72"/>
        <v>3.8714013460139757E-3</v>
      </c>
      <c r="P192" s="592">
        <f t="shared" si="73"/>
        <v>0.84458142108097967</v>
      </c>
      <c r="Q192" s="593">
        <f t="shared" si="74"/>
        <v>0.84608240013574598</v>
      </c>
      <c r="R192" s="572">
        <f t="shared" si="75"/>
        <v>0.81100000000000017</v>
      </c>
      <c r="S192" s="573">
        <f t="shared" si="76"/>
        <v>5.5366769482466473E-2</v>
      </c>
      <c r="T192" s="574">
        <v>2.2000000000000002</v>
      </c>
      <c r="U192" s="557">
        <f t="shared" si="77"/>
        <v>5.0000000000000018</v>
      </c>
      <c r="V192" s="575">
        <f t="shared" si="78"/>
        <v>2</v>
      </c>
      <c r="W192" s="594">
        <v>4.0000000000000001E-3</v>
      </c>
      <c r="X192" s="595">
        <f t="shared" si="87"/>
        <v>2606.808</v>
      </c>
      <c r="Y192" s="594">
        <v>4.0000000000000001E-3</v>
      </c>
      <c r="Z192" s="577">
        <f t="shared" si="85"/>
        <v>2155.2759999999998</v>
      </c>
      <c r="AA192" s="2325" t="s">
        <v>1331</v>
      </c>
      <c r="AB192" s="597">
        <f t="shared" si="89"/>
        <v>2201.6616051252668</v>
      </c>
      <c r="AC192" s="597">
        <f t="shared" si="90"/>
        <v>1279431793.632</v>
      </c>
      <c r="AD192" s="597">
        <f t="shared" si="91"/>
        <v>2201.6616051252668</v>
      </c>
      <c r="AE192" s="610">
        <f t="shared" si="86"/>
        <v>2201.6616051252668</v>
      </c>
      <c r="AF192" s="572">
        <f t="shared" si="92"/>
        <v>1963.2160000000001</v>
      </c>
      <c r="AG192" s="572">
        <f t="shared" si="93"/>
        <v>3.2440000000000008E-3</v>
      </c>
      <c r="AH192" s="600">
        <f t="shared" si="94"/>
        <v>1.2444338056350911E-6</v>
      </c>
      <c r="AI192" s="559" t="s">
        <v>606</v>
      </c>
    </row>
    <row r="193" spans="1:35" ht="14.4" hidden="1" x14ac:dyDescent="0.3">
      <c r="A193" s="2168" t="s">
        <v>568</v>
      </c>
      <c r="B193" s="2167" t="str">
        <f t="shared" si="88"/>
        <v>2010s</v>
      </c>
      <c r="C193" s="2177">
        <v>2015</v>
      </c>
      <c r="D193" s="2169">
        <f t="shared" si="98"/>
        <v>2012</v>
      </c>
      <c r="E193" s="2170">
        <f t="shared" si="99"/>
        <v>2014</v>
      </c>
      <c r="F193" s="587">
        <f t="shared" si="66"/>
        <v>512455</v>
      </c>
      <c r="G193" s="587">
        <f t="shared" si="67"/>
        <v>542103</v>
      </c>
      <c r="H193" s="587">
        <f t="shared" si="68"/>
        <v>540357</v>
      </c>
      <c r="I193" s="588">
        <f t="shared" si="69"/>
        <v>187055</v>
      </c>
      <c r="J193" s="589">
        <f t="shared" si="70"/>
        <v>0.70672666409750717</v>
      </c>
      <c r="K193" s="2171">
        <f t="shared" si="71"/>
        <v>437687</v>
      </c>
      <c r="L193" s="591">
        <f t="shared" si="79"/>
        <v>383118.64478725096</v>
      </c>
      <c r="M193" s="589">
        <f t="shared" si="96"/>
        <v>187055</v>
      </c>
      <c r="N193" s="591">
        <f t="shared" si="97"/>
        <v>101403076665</v>
      </c>
      <c r="O193" s="569">
        <f t="shared" si="72"/>
        <v>3.2263241487318832E-3</v>
      </c>
      <c r="P193" s="592">
        <f t="shared" si="73"/>
        <v>0.70672666409750717</v>
      </c>
      <c r="Q193" s="593">
        <f t="shared" si="74"/>
        <v>0.72614743814231109</v>
      </c>
      <c r="R193" s="572">
        <f t="shared" si="75"/>
        <v>0.78400000000000003</v>
      </c>
      <c r="S193" s="573">
        <f t="shared" si="76"/>
        <v>0.45124797124863747</v>
      </c>
      <c r="T193" s="2166">
        <v>1.1000000000000001</v>
      </c>
      <c r="U193" s="2167">
        <f t="shared" si="77"/>
        <v>3.0000000000000009</v>
      </c>
      <c r="V193" s="2180">
        <f t="shared" si="78"/>
        <v>1</v>
      </c>
      <c r="W193" s="2181">
        <v>1E-3</v>
      </c>
      <c r="X193" s="595">
        <f t="shared" si="87"/>
        <v>542.10300000000007</v>
      </c>
      <c r="Y193" s="2185">
        <v>2E-3</v>
      </c>
      <c r="Z193" s="2186">
        <f>K193*W193</f>
        <v>437.68700000000001</v>
      </c>
      <c r="AA193" s="2326" t="s">
        <v>1330</v>
      </c>
      <c r="AB193" s="597">
        <f t="shared" si="89"/>
        <v>383.11864478725096</v>
      </c>
      <c r="AC193" s="597">
        <f t="shared" si="90"/>
        <v>101403076.66500001</v>
      </c>
      <c r="AD193" s="597">
        <f t="shared" si="91"/>
        <v>766.23728957450192</v>
      </c>
      <c r="AE193" s="610">
        <f t="shared" si="86"/>
        <v>766.23728957450192</v>
      </c>
      <c r="AF193" s="572">
        <f t="shared" si="92"/>
        <v>374.11</v>
      </c>
      <c r="AG193" s="572">
        <f t="shared" si="93"/>
        <v>1.5680000000000002E-3</v>
      </c>
      <c r="AH193" s="600">
        <f t="shared" si="94"/>
        <v>2.8924392596978804E-6</v>
      </c>
      <c r="AI193" s="620" t="s">
        <v>608</v>
      </c>
    </row>
    <row r="194" spans="1:35" ht="14.4" hidden="1" x14ac:dyDescent="0.3">
      <c r="A194" s="560" t="s">
        <v>568</v>
      </c>
      <c r="B194" s="557" t="str">
        <f t="shared" si="88"/>
        <v>2010s</v>
      </c>
      <c r="C194" s="561">
        <v>2015</v>
      </c>
      <c r="D194" s="562">
        <f t="shared" si="98"/>
        <v>2011</v>
      </c>
      <c r="E194" s="563">
        <f t="shared" si="99"/>
        <v>2013</v>
      </c>
      <c r="F194" s="587">
        <f t="shared" ref="F194:F243" si="100">VLOOKUP($C194,SockeyeReturnsData,2)</f>
        <v>512455</v>
      </c>
      <c r="G194" s="587">
        <f t="shared" ref="G194:G243" si="101">VLOOKUP($C194,SockeyeReturnsData,3)</f>
        <v>542103</v>
      </c>
      <c r="H194" s="587">
        <f t="shared" ref="H194:H243" si="102">VLOOKUP($C194,SockeyeReturnsData,5)</f>
        <v>540357</v>
      </c>
      <c r="I194" s="588">
        <f t="shared" ref="I194:I243" si="103">VLOOKUP($C194,SockeyeReturnsData,12)</f>
        <v>187055</v>
      </c>
      <c r="J194" s="589">
        <f t="shared" ref="J194:J243" si="104">VLOOKUP($C194,SockeyeReturnsData,18)</f>
        <v>0.70672666409750717</v>
      </c>
      <c r="K194" s="2172">
        <f t="shared" ref="K194:K243" si="105">VLOOKUP($C194,SockeyeReturnsData,30)</f>
        <v>437687</v>
      </c>
      <c r="L194" s="591">
        <f t="shared" si="79"/>
        <v>383118.64478725096</v>
      </c>
      <c r="M194" s="589">
        <f t="shared" si="96"/>
        <v>187055</v>
      </c>
      <c r="N194" s="591">
        <f t="shared" si="97"/>
        <v>101403076665</v>
      </c>
      <c r="O194" s="569">
        <f t="shared" ref="O194:O231" si="106">VLOOKUP($C194,SockeyeReturnsData,6)/G194</f>
        <v>3.2263241487318832E-3</v>
      </c>
      <c r="P194" s="592">
        <f t="shared" ref="P194:P237" si="107">VLOOKUP($C194,SockeyeReturnsData,18)</f>
        <v>0.70672666409750717</v>
      </c>
      <c r="Q194" s="593">
        <f t="shared" ref="Q194:Q237" si="108">VLOOKUP($C194,SockeyeReturnsData,20)</f>
        <v>0.72614743814231109</v>
      </c>
      <c r="R194" s="572">
        <f t="shared" ref="R194:R237" si="109">VLOOKUP($C194,SockeyeReturnsData,19)</f>
        <v>0.78400000000000003</v>
      </c>
      <c r="S194" s="573">
        <f t="shared" ref="S194:S237" si="110">VLOOKUP($C194,SockeyeReturnsData,24)</f>
        <v>0.45124797124863747</v>
      </c>
      <c r="T194" s="574">
        <v>1.2</v>
      </c>
      <c r="U194" s="557">
        <f t="shared" ref="U194:U237" si="111">INT(T194) + (T194-INT(T194))*10 + 1</f>
        <v>3.9999999999999996</v>
      </c>
      <c r="V194" s="575">
        <f t="shared" ref="V194:V237" si="112">INT(T194)</f>
        <v>1</v>
      </c>
      <c r="W194" s="2182">
        <v>0.97499999999999998</v>
      </c>
      <c r="X194" s="595">
        <f t="shared" si="87"/>
        <v>528550.42499999993</v>
      </c>
      <c r="Y194" s="2187">
        <v>0.94699999999999995</v>
      </c>
      <c r="Z194" s="2188">
        <f>K194*W194</f>
        <v>426744.82500000001</v>
      </c>
      <c r="AA194" s="2326" t="s">
        <v>1330</v>
      </c>
      <c r="AB194" s="597">
        <f t="shared" si="89"/>
        <v>373540.67866756965</v>
      </c>
      <c r="AC194" s="597">
        <f t="shared" si="90"/>
        <v>98867999748.375</v>
      </c>
      <c r="AD194" s="597">
        <f t="shared" si="91"/>
        <v>362813.35661352664</v>
      </c>
      <c r="AE194" s="610">
        <f t="shared" si="86"/>
        <v>362813.35661352664</v>
      </c>
      <c r="AF194" s="572">
        <f t="shared" si="92"/>
        <v>177141.08499999999</v>
      </c>
      <c r="AG194" s="572">
        <f t="shared" si="93"/>
        <v>0.742448</v>
      </c>
      <c r="AH194" s="600">
        <f t="shared" si="94"/>
        <v>1.4046871686840476E-6</v>
      </c>
      <c r="AI194" s="620" t="s">
        <v>609</v>
      </c>
    </row>
    <row r="195" spans="1:35" ht="14.4" hidden="1" x14ac:dyDescent="0.3">
      <c r="A195" s="560" t="s">
        <v>568</v>
      </c>
      <c r="B195" s="557" t="str">
        <f t="shared" si="88"/>
        <v>2010s</v>
      </c>
      <c r="C195" s="561">
        <v>2015</v>
      </c>
      <c r="D195" s="562">
        <f t="shared" si="98"/>
        <v>2010</v>
      </c>
      <c r="E195" s="563">
        <f t="shared" si="99"/>
        <v>2012</v>
      </c>
      <c r="F195" s="587">
        <f t="shared" si="100"/>
        <v>512455</v>
      </c>
      <c r="G195" s="587">
        <f t="shared" si="101"/>
        <v>542103</v>
      </c>
      <c r="H195" s="587">
        <f t="shared" si="102"/>
        <v>540357</v>
      </c>
      <c r="I195" s="2121">
        <f t="shared" si="103"/>
        <v>187055</v>
      </c>
      <c r="J195" s="2125">
        <f t="shared" si="104"/>
        <v>0.70672666409750717</v>
      </c>
      <c r="K195" s="2172">
        <f t="shared" si="105"/>
        <v>437687</v>
      </c>
      <c r="L195" s="591">
        <f t="shared" ref="L195:L237" si="113">J195*G195</f>
        <v>383118.64478725096</v>
      </c>
      <c r="M195" s="589">
        <f t="shared" si="96"/>
        <v>187055</v>
      </c>
      <c r="N195" s="591">
        <f t="shared" si="97"/>
        <v>101403076665</v>
      </c>
      <c r="O195" s="569">
        <f t="shared" si="106"/>
        <v>3.2263241487318832E-3</v>
      </c>
      <c r="P195" s="592">
        <f t="shared" si="107"/>
        <v>0.70672666409750717</v>
      </c>
      <c r="Q195" s="593">
        <f t="shared" si="108"/>
        <v>0.72614743814231109</v>
      </c>
      <c r="R195" s="572">
        <f t="shared" si="109"/>
        <v>0.78400000000000003</v>
      </c>
      <c r="S195" s="573">
        <f t="shared" si="110"/>
        <v>0.45124797124863747</v>
      </c>
      <c r="T195" s="574">
        <v>1.3</v>
      </c>
      <c r="U195" s="557">
        <f t="shared" si="111"/>
        <v>5</v>
      </c>
      <c r="V195" s="575">
        <f t="shared" si="112"/>
        <v>1</v>
      </c>
      <c r="W195" s="2183">
        <v>1E-3</v>
      </c>
      <c r="X195" s="595">
        <f t="shared" si="87"/>
        <v>542.10300000000007</v>
      </c>
      <c r="Y195" s="2189">
        <v>0.03</v>
      </c>
      <c r="Z195" s="2188">
        <f>K195*W195</f>
        <v>437.68700000000001</v>
      </c>
      <c r="AA195" s="2326" t="s">
        <v>1330</v>
      </c>
      <c r="AB195" s="597">
        <f t="shared" si="89"/>
        <v>383.11864478725096</v>
      </c>
      <c r="AC195" s="597">
        <f t="shared" si="90"/>
        <v>101403076.66500001</v>
      </c>
      <c r="AD195" s="597">
        <f t="shared" si="91"/>
        <v>11493.559343617528</v>
      </c>
      <c r="AE195" s="610">
        <f t="shared" si="86"/>
        <v>11493.559343617528</v>
      </c>
      <c r="AF195" s="572">
        <f t="shared" si="92"/>
        <v>5611.65</v>
      </c>
      <c r="AG195" s="572">
        <f t="shared" si="93"/>
        <v>2.3519999999999999E-2</v>
      </c>
      <c r="AH195" s="600">
        <f t="shared" si="94"/>
        <v>4.3386588895468198E-5</v>
      </c>
    </row>
    <row r="196" spans="1:35" ht="14.4" hidden="1" x14ac:dyDescent="0.3">
      <c r="A196" s="560" t="s">
        <v>568</v>
      </c>
      <c r="B196" s="557" t="str">
        <f t="shared" si="88"/>
        <v>2010s</v>
      </c>
      <c r="C196" s="561">
        <v>2015</v>
      </c>
      <c r="D196" s="562">
        <f t="shared" si="98"/>
        <v>2011</v>
      </c>
      <c r="E196" s="563">
        <f t="shared" si="99"/>
        <v>2014</v>
      </c>
      <c r="F196" s="587">
        <f t="shared" si="100"/>
        <v>512455</v>
      </c>
      <c r="G196" s="587">
        <f t="shared" si="101"/>
        <v>542103</v>
      </c>
      <c r="H196" s="587">
        <f t="shared" si="102"/>
        <v>540357</v>
      </c>
      <c r="I196" s="588">
        <f t="shared" si="103"/>
        <v>187055</v>
      </c>
      <c r="J196" s="589">
        <f t="shared" si="104"/>
        <v>0.70672666409750717</v>
      </c>
      <c r="K196" s="2172">
        <f t="shared" si="105"/>
        <v>437687</v>
      </c>
      <c r="L196" s="591">
        <f t="shared" si="113"/>
        <v>383118.64478725096</v>
      </c>
      <c r="M196" s="589">
        <f t="shared" si="96"/>
        <v>187055</v>
      </c>
      <c r="N196" s="591">
        <f t="shared" si="97"/>
        <v>101403076665</v>
      </c>
      <c r="O196" s="569">
        <f t="shared" si="106"/>
        <v>3.2263241487318832E-3</v>
      </c>
      <c r="P196" s="592">
        <f t="shared" si="107"/>
        <v>0.70672666409750717</v>
      </c>
      <c r="Q196" s="593">
        <f t="shared" si="108"/>
        <v>0.72614743814231109</v>
      </c>
      <c r="R196" s="572">
        <f t="shared" si="109"/>
        <v>0.78400000000000003</v>
      </c>
      <c r="S196" s="573">
        <f t="shared" si="110"/>
        <v>0.45124797124863747</v>
      </c>
      <c r="T196" s="574">
        <v>2.1</v>
      </c>
      <c r="U196" s="557">
        <f t="shared" si="111"/>
        <v>4.0000000000000009</v>
      </c>
      <c r="V196" s="575">
        <f t="shared" si="112"/>
        <v>2</v>
      </c>
      <c r="W196" s="2183">
        <v>0</v>
      </c>
      <c r="X196" s="595">
        <f t="shared" si="87"/>
        <v>0</v>
      </c>
      <c r="Y196" s="2189">
        <v>3.0000000000000001E-3</v>
      </c>
      <c r="Z196" s="2188">
        <f>K196*W196</f>
        <v>0</v>
      </c>
      <c r="AA196" s="2326" t="s">
        <v>1330</v>
      </c>
      <c r="AB196" s="597">
        <f t="shared" si="89"/>
        <v>0</v>
      </c>
      <c r="AC196" s="597">
        <f t="shared" si="90"/>
        <v>0</v>
      </c>
      <c r="AD196" s="597">
        <f t="shared" si="91"/>
        <v>1149.3559343617528</v>
      </c>
      <c r="AE196" s="610">
        <f t="shared" si="86"/>
        <v>1149.3559343617528</v>
      </c>
      <c r="AF196" s="572">
        <f t="shared" si="92"/>
        <v>561.16499999999996</v>
      </c>
      <c r="AG196" s="572">
        <f t="shared" si="93"/>
        <v>2.3519999999999999E-3</v>
      </c>
      <c r="AH196" s="600">
        <f t="shared" si="94"/>
        <v>0</v>
      </c>
      <c r="AI196" s="620" t="s">
        <v>610</v>
      </c>
    </row>
    <row r="197" spans="1:35" ht="15" hidden="1" thickBot="1" x14ac:dyDescent="0.35">
      <c r="A197" s="630" t="s">
        <v>568</v>
      </c>
      <c r="B197" s="631" t="str">
        <f t="shared" si="88"/>
        <v>2010s</v>
      </c>
      <c r="C197" s="2178">
        <v>2015</v>
      </c>
      <c r="D197" s="632">
        <f t="shared" si="98"/>
        <v>2010</v>
      </c>
      <c r="E197" s="633">
        <f t="shared" si="99"/>
        <v>2013</v>
      </c>
      <c r="F197" s="587">
        <f t="shared" si="100"/>
        <v>512455</v>
      </c>
      <c r="G197" s="587">
        <f t="shared" si="101"/>
        <v>542103</v>
      </c>
      <c r="H197" s="587">
        <f t="shared" si="102"/>
        <v>540357</v>
      </c>
      <c r="I197" s="2121">
        <f t="shared" si="103"/>
        <v>187055</v>
      </c>
      <c r="J197" s="2125">
        <f t="shared" si="104"/>
        <v>0.70672666409750717</v>
      </c>
      <c r="K197" s="2173">
        <f t="shared" si="105"/>
        <v>437687</v>
      </c>
      <c r="L197" s="591">
        <f t="shared" si="113"/>
        <v>383118.64478725096</v>
      </c>
      <c r="M197" s="589">
        <f t="shared" si="96"/>
        <v>187055</v>
      </c>
      <c r="N197" s="591">
        <f t="shared" si="97"/>
        <v>101403076665</v>
      </c>
      <c r="O197" s="569">
        <f t="shared" si="106"/>
        <v>3.2263241487318832E-3</v>
      </c>
      <c r="P197" s="592">
        <f t="shared" si="107"/>
        <v>0.70672666409750717</v>
      </c>
      <c r="Q197" s="593">
        <f t="shared" si="108"/>
        <v>0.72614743814231109</v>
      </c>
      <c r="R197" s="572">
        <f t="shared" si="109"/>
        <v>0.78400000000000003</v>
      </c>
      <c r="S197" s="573">
        <f t="shared" si="110"/>
        <v>0.45124797124863747</v>
      </c>
      <c r="T197" s="642">
        <v>2.2000000000000002</v>
      </c>
      <c r="U197" s="631">
        <f t="shared" si="111"/>
        <v>5.0000000000000018</v>
      </c>
      <c r="V197" s="643">
        <f t="shared" si="112"/>
        <v>2</v>
      </c>
      <c r="W197" s="2184">
        <v>2.1999999999999999E-2</v>
      </c>
      <c r="X197" s="595">
        <f t="shared" si="87"/>
        <v>11926.266</v>
      </c>
      <c r="Y197" s="2190">
        <v>1E-3</v>
      </c>
      <c r="Z197" s="2191">
        <f>K197*W197</f>
        <v>9629.1139999999996</v>
      </c>
      <c r="AA197" s="2326" t="s">
        <v>1330</v>
      </c>
      <c r="AB197" s="597">
        <f t="shared" si="89"/>
        <v>8428.6101853195214</v>
      </c>
      <c r="AC197" s="597">
        <f t="shared" si="90"/>
        <v>2230867686.6299996</v>
      </c>
      <c r="AD197" s="597">
        <f t="shared" si="91"/>
        <v>383.11864478725096</v>
      </c>
      <c r="AE197" s="610">
        <f t="shared" si="86"/>
        <v>383.11864478725096</v>
      </c>
      <c r="AF197" s="572">
        <f t="shared" si="92"/>
        <v>187.05500000000001</v>
      </c>
      <c r="AG197" s="572">
        <f t="shared" si="93"/>
        <v>7.8400000000000008E-4</v>
      </c>
      <c r="AH197" s="600">
        <f t="shared" si="94"/>
        <v>6.5737255902224555E-8</v>
      </c>
      <c r="AI197" s="621" t="s">
        <v>611</v>
      </c>
    </row>
    <row r="198" spans="1:35" ht="14.4" hidden="1" x14ac:dyDescent="0.3">
      <c r="A198" s="2168" t="s">
        <v>568</v>
      </c>
      <c r="B198" s="2167" t="str">
        <f t="shared" si="88"/>
        <v>2010s</v>
      </c>
      <c r="C198" s="2177">
        <v>2016</v>
      </c>
      <c r="D198" s="2169">
        <f t="shared" si="98"/>
        <v>2013</v>
      </c>
      <c r="E198" s="2170">
        <f t="shared" si="99"/>
        <v>2015</v>
      </c>
      <c r="F198" s="587">
        <f t="shared" si="100"/>
        <v>356606</v>
      </c>
      <c r="G198" s="587">
        <f t="shared" si="101"/>
        <v>363350</v>
      </c>
      <c r="H198" s="587">
        <f t="shared" si="102"/>
        <v>361543</v>
      </c>
      <c r="I198" s="2121">
        <f t="shared" si="103"/>
        <v>216036</v>
      </c>
      <c r="J198" s="2125">
        <f t="shared" si="104"/>
        <v>0.69612458553655499</v>
      </c>
      <c r="K198" s="2171">
        <f t="shared" si="105"/>
        <v>275427</v>
      </c>
      <c r="L198" s="591">
        <f t="shared" si="113"/>
        <v>252936.86815470725</v>
      </c>
      <c r="M198" s="589">
        <f t="shared" si="96"/>
        <v>216036</v>
      </c>
      <c r="N198" s="591">
        <f t="shared" si="97"/>
        <v>78496680600</v>
      </c>
      <c r="O198" s="569">
        <f t="shared" si="106"/>
        <v>2.6035502958579883E-3</v>
      </c>
      <c r="P198" s="592">
        <f t="shared" si="107"/>
        <v>0.69612458553655499</v>
      </c>
      <c r="Q198" s="593">
        <f t="shared" si="108"/>
        <v>0.73560301084842705</v>
      </c>
      <c r="R198" s="572">
        <f t="shared" si="109"/>
        <v>0.70099999999999996</v>
      </c>
      <c r="S198" s="573">
        <f t="shared" si="110"/>
        <v>9.2860323668277359E-2</v>
      </c>
      <c r="T198" s="2166">
        <v>1.1000000000000001</v>
      </c>
      <c r="U198" s="2167">
        <f t="shared" si="111"/>
        <v>3.0000000000000009</v>
      </c>
      <c r="V198" s="2180">
        <f t="shared" si="112"/>
        <v>1</v>
      </c>
      <c r="W198" s="2181">
        <v>8.9999999999999993E-3</v>
      </c>
      <c r="X198" s="595">
        <f t="shared" si="87"/>
        <v>3270.1499999999996</v>
      </c>
      <c r="Y198" s="2185">
        <v>0.01</v>
      </c>
      <c r="Z198" s="2192">
        <f t="shared" si="85"/>
        <v>2754.27</v>
      </c>
      <c r="AA198" s="2325" t="s">
        <v>1331</v>
      </c>
      <c r="AB198" s="597">
        <f t="shared" si="89"/>
        <v>2276.4318133923653</v>
      </c>
      <c r="AC198" s="597">
        <f t="shared" si="90"/>
        <v>706470125.39999998</v>
      </c>
      <c r="AD198" s="597">
        <f t="shared" si="91"/>
        <v>2529.3686815470724</v>
      </c>
      <c r="AE198" s="610">
        <f t="shared" si="86"/>
        <v>2529.3686815470724</v>
      </c>
      <c r="AF198" s="572">
        <f t="shared" si="92"/>
        <v>2160.36</v>
      </c>
      <c r="AG198" s="572">
        <f t="shared" si="93"/>
        <v>7.0099999999999997E-3</v>
      </c>
      <c r="AH198" s="600">
        <f t="shared" si="94"/>
        <v>2.1436325550815715E-6</v>
      </c>
    </row>
    <row r="199" spans="1:35" ht="14.4" hidden="1" x14ac:dyDescent="0.3">
      <c r="A199" s="560" t="s">
        <v>568</v>
      </c>
      <c r="B199" s="557" t="str">
        <f t="shared" si="88"/>
        <v>2010s</v>
      </c>
      <c r="C199" s="561">
        <v>2016</v>
      </c>
      <c r="D199" s="562">
        <f t="shared" si="98"/>
        <v>2012</v>
      </c>
      <c r="E199" s="563">
        <f t="shared" si="99"/>
        <v>2014</v>
      </c>
      <c r="F199" s="587">
        <f t="shared" si="100"/>
        <v>356606</v>
      </c>
      <c r="G199" s="587">
        <f t="shared" si="101"/>
        <v>363350</v>
      </c>
      <c r="H199" s="587">
        <f t="shared" si="102"/>
        <v>361543</v>
      </c>
      <c r="I199" s="2121">
        <f t="shared" si="103"/>
        <v>216036</v>
      </c>
      <c r="J199" s="2125">
        <f t="shared" si="104"/>
        <v>0.69612458553655499</v>
      </c>
      <c r="K199" s="2172">
        <f t="shared" si="105"/>
        <v>275427</v>
      </c>
      <c r="L199" s="591">
        <f t="shared" si="113"/>
        <v>252936.86815470725</v>
      </c>
      <c r="M199" s="589">
        <f t="shared" si="96"/>
        <v>216036</v>
      </c>
      <c r="N199" s="591">
        <f t="shared" si="97"/>
        <v>78496680600</v>
      </c>
      <c r="O199" s="569">
        <f t="shared" si="106"/>
        <v>2.6035502958579883E-3</v>
      </c>
      <c r="P199" s="592">
        <f t="shared" si="107"/>
        <v>0.69612458553655499</v>
      </c>
      <c r="Q199" s="593">
        <f t="shared" si="108"/>
        <v>0.73560301084842705</v>
      </c>
      <c r="R199" s="572">
        <f t="shared" si="109"/>
        <v>0.70099999999999996</v>
      </c>
      <c r="S199" s="573">
        <f t="shared" si="110"/>
        <v>9.2860323668277359E-2</v>
      </c>
      <c r="T199" s="574">
        <v>1.2</v>
      </c>
      <c r="U199" s="557">
        <f t="shared" si="111"/>
        <v>3.9999999999999996</v>
      </c>
      <c r="V199" s="575">
        <f t="shared" si="112"/>
        <v>1</v>
      </c>
      <c r="W199" s="2183">
        <v>0.96</v>
      </c>
      <c r="X199" s="595">
        <f t="shared" si="87"/>
        <v>348816</v>
      </c>
      <c r="Y199" s="2189">
        <v>0.95699999999999996</v>
      </c>
      <c r="Z199" s="2193">
        <f t="shared" si="85"/>
        <v>263583.63899999997</v>
      </c>
      <c r="AA199" s="2325" t="s">
        <v>1331</v>
      </c>
      <c r="AB199" s="597">
        <f t="shared" si="89"/>
        <v>242819.39342851896</v>
      </c>
      <c r="AC199" s="597">
        <f t="shared" si="90"/>
        <v>75356813376</v>
      </c>
      <c r="AD199" s="597">
        <f t="shared" si="91"/>
        <v>242060.58282405481</v>
      </c>
      <c r="AE199" s="610">
        <f t="shared" si="86"/>
        <v>242060.58282405481</v>
      </c>
      <c r="AF199" s="572">
        <f t="shared" si="92"/>
        <v>206746.45199999999</v>
      </c>
      <c r="AG199" s="572">
        <f t="shared" si="93"/>
        <v>0.67085699999999993</v>
      </c>
      <c r="AH199" s="600">
        <f t="shared" si="94"/>
        <v>1.923240333012247E-6</v>
      </c>
      <c r="AI199" s="613" t="s">
        <v>612</v>
      </c>
    </row>
    <row r="200" spans="1:35" ht="14.4" hidden="1" x14ac:dyDescent="0.3">
      <c r="A200" s="560" t="s">
        <v>568</v>
      </c>
      <c r="B200" s="557" t="str">
        <f t="shared" si="88"/>
        <v>2010s</v>
      </c>
      <c r="C200" s="561">
        <v>2016</v>
      </c>
      <c r="D200" s="562">
        <f t="shared" si="98"/>
        <v>2011</v>
      </c>
      <c r="E200" s="563">
        <f t="shared" si="99"/>
        <v>2013</v>
      </c>
      <c r="F200" s="587">
        <f t="shared" si="100"/>
        <v>356606</v>
      </c>
      <c r="G200" s="587">
        <f t="shared" si="101"/>
        <v>363350</v>
      </c>
      <c r="H200" s="587">
        <f t="shared" si="102"/>
        <v>361543</v>
      </c>
      <c r="I200" s="2121">
        <f t="shared" si="103"/>
        <v>216036</v>
      </c>
      <c r="J200" s="2125">
        <f t="shared" si="104"/>
        <v>0.69612458553655499</v>
      </c>
      <c r="K200" s="2172">
        <f t="shared" si="105"/>
        <v>275427</v>
      </c>
      <c r="L200" s="591">
        <f t="shared" si="113"/>
        <v>252936.86815470725</v>
      </c>
      <c r="M200" s="589">
        <f t="shared" si="96"/>
        <v>216036</v>
      </c>
      <c r="N200" s="591">
        <f t="shared" si="97"/>
        <v>78496680600</v>
      </c>
      <c r="O200" s="569">
        <f t="shared" si="106"/>
        <v>2.6035502958579883E-3</v>
      </c>
      <c r="P200" s="592">
        <f t="shared" si="107"/>
        <v>0.69612458553655499</v>
      </c>
      <c r="Q200" s="593">
        <f t="shared" si="108"/>
        <v>0.73560301084842705</v>
      </c>
      <c r="R200" s="572">
        <f t="shared" si="109"/>
        <v>0.70099999999999996</v>
      </c>
      <c r="S200" s="573">
        <f t="shared" si="110"/>
        <v>9.2860323668277359E-2</v>
      </c>
      <c r="T200" s="574">
        <v>1.3</v>
      </c>
      <c r="U200" s="557">
        <f t="shared" si="111"/>
        <v>5</v>
      </c>
      <c r="V200" s="575">
        <f t="shared" si="112"/>
        <v>1</v>
      </c>
      <c r="W200" s="2183">
        <v>7.0000000000000001E-3</v>
      </c>
      <c r="X200" s="595">
        <f t="shared" si="87"/>
        <v>2543.4500000000003</v>
      </c>
      <c r="Y200" s="2189">
        <v>2.5000000000000001E-2</v>
      </c>
      <c r="Z200" s="2193">
        <f t="shared" si="85"/>
        <v>6885.6750000000002</v>
      </c>
      <c r="AA200" s="2325" t="s">
        <v>1331</v>
      </c>
      <c r="AB200" s="597">
        <f t="shared" si="89"/>
        <v>1770.5580770829508</v>
      </c>
      <c r="AC200" s="597">
        <f t="shared" si="90"/>
        <v>549476764.20000005</v>
      </c>
      <c r="AD200" s="597">
        <f t="shared" si="91"/>
        <v>6323.4217038676816</v>
      </c>
      <c r="AE200" s="610">
        <f t="shared" si="86"/>
        <v>6323.4217038676816</v>
      </c>
      <c r="AF200" s="572">
        <f t="shared" si="92"/>
        <v>5400.9000000000005</v>
      </c>
      <c r="AG200" s="572">
        <f t="shared" si="93"/>
        <v>1.7524999999999999E-2</v>
      </c>
      <c r="AH200" s="600">
        <f t="shared" si="94"/>
        <v>6.8902474984764779E-6</v>
      </c>
      <c r="AI200" s="613"/>
    </row>
    <row r="201" spans="1:35" ht="14.4" hidden="1" x14ac:dyDescent="0.3">
      <c r="A201" s="560" t="s">
        <v>568</v>
      </c>
      <c r="B201" s="557" t="str">
        <f t="shared" si="88"/>
        <v>2010s</v>
      </c>
      <c r="C201" s="561">
        <v>2016</v>
      </c>
      <c r="D201" s="562">
        <f t="shared" si="98"/>
        <v>2012</v>
      </c>
      <c r="E201" s="563">
        <f t="shared" si="99"/>
        <v>2015</v>
      </c>
      <c r="F201" s="587">
        <f t="shared" si="100"/>
        <v>356606</v>
      </c>
      <c r="G201" s="587">
        <f t="shared" si="101"/>
        <v>363350</v>
      </c>
      <c r="H201" s="587">
        <f t="shared" si="102"/>
        <v>361543</v>
      </c>
      <c r="I201" s="2121">
        <f t="shared" si="103"/>
        <v>216036</v>
      </c>
      <c r="J201" s="2125">
        <f t="shared" si="104"/>
        <v>0.69612458553655499</v>
      </c>
      <c r="K201" s="2172">
        <f t="shared" si="105"/>
        <v>275427</v>
      </c>
      <c r="L201" s="591">
        <f t="shared" si="113"/>
        <v>252936.86815470725</v>
      </c>
      <c r="M201" s="589">
        <f t="shared" ref="M201:M237" si="114">VLOOKUP($C201,SockeyeReturnsData,12)</f>
        <v>216036</v>
      </c>
      <c r="N201" s="591">
        <f t="shared" si="97"/>
        <v>78496680600</v>
      </c>
      <c r="O201" s="569">
        <f t="shared" si="106"/>
        <v>2.6035502958579883E-3</v>
      </c>
      <c r="P201" s="592">
        <f t="shared" si="107"/>
        <v>0.69612458553655499</v>
      </c>
      <c r="Q201" s="593">
        <f t="shared" si="108"/>
        <v>0.73560301084842705</v>
      </c>
      <c r="R201" s="572">
        <f t="shared" si="109"/>
        <v>0.70099999999999996</v>
      </c>
      <c r="S201" s="573">
        <f t="shared" si="110"/>
        <v>9.2860323668277359E-2</v>
      </c>
      <c r="T201" s="574">
        <v>2.1</v>
      </c>
      <c r="U201" s="557">
        <f t="shared" si="111"/>
        <v>4.0000000000000009</v>
      </c>
      <c r="V201" s="575">
        <f t="shared" si="112"/>
        <v>2</v>
      </c>
      <c r="W201" s="2183">
        <v>0</v>
      </c>
      <c r="X201" s="595">
        <f t="shared" si="87"/>
        <v>0</v>
      </c>
      <c r="Y201" s="2189">
        <v>3.0000000000000001E-3</v>
      </c>
      <c r="Z201" s="2193">
        <f t="shared" si="85"/>
        <v>826.28100000000006</v>
      </c>
      <c r="AA201" s="2325" t="s">
        <v>1331</v>
      </c>
      <c r="AB201" s="597">
        <f t="shared" si="89"/>
        <v>0</v>
      </c>
      <c r="AC201" s="597">
        <f t="shared" si="90"/>
        <v>0</v>
      </c>
      <c r="AD201" s="597">
        <f t="shared" si="91"/>
        <v>758.81060446412175</v>
      </c>
      <c r="AE201" s="610">
        <f t="shared" si="86"/>
        <v>758.81060446412175</v>
      </c>
      <c r="AF201" s="572">
        <f t="shared" si="92"/>
        <v>648.10800000000006</v>
      </c>
      <c r="AG201" s="572">
        <f t="shared" si="93"/>
        <v>2.1029999999999998E-3</v>
      </c>
      <c r="AH201" s="600">
        <f t="shared" si="94"/>
        <v>0</v>
      </c>
      <c r="AI201" s="613"/>
    </row>
    <row r="202" spans="1:35" ht="15" hidden="1" thickBot="1" x14ac:dyDescent="0.35">
      <c r="A202" s="630" t="s">
        <v>568</v>
      </c>
      <c r="B202" s="631" t="str">
        <f t="shared" si="88"/>
        <v>2010s</v>
      </c>
      <c r="C202" s="2178">
        <v>2016</v>
      </c>
      <c r="D202" s="632">
        <f t="shared" si="98"/>
        <v>2011</v>
      </c>
      <c r="E202" s="633">
        <f t="shared" si="99"/>
        <v>2014</v>
      </c>
      <c r="F202" s="587">
        <f t="shared" si="100"/>
        <v>356606</v>
      </c>
      <c r="G202" s="587">
        <f t="shared" si="101"/>
        <v>363350</v>
      </c>
      <c r="H202" s="587">
        <f t="shared" si="102"/>
        <v>361543</v>
      </c>
      <c r="I202" s="2121">
        <f t="shared" si="103"/>
        <v>216036</v>
      </c>
      <c r="J202" s="2125">
        <f t="shared" si="104"/>
        <v>0.69612458553655499</v>
      </c>
      <c r="K202" s="2173">
        <f t="shared" si="105"/>
        <v>275427</v>
      </c>
      <c r="L202" s="591">
        <f t="shared" si="113"/>
        <v>252936.86815470725</v>
      </c>
      <c r="M202" s="589">
        <f t="shared" si="114"/>
        <v>216036</v>
      </c>
      <c r="N202" s="591">
        <f t="shared" si="97"/>
        <v>78496680600</v>
      </c>
      <c r="O202" s="569">
        <f t="shared" si="106"/>
        <v>2.6035502958579883E-3</v>
      </c>
      <c r="P202" s="592">
        <f t="shared" si="107"/>
        <v>0.69612458553655499</v>
      </c>
      <c r="Q202" s="593">
        <f t="shared" si="108"/>
        <v>0.73560301084842705</v>
      </c>
      <c r="R202" s="572">
        <f t="shared" si="109"/>
        <v>0.70099999999999996</v>
      </c>
      <c r="S202" s="573">
        <f t="shared" si="110"/>
        <v>9.2860323668277359E-2</v>
      </c>
      <c r="T202" s="642">
        <v>2.2000000000000002</v>
      </c>
      <c r="U202" s="631">
        <f t="shared" si="111"/>
        <v>5.0000000000000018</v>
      </c>
      <c r="V202" s="643">
        <f t="shared" si="112"/>
        <v>2</v>
      </c>
      <c r="W202" s="2184">
        <v>2.4E-2</v>
      </c>
      <c r="X202" s="595">
        <f t="shared" si="87"/>
        <v>8720.4</v>
      </c>
      <c r="Y202" s="2190">
        <v>5.0000000000000001E-3</v>
      </c>
      <c r="Z202" s="2194">
        <f t="shared" si="85"/>
        <v>1377.135</v>
      </c>
      <c r="AA202" s="2325" t="s">
        <v>1331</v>
      </c>
      <c r="AB202" s="597">
        <f t="shared" si="89"/>
        <v>6070.484835712974</v>
      </c>
      <c r="AC202" s="597">
        <f t="shared" si="90"/>
        <v>1883920334.4000001</v>
      </c>
      <c r="AD202" s="597">
        <f t="shared" si="91"/>
        <v>1264.6843407735362</v>
      </c>
      <c r="AE202" s="610">
        <f t="shared" si="86"/>
        <v>1264.6843407735362</v>
      </c>
      <c r="AF202" s="572">
        <f t="shared" si="92"/>
        <v>1080.18</v>
      </c>
      <c r="AG202" s="572">
        <f t="shared" si="93"/>
        <v>3.5049999999999999E-3</v>
      </c>
      <c r="AH202" s="600">
        <f t="shared" si="94"/>
        <v>4.0193110407779461E-7</v>
      </c>
      <c r="AI202" s="613"/>
    </row>
    <row r="203" spans="1:35" ht="14.4" hidden="1" x14ac:dyDescent="0.3">
      <c r="A203" s="2168" t="s">
        <v>568</v>
      </c>
      <c r="B203" s="2167" t="str">
        <f t="shared" si="88"/>
        <v>2010s</v>
      </c>
      <c r="C203" s="2177">
        <v>2017</v>
      </c>
      <c r="D203" s="2169">
        <f t="shared" si="98"/>
        <v>2014</v>
      </c>
      <c r="E203" s="2170">
        <f t="shared" si="99"/>
        <v>2016</v>
      </c>
      <c r="F203" s="587">
        <f t="shared" si="100"/>
        <v>88263</v>
      </c>
      <c r="G203" s="587">
        <f t="shared" si="101"/>
        <v>91242</v>
      </c>
      <c r="H203" s="587">
        <f t="shared" si="102"/>
        <v>90672</v>
      </c>
      <c r="I203" s="2121">
        <f t="shared" si="103"/>
        <v>42299</v>
      </c>
      <c r="J203" s="2125">
        <f t="shared" si="104"/>
        <v>0.57771313065093288</v>
      </c>
      <c r="K203" s="2171">
        <f t="shared" si="105"/>
        <v>58111</v>
      </c>
      <c r="L203" s="591">
        <f t="shared" si="113"/>
        <v>52711.701466852421</v>
      </c>
      <c r="M203" s="589">
        <f t="shared" si="114"/>
        <v>42299</v>
      </c>
      <c r="N203" s="591">
        <f t="shared" si="97"/>
        <v>3859445358</v>
      </c>
      <c r="O203" s="569">
        <f t="shared" si="106"/>
        <v>4.8661800486618006E-3</v>
      </c>
      <c r="P203" s="592">
        <f t="shared" si="107"/>
        <v>0.57771313065093288</v>
      </c>
      <c r="Q203" s="593">
        <f t="shared" si="108"/>
        <v>0</v>
      </c>
      <c r="R203" s="572">
        <f t="shared" si="109"/>
        <v>0.59199999999999997</v>
      </c>
      <c r="S203" s="573">
        <f t="shared" si="110"/>
        <v>0.13819040056467266</v>
      </c>
      <c r="T203" s="2179">
        <v>1.1000000000000001</v>
      </c>
      <c r="U203" s="2167">
        <f t="shared" si="111"/>
        <v>3.0000000000000009</v>
      </c>
      <c r="V203" s="2180">
        <f t="shared" si="112"/>
        <v>1</v>
      </c>
      <c r="W203" s="2195">
        <v>0.19</v>
      </c>
      <c r="X203" s="595">
        <f t="shared" si="87"/>
        <v>17335.98</v>
      </c>
      <c r="Y203" s="2197">
        <v>3.7999999999999999E-2</v>
      </c>
      <c r="Z203" s="2192">
        <f t="shared" si="85"/>
        <v>2208.2179999999998</v>
      </c>
      <c r="AA203" s="2325" t="s">
        <v>1331</v>
      </c>
      <c r="AB203" s="597">
        <f t="shared" si="89"/>
        <v>10015.22327870196</v>
      </c>
      <c r="AC203" s="597">
        <f t="shared" si="90"/>
        <v>733294618.01999998</v>
      </c>
      <c r="AD203" s="597">
        <f t="shared" si="91"/>
        <v>2003.044655740392</v>
      </c>
      <c r="AE203" s="610">
        <f t="shared" si="86"/>
        <v>2003.044655740392</v>
      </c>
      <c r="AF203" s="572">
        <f t="shared" si="92"/>
        <v>1607.3619999999999</v>
      </c>
      <c r="AG203" s="572">
        <f t="shared" si="93"/>
        <v>2.2495999999999999E-2</v>
      </c>
      <c r="AH203" s="600">
        <f t="shared" si="94"/>
        <v>1.2976480129764801E-6</v>
      </c>
      <c r="AI203" s="613" t="s">
        <v>613</v>
      </c>
    </row>
    <row r="204" spans="1:35" ht="14.4" hidden="1" x14ac:dyDescent="0.3">
      <c r="A204" s="560" t="s">
        <v>568</v>
      </c>
      <c r="B204" s="557" t="str">
        <f t="shared" si="88"/>
        <v>2010s</v>
      </c>
      <c r="C204" s="561">
        <v>2017</v>
      </c>
      <c r="D204" s="562">
        <f t="shared" si="98"/>
        <v>2013</v>
      </c>
      <c r="E204" s="563">
        <f t="shared" si="99"/>
        <v>2015</v>
      </c>
      <c r="F204" s="587">
        <f t="shared" si="100"/>
        <v>88263</v>
      </c>
      <c r="G204" s="587">
        <f t="shared" si="101"/>
        <v>91242</v>
      </c>
      <c r="H204" s="587">
        <f t="shared" si="102"/>
        <v>90672</v>
      </c>
      <c r="I204" s="2121">
        <f t="shared" si="103"/>
        <v>42299</v>
      </c>
      <c r="J204" s="2125">
        <f t="shared" si="104"/>
        <v>0.57771313065093288</v>
      </c>
      <c r="K204" s="2172">
        <f t="shared" si="105"/>
        <v>58111</v>
      </c>
      <c r="L204" s="591">
        <f t="shared" si="113"/>
        <v>52711.701466852421</v>
      </c>
      <c r="M204" s="589">
        <f t="shared" si="114"/>
        <v>42299</v>
      </c>
      <c r="N204" s="591">
        <f t="shared" si="97"/>
        <v>3859445358</v>
      </c>
      <c r="O204" s="569">
        <f t="shared" si="106"/>
        <v>4.8661800486618006E-3</v>
      </c>
      <c r="P204" s="592">
        <f t="shared" si="107"/>
        <v>0.57771313065093288</v>
      </c>
      <c r="Q204" s="593">
        <f t="shared" si="108"/>
        <v>0</v>
      </c>
      <c r="R204" s="572">
        <f t="shared" si="109"/>
        <v>0.59199999999999997</v>
      </c>
      <c r="S204" s="573">
        <f t="shared" si="110"/>
        <v>0.13819040056467266</v>
      </c>
      <c r="T204" s="574">
        <v>1.2</v>
      </c>
      <c r="U204" s="557">
        <f t="shared" si="111"/>
        <v>3.9999999999999996</v>
      </c>
      <c r="V204" s="575">
        <f t="shared" si="112"/>
        <v>1</v>
      </c>
      <c r="W204" s="2196">
        <v>0.52700000000000002</v>
      </c>
      <c r="X204" s="595">
        <f t="shared" si="87"/>
        <v>48084.534</v>
      </c>
      <c r="Y204" s="2198">
        <v>0.75900000000000001</v>
      </c>
      <c r="Z204" s="2193">
        <f t="shared" si="85"/>
        <v>44106.249000000003</v>
      </c>
      <c r="AA204" s="2325" t="s">
        <v>1331</v>
      </c>
      <c r="AB204" s="597">
        <f t="shared" si="89"/>
        <v>27779.066673031226</v>
      </c>
      <c r="AC204" s="597">
        <f t="shared" si="90"/>
        <v>2033927703.6660001</v>
      </c>
      <c r="AD204" s="597">
        <f t="shared" si="91"/>
        <v>40008.181413340986</v>
      </c>
      <c r="AE204" s="610">
        <f t="shared" si="86"/>
        <v>40008.181413340986</v>
      </c>
      <c r="AF204" s="572">
        <f t="shared" si="92"/>
        <v>32104.940999999999</v>
      </c>
      <c r="AG204" s="572">
        <f t="shared" si="93"/>
        <v>0.44932800000000001</v>
      </c>
      <c r="AH204" s="600">
        <f t="shared" si="94"/>
        <v>9.344543091547898E-6</v>
      </c>
    </row>
    <row r="205" spans="1:35" ht="14.4" hidden="1" x14ac:dyDescent="0.3">
      <c r="A205" s="560" t="s">
        <v>568</v>
      </c>
      <c r="B205" s="557" t="str">
        <f t="shared" si="88"/>
        <v>2010s</v>
      </c>
      <c r="C205" s="561">
        <v>2017</v>
      </c>
      <c r="D205" s="562">
        <f t="shared" si="98"/>
        <v>2012</v>
      </c>
      <c r="E205" s="563">
        <f t="shared" si="99"/>
        <v>2014</v>
      </c>
      <c r="F205" s="587">
        <f t="shared" si="100"/>
        <v>88263</v>
      </c>
      <c r="G205" s="587">
        <f t="shared" si="101"/>
        <v>91242</v>
      </c>
      <c r="H205" s="587">
        <f t="shared" si="102"/>
        <v>90672</v>
      </c>
      <c r="I205" s="2121">
        <f t="shared" si="103"/>
        <v>42299</v>
      </c>
      <c r="J205" s="2125">
        <f t="shared" si="104"/>
        <v>0.57771313065093288</v>
      </c>
      <c r="K205" s="2172">
        <f t="shared" si="105"/>
        <v>58111</v>
      </c>
      <c r="L205" s="591">
        <f t="shared" si="113"/>
        <v>52711.701466852421</v>
      </c>
      <c r="M205" s="589">
        <f t="shared" si="114"/>
        <v>42299</v>
      </c>
      <c r="N205" s="591">
        <f t="shared" si="97"/>
        <v>3859445358</v>
      </c>
      <c r="O205" s="569">
        <f t="shared" si="106"/>
        <v>4.8661800486618006E-3</v>
      </c>
      <c r="P205" s="592">
        <f t="shared" si="107"/>
        <v>0.57771313065093288</v>
      </c>
      <c r="Q205" s="593">
        <f t="shared" si="108"/>
        <v>0</v>
      </c>
      <c r="R205" s="572">
        <f t="shared" si="109"/>
        <v>0.59199999999999997</v>
      </c>
      <c r="S205" s="573">
        <f t="shared" si="110"/>
        <v>0.13819040056467266</v>
      </c>
      <c r="T205" s="574">
        <v>1.3</v>
      </c>
      <c r="U205" s="557">
        <f t="shared" si="111"/>
        <v>5</v>
      </c>
      <c r="V205" s="575">
        <f t="shared" si="112"/>
        <v>1</v>
      </c>
      <c r="W205" s="2183">
        <v>0.221</v>
      </c>
      <c r="X205" s="595">
        <f t="shared" si="87"/>
        <v>20164.482</v>
      </c>
      <c r="Y205" s="2189">
        <v>0.18099999999999999</v>
      </c>
      <c r="Z205" s="2193">
        <f t="shared" si="85"/>
        <v>10518.091</v>
      </c>
      <c r="AA205" s="2325" t="s">
        <v>1331</v>
      </c>
      <c r="AB205" s="597">
        <f t="shared" si="89"/>
        <v>11649.286024174386</v>
      </c>
      <c r="AC205" s="597">
        <f t="shared" si="90"/>
        <v>852937424.11800003</v>
      </c>
      <c r="AD205" s="597">
        <f t="shared" si="91"/>
        <v>9540.8179655002878</v>
      </c>
      <c r="AE205" s="610">
        <f t="shared" si="86"/>
        <v>9540.8179655002878</v>
      </c>
      <c r="AF205" s="572">
        <f t="shared" si="92"/>
        <v>7656.1189999999997</v>
      </c>
      <c r="AG205" s="572">
        <f t="shared" si="93"/>
        <v>0.107152</v>
      </c>
      <c r="AH205" s="600">
        <f t="shared" si="94"/>
        <v>5.3138979716910158E-6</v>
      </c>
    </row>
    <row r="206" spans="1:35" ht="14.4" hidden="1" x14ac:dyDescent="0.3">
      <c r="A206" s="560" t="s">
        <v>568</v>
      </c>
      <c r="B206" s="557" t="str">
        <f t="shared" si="88"/>
        <v>2010s</v>
      </c>
      <c r="C206" s="561">
        <v>2017</v>
      </c>
      <c r="D206" s="562">
        <f t="shared" si="98"/>
        <v>2013</v>
      </c>
      <c r="E206" s="563">
        <f t="shared" si="99"/>
        <v>2016</v>
      </c>
      <c r="F206" s="587">
        <f t="shared" si="100"/>
        <v>88263</v>
      </c>
      <c r="G206" s="587">
        <f t="shared" si="101"/>
        <v>91242</v>
      </c>
      <c r="H206" s="587">
        <f t="shared" si="102"/>
        <v>90672</v>
      </c>
      <c r="I206" s="2121">
        <f t="shared" si="103"/>
        <v>42299</v>
      </c>
      <c r="J206" s="2125">
        <f t="shared" si="104"/>
        <v>0.57771313065093288</v>
      </c>
      <c r="K206" s="2172">
        <f t="shared" si="105"/>
        <v>58111</v>
      </c>
      <c r="L206" s="591">
        <f t="shared" si="113"/>
        <v>52711.701466852421</v>
      </c>
      <c r="M206" s="589">
        <f t="shared" si="114"/>
        <v>42299</v>
      </c>
      <c r="N206" s="591">
        <f t="shared" si="97"/>
        <v>3859445358</v>
      </c>
      <c r="O206" s="569">
        <f t="shared" si="106"/>
        <v>4.8661800486618006E-3</v>
      </c>
      <c r="P206" s="592">
        <f t="shared" si="107"/>
        <v>0.57771313065093288</v>
      </c>
      <c r="Q206" s="593">
        <f t="shared" si="108"/>
        <v>0</v>
      </c>
      <c r="R206" s="572">
        <f t="shared" si="109"/>
        <v>0.59199999999999997</v>
      </c>
      <c r="S206" s="573">
        <f t="shared" si="110"/>
        <v>0.13819040056467266</v>
      </c>
      <c r="T206" s="574">
        <v>2.1</v>
      </c>
      <c r="U206" s="557">
        <f t="shared" si="111"/>
        <v>4.0000000000000009</v>
      </c>
      <c r="V206" s="575">
        <f t="shared" si="112"/>
        <v>2</v>
      </c>
      <c r="W206" s="2183">
        <v>3.5999999999999997E-2</v>
      </c>
      <c r="X206" s="595">
        <f t="shared" si="87"/>
        <v>3284.7119999999995</v>
      </c>
      <c r="Y206" s="2189">
        <v>1.4999999999999999E-2</v>
      </c>
      <c r="Z206" s="2193">
        <f t="shared" si="85"/>
        <v>871.66499999999996</v>
      </c>
      <c r="AA206" s="2325" t="s">
        <v>1331</v>
      </c>
      <c r="AB206" s="597">
        <f t="shared" si="89"/>
        <v>1897.6212528066869</v>
      </c>
      <c r="AC206" s="597">
        <f t="shared" si="90"/>
        <v>138940032.88799998</v>
      </c>
      <c r="AD206" s="597">
        <f t="shared" si="91"/>
        <v>790.67552200278624</v>
      </c>
      <c r="AE206" s="610">
        <f t="shared" si="86"/>
        <v>790.67552200278624</v>
      </c>
      <c r="AF206" s="572">
        <f t="shared" si="92"/>
        <v>634.48500000000001</v>
      </c>
      <c r="AG206" s="572">
        <f t="shared" si="93"/>
        <v>8.879999999999999E-3</v>
      </c>
      <c r="AH206" s="600">
        <f t="shared" si="94"/>
        <v>2.7034333603676671E-6</v>
      </c>
    </row>
    <row r="207" spans="1:35" ht="14.4" hidden="1" x14ac:dyDescent="0.3">
      <c r="A207" s="560" t="s">
        <v>568</v>
      </c>
      <c r="B207" s="557" t="str">
        <f t="shared" si="88"/>
        <v>2010s</v>
      </c>
      <c r="C207" s="561">
        <v>2017</v>
      </c>
      <c r="D207" s="562">
        <f t="shared" si="98"/>
        <v>2012</v>
      </c>
      <c r="E207" s="563">
        <f t="shared" si="99"/>
        <v>2015</v>
      </c>
      <c r="F207" s="587">
        <f t="shared" si="100"/>
        <v>88263</v>
      </c>
      <c r="G207" s="587">
        <f t="shared" si="101"/>
        <v>91242</v>
      </c>
      <c r="H207" s="587">
        <f t="shared" si="102"/>
        <v>90672</v>
      </c>
      <c r="I207" s="2121">
        <f t="shared" si="103"/>
        <v>42299</v>
      </c>
      <c r="J207" s="2125">
        <f t="shared" si="104"/>
        <v>0.57771313065093288</v>
      </c>
      <c r="K207" s="2172">
        <f t="shared" si="105"/>
        <v>58111</v>
      </c>
      <c r="L207" s="591">
        <f t="shared" si="113"/>
        <v>52711.701466852421</v>
      </c>
      <c r="M207" s="589">
        <f t="shared" si="114"/>
        <v>42299</v>
      </c>
      <c r="N207" s="591">
        <f t="shared" si="97"/>
        <v>3859445358</v>
      </c>
      <c r="O207" s="569">
        <f t="shared" si="106"/>
        <v>4.8661800486618006E-3</v>
      </c>
      <c r="P207" s="592">
        <f t="shared" si="107"/>
        <v>0.57771313065093288</v>
      </c>
      <c r="Q207" s="593">
        <f t="shared" si="108"/>
        <v>0</v>
      </c>
      <c r="R207" s="572">
        <f t="shared" si="109"/>
        <v>0.59199999999999997</v>
      </c>
      <c r="S207" s="573">
        <f t="shared" si="110"/>
        <v>0.13819040056467266</v>
      </c>
      <c r="T207" s="574">
        <v>2.2000000000000002</v>
      </c>
      <c r="U207" s="557">
        <f t="shared" si="111"/>
        <v>5.0000000000000018</v>
      </c>
      <c r="V207" s="575">
        <f t="shared" si="112"/>
        <v>2</v>
      </c>
      <c r="W207" s="2183">
        <v>2.1999999999999999E-2</v>
      </c>
      <c r="X207" s="595">
        <f t="shared" si="87"/>
        <v>2007.3239999999998</v>
      </c>
      <c r="Y207" s="2189">
        <v>7.0000000000000001E-3</v>
      </c>
      <c r="Z207" s="2193">
        <f t="shared" si="85"/>
        <v>406.77699999999999</v>
      </c>
      <c r="AA207" s="2325" t="s">
        <v>1331</v>
      </c>
      <c r="AB207" s="597">
        <f t="shared" si="89"/>
        <v>1159.6574322707531</v>
      </c>
      <c r="AC207" s="597">
        <f t="shared" si="90"/>
        <v>84907797.876000002</v>
      </c>
      <c r="AD207" s="597">
        <f t="shared" si="91"/>
        <v>368.98191026796695</v>
      </c>
      <c r="AE207" s="610">
        <f t="shared" si="86"/>
        <v>368.98191026796695</v>
      </c>
      <c r="AF207" s="572">
        <f t="shared" si="92"/>
        <v>296.09300000000002</v>
      </c>
      <c r="AG207" s="572">
        <f t="shared" si="93"/>
        <v>4.1440000000000001E-3</v>
      </c>
      <c r="AH207" s="600">
        <f t="shared" si="94"/>
        <v>2.0644400206444002E-6</v>
      </c>
    </row>
    <row r="208" spans="1:35" ht="15" hidden="1" thickBot="1" x14ac:dyDescent="0.35">
      <c r="A208" s="630" t="s">
        <v>568</v>
      </c>
      <c r="B208" s="631" t="str">
        <f t="shared" si="88"/>
        <v>2010s</v>
      </c>
      <c r="C208" s="2178">
        <v>2017</v>
      </c>
      <c r="D208" s="632">
        <f t="shared" si="98"/>
        <v>2011</v>
      </c>
      <c r="E208" s="633">
        <f t="shared" si="99"/>
        <v>2014</v>
      </c>
      <c r="F208" s="587">
        <f t="shared" si="100"/>
        <v>88263</v>
      </c>
      <c r="G208" s="587">
        <f t="shared" si="101"/>
        <v>91242</v>
      </c>
      <c r="H208" s="587">
        <f t="shared" si="102"/>
        <v>90672</v>
      </c>
      <c r="I208" s="2121">
        <f t="shared" si="103"/>
        <v>42299</v>
      </c>
      <c r="J208" s="2125">
        <f t="shared" si="104"/>
        <v>0.57771313065093288</v>
      </c>
      <c r="K208" s="2173">
        <f t="shared" si="105"/>
        <v>58111</v>
      </c>
      <c r="L208" s="591">
        <f t="shared" si="113"/>
        <v>52711.701466852421</v>
      </c>
      <c r="M208" s="589">
        <f t="shared" si="114"/>
        <v>42299</v>
      </c>
      <c r="N208" s="591">
        <f t="shared" si="97"/>
        <v>3859445358</v>
      </c>
      <c r="O208" s="569">
        <f t="shared" si="106"/>
        <v>4.8661800486618006E-3</v>
      </c>
      <c r="P208" s="592">
        <f t="shared" si="107"/>
        <v>0.57771313065093288</v>
      </c>
      <c r="Q208" s="593">
        <f t="shared" si="108"/>
        <v>0</v>
      </c>
      <c r="R208" s="572">
        <f t="shared" si="109"/>
        <v>0.59199999999999997</v>
      </c>
      <c r="S208" s="573">
        <f t="shared" si="110"/>
        <v>0.13819040056467266</v>
      </c>
      <c r="T208" s="642">
        <v>2.2999999999999998</v>
      </c>
      <c r="U208" s="631">
        <f t="shared" si="111"/>
        <v>5.9999999999999982</v>
      </c>
      <c r="V208" s="643">
        <f t="shared" si="112"/>
        <v>2</v>
      </c>
      <c r="W208" s="2184">
        <v>4.0000000000000001E-3</v>
      </c>
      <c r="X208" s="595">
        <f t="shared" si="87"/>
        <v>364.96800000000002</v>
      </c>
      <c r="Y208" s="2190">
        <v>0</v>
      </c>
      <c r="Z208" s="2194">
        <f t="shared" ref="Z208:Z243" si="115">K208*Y208</f>
        <v>0</v>
      </c>
      <c r="AA208" s="2325" t="s">
        <v>1331</v>
      </c>
      <c r="AB208" s="597">
        <f t="shared" si="89"/>
        <v>210.8468058674097</v>
      </c>
      <c r="AC208" s="597">
        <f t="shared" si="90"/>
        <v>15437781.432</v>
      </c>
      <c r="AD208" s="597">
        <f>IF(Y208,L208*Y208,0)</f>
        <v>0</v>
      </c>
      <c r="AE208" s="610">
        <f t="shared" ref="AE208:AE219" si="116">L208*Y208</f>
        <v>0</v>
      </c>
      <c r="AF208" s="572">
        <f t="shared" si="92"/>
        <v>0</v>
      </c>
      <c r="AG208" s="572">
        <f t="shared" si="93"/>
        <v>0</v>
      </c>
      <c r="AH208" s="600">
        <f t="shared" si="94"/>
        <v>0</v>
      </c>
    </row>
    <row r="209" spans="1:35" ht="14.4" hidden="1" x14ac:dyDescent="0.3">
      <c r="A209" s="2168" t="s">
        <v>568</v>
      </c>
      <c r="B209" s="2167" t="str">
        <f t="shared" si="88"/>
        <v>2010s</v>
      </c>
      <c r="C209" s="2177">
        <v>2018</v>
      </c>
      <c r="D209" s="2169">
        <f t="shared" si="98"/>
        <v>2015</v>
      </c>
      <c r="E209" s="2170">
        <f t="shared" si="99"/>
        <v>2017</v>
      </c>
      <c r="F209" s="587">
        <f t="shared" si="100"/>
        <v>210915</v>
      </c>
      <c r="G209" s="587">
        <f t="shared" si="101"/>
        <v>203637</v>
      </c>
      <c r="H209" s="587">
        <f t="shared" si="102"/>
        <v>203486</v>
      </c>
      <c r="I209" s="2121">
        <f t="shared" si="103"/>
        <v>153637</v>
      </c>
      <c r="J209" s="2125">
        <f t="shared" si="104"/>
        <v>0.89319163532140755</v>
      </c>
      <c r="K209" s="2171">
        <f t="shared" si="105"/>
        <v>187073</v>
      </c>
      <c r="L209" s="591">
        <f t="shared" si="113"/>
        <v>181886.86504194548</v>
      </c>
      <c r="M209" s="589">
        <f t="shared" si="114"/>
        <v>153637</v>
      </c>
      <c r="N209" s="591">
        <f t="shared" si="97"/>
        <v>31286177769</v>
      </c>
      <c r="O209" s="569">
        <f t="shared" si="106"/>
        <v>1.4584775851146895E-3</v>
      </c>
      <c r="P209" s="592">
        <f t="shared" si="107"/>
        <v>0.89319163532140755</v>
      </c>
      <c r="Q209" s="593">
        <f t="shared" si="108"/>
        <v>0</v>
      </c>
      <c r="R209" s="572">
        <f t="shared" si="109"/>
        <v>0.90199999999999991</v>
      </c>
      <c r="S209" s="573">
        <f t="shared" si="110"/>
        <v>0.11527082944281179</v>
      </c>
      <c r="T209" s="2166">
        <v>1.1000000000000001</v>
      </c>
      <c r="U209" s="2167">
        <f t="shared" si="111"/>
        <v>3.0000000000000009</v>
      </c>
      <c r="V209" s="2180">
        <f t="shared" si="112"/>
        <v>1</v>
      </c>
      <c r="W209" s="2181">
        <v>4.0000000000000001E-3</v>
      </c>
      <c r="X209" s="595">
        <f t="shared" si="87"/>
        <v>814.548</v>
      </c>
      <c r="Y209" s="2185">
        <v>2.5999999999999999E-3</v>
      </c>
      <c r="Z209" s="2192">
        <f t="shared" si="115"/>
        <v>486.38979999999998</v>
      </c>
      <c r="AA209" s="2325" t="s">
        <v>1331</v>
      </c>
      <c r="AB209" s="597">
        <f t="shared" si="89"/>
        <v>727.54746016778188</v>
      </c>
      <c r="AC209" s="597">
        <f t="shared" si="90"/>
        <v>125144711.07600001</v>
      </c>
      <c r="AD209" s="597">
        <f t="shared" si="91"/>
        <v>472.90584910905824</v>
      </c>
      <c r="AE209" s="610">
        <f t="shared" si="116"/>
        <v>472.90584910905824</v>
      </c>
      <c r="AF209" s="572">
        <f t="shared" si="92"/>
        <v>399.45619999999997</v>
      </c>
      <c r="AG209" s="572">
        <f t="shared" si="93"/>
        <v>2.3451999999999995E-3</v>
      </c>
      <c r="AH209" s="600">
        <f t="shared" si="94"/>
        <v>2.8791427883930714E-6</v>
      </c>
      <c r="AI209" s="622" t="s">
        <v>614</v>
      </c>
    </row>
    <row r="210" spans="1:35" ht="14.4" hidden="1" x14ac:dyDescent="0.3">
      <c r="A210" s="560" t="s">
        <v>568</v>
      </c>
      <c r="B210" s="557" t="str">
        <f t="shared" si="88"/>
        <v>2010s</v>
      </c>
      <c r="C210" s="561">
        <v>2018</v>
      </c>
      <c r="D210" s="562">
        <f t="shared" si="98"/>
        <v>2014</v>
      </c>
      <c r="E210" s="563">
        <f t="shared" si="99"/>
        <v>2016</v>
      </c>
      <c r="F210" s="587">
        <f t="shared" si="100"/>
        <v>210915</v>
      </c>
      <c r="G210" s="587">
        <f t="shared" si="101"/>
        <v>203637</v>
      </c>
      <c r="H210" s="587">
        <f t="shared" si="102"/>
        <v>203486</v>
      </c>
      <c r="I210" s="2121">
        <f t="shared" si="103"/>
        <v>153637</v>
      </c>
      <c r="J210" s="2125">
        <f t="shared" si="104"/>
        <v>0.89319163532140755</v>
      </c>
      <c r="K210" s="2172">
        <f t="shared" si="105"/>
        <v>187073</v>
      </c>
      <c r="L210" s="591">
        <f t="shared" si="113"/>
        <v>181886.86504194548</v>
      </c>
      <c r="M210" s="589">
        <f t="shared" si="114"/>
        <v>153637</v>
      </c>
      <c r="N210" s="591">
        <f t="shared" si="97"/>
        <v>31286177769</v>
      </c>
      <c r="O210" s="569">
        <f t="shared" si="106"/>
        <v>1.4584775851146895E-3</v>
      </c>
      <c r="P210" s="592">
        <f t="shared" si="107"/>
        <v>0.89319163532140755</v>
      </c>
      <c r="Q210" s="593">
        <f t="shared" si="108"/>
        <v>0</v>
      </c>
      <c r="R210" s="572">
        <f t="shared" si="109"/>
        <v>0.90199999999999991</v>
      </c>
      <c r="S210" s="573">
        <f t="shared" si="110"/>
        <v>0.11527082944281179</v>
      </c>
      <c r="T210" s="574">
        <v>1.2</v>
      </c>
      <c r="U210" s="557">
        <f t="shared" si="111"/>
        <v>3.9999999999999996</v>
      </c>
      <c r="V210" s="575">
        <f t="shared" si="112"/>
        <v>1</v>
      </c>
      <c r="W210" s="2183">
        <v>0.95599999999999996</v>
      </c>
      <c r="X210" s="595">
        <f t="shared" si="87"/>
        <v>194676.97199999998</v>
      </c>
      <c r="Y210" s="2189">
        <v>0.97099999999999997</v>
      </c>
      <c r="Z210" s="2193">
        <f t="shared" si="115"/>
        <v>181647.883</v>
      </c>
      <c r="AA210" s="2325" t="s">
        <v>1331</v>
      </c>
      <c r="AB210" s="597">
        <f t="shared" si="89"/>
        <v>173883.84298009987</v>
      </c>
      <c r="AC210" s="597">
        <f t="shared" si="90"/>
        <v>29909585947.163998</v>
      </c>
      <c r="AD210" s="597">
        <f t="shared" si="91"/>
        <v>176612.14595572907</v>
      </c>
      <c r="AE210" s="610">
        <f t="shared" si="116"/>
        <v>176612.14595572907</v>
      </c>
      <c r="AF210" s="572">
        <f t="shared" si="92"/>
        <v>149181.527</v>
      </c>
      <c r="AG210" s="572">
        <f t="shared" si="93"/>
        <v>0.8758419999999999</v>
      </c>
      <c r="AH210" s="600">
        <f t="shared" si="94"/>
        <v>4.4989501891369052E-6</v>
      </c>
      <c r="AI210" s="622" t="s">
        <v>615</v>
      </c>
    </row>
    <row r="211" spans="1:35" ht="14.4" hidden="1" x14ac:dyDescent="0.3">
      <c r="A211" s="560" t="s">
        <v>568</v>
      </c>
      <c r="B211" s="557" t="str">
        <f t="shared" si="88"/>
        <v>2010s</v>
      </c>
      <c r="C211" s="561">
        <v>2018</v>
      </c>
      <c r="D211" s="562">
        <f t="shared" si="98"/>
        <v>2013</v>
      </c>
      <c r="E211" s="563">
        <f t="shared" si="99"/>
        <v>2015</v>
      </c>
      <c r="F211" s="587">
        <f t="shared" si="100"/>
        <v>210915</v>
      </c>
      <c r="G211" s="587">
        <f t="shared" si="101"/>
        <v>203637</v>
      </c>
      <c r="H211" s="587">
        <f t="shared" si="102"/>
        <v>203486</v>
      </c>
      <c r="I211" s="2121">
        <f t="shared" si="103"/>
        <v>153637</v>
      </c>
      <c r="J211" s="2125">
        <f t="shared" si="104"/>
        <v>0.89319163532140755</v>
      </c>
      <c r="K211" s="2172">
        <f t="shared" si="105"/>
        <v>187073</v>
      </c>
      <c r="L211" s="591">
        <f t="shared" si="113"/>
        <v>181886.86504194548</v>
      </c>
      <c r="M211" s="589">
        <f t="shared" si="114"/>
        <v>153637</v>
      </c>
      <c r="N211" s="591">
        <f t="shared" si="97"/>
        <v>31286177769</v>
      </c>
      <c r="O211" s="569">
        <f t="shared" si="106"/>
        <v>1.4584775851146895E-3</v>
      </c>
      <c r="P211" s="592">
        <f t="shared" si="107"/>
        <v>0.89319163532140755</v>
      </c>
      <c r="Q211" s="593">
        <f t="shared" si="108"/>
        <v>0</v>
      </c>
      <c r="R211" s="572">
        <f t="shared" si="109"/>
        <v>0.90199999999999991</v>
      </c>
      <c r="S211" s="573">
        <f t="shared" si="110"/>
        <v>0.11527082944281179</v>
      </c>
      <c r="T211" s="574">
        <v>1.3</v>
      </c>
      <c r="U211" s="557">
        <f t="shared" si="111"/>
        <v>5</v>
      </c>
      <c r="V211" s="575">
        <f t="shared" si="112"/>
        <v>1</v>
      </c>
      <c r="W211" s="2183">
        <v>1.0999999999999999E-2</v>
      </c>
      <c r="X211" s="595">
        <f t="shared" si="87"/>
        <v>2240.0070000000001</v>
      </c>
      <c r="Y211" s="2189">
        <v>2.1000000000000001E-2</v>
      </c>
      <c r="Z211" s="2193">
        <f t="shared" si="115"/>
        <v>3928.5330000000004</v>
      </c>
      <c r="AA211" s="2325" t="s">
        <v>1331</v>
      </c>
      <c r="AB211" s="597">
        <f t="shared" si="89"/>
        <v>2000.7555154614001</v>
      </c>
      <c r="AC211" s="597">
        <f t="shared" si="90"/>
        <v>344147955.45899999</v>
      </c>
      <c r="AD211" s="597">
        <f t="shared" si="91"/>
        <v>3819.6241658808553</v>
      </c>
      <c r="AE211" s="610">
        <f t="shared" si="116"/>
        <v>3819.6241658808553</v>
      </c>
      <c r="AF211" s="572">
        <f t="shared" si="92"/>
        <v>3226.3770000000004</v>
      </c>
      <c r="AG211" s="572">
        <f t="shared" si="93"/>
        <v>1.8942000000000001E-2</v>
      </c>
      <c r="AH211" s="600">
        <f t="shared" si="94"/>
        <v>8.4562235743013301E-6</v>
      </c>
      <c r="AI211" s="622" t="s">
        <v>616</v>
      </c>
    </row>
    <row r="212" spans="1:35" ht="14.4" hidden="1" x14ac:dyDescent="0.3">
      <c r="A212" s="560" t="s">
        <v>568</v>
      </c>
      <c r="B212" s="557" t="str">
        <f t="shared" si="88"/>
        <v>2010s</v>
      </c>
      <c r="C212" s="561">
        <v>2018</v>
      </c>
      <c r="D212" s="562">
        <f t="shared" si="98"/>
        <v>2014</v>
      </c>
      <c r="E212" s="563">
        <f t="shared" si="99"/>
        <v>2017</v>
      </c>
      <c r="F212" s="587">
        <f t="shared" si="100"/>
        <v>210915</v>
      </c>
      <c r="G212" s="587">
        <f t="shared" si="101"/>
        <v>203637</v>
      </c>
      <c r="H212" s="587">
        <f t="shared" si="102"/>
        <v>203486</v>
      </c>
      <c r="I212" s="2121">
        <f t="shared" si="103"/>
        <v>153637</v>
      </c>
      <c r="J212" s="2125">
        <f t="shared" si="104"/>
        <v>0.89319163532140755</v>
      </c>
      <c r="K212" s="2172">
        <f t="shared" si="105"/>
        <v>187073</v>
      </c>
      <c r="L212" s="591">
        <f t="shared" si="113"/>
        <v>181886.86504194548</v>
      </c>
      <c r="M212" s="589">
        <f t="shared" si="114"/>
        <v>153637</v>
      </c>
      <c r="N212" s="591">
        <f t="shared" si="97"/>
        <v>31286177769</v>
      </c>
      <c r="O212" s="569">
        <f t="shared" si="106"/>
        <v>1.4584775851146895E-3</v>
      </c>
      <c r="P212" s="592">
        <f t="shared" si="107"/>
        <v>0.89319163532140755</v>
      </c>
      <c r="Q212" s="593">
        <f t="shared" si="108"/>
        <v>0</v>
      </c>
      <c r="R212" s="572">
        <f t="shared" si="109"/>
        <v>0.90199999999999991</v>
      </c>
      <c r="S212" s="573">
        <f t="shared" si="110"/>
        <v>0.11527082944281179</v>
      </c>
      <c r="T212" s="574">
        <v>2.1</v>
      </c>
      <c r="U212" s="557">
        <f t="shared" si="111"/>
        <v>4.0000000000000009</v>
      </c>
      <c r="V212" s="575">
        <f t="shared" si="112"/>
        <v>2</v>
      </c>
      <c r="W212" s="2183">
        <v>2.1999999999999999E-2</v>
      </c>
      <c r="X212" s="595">
        <f t="shared" si="87"/>
        <v>4480.0140000000001</v>
      </c>
      <c r="Y212" s="2189">
        <v>2.5999999999999999E-3</v>
      </c>
      <c r="Z212" s="2193">
        <f t="shared" si="115"/>
        <v>486.38979999999998</v>
      </c>
      <c r="AA212" s="2325" t="s">
        <v>1331</v>
      </c>
      <c r="AB212" s="597">
        <f t="shared" si="89"/>
        <v>4001.5110309228003</v>
      </c>
      <c r="AC212" s="597">
        <f t="shared" si="90"/>
        <v>688295910.91799998</v>
      </c>
      <c r="AD212" s="597">
        <f t="shared" si="91"/>
        <v>472.90584910905824</v>
      </c>
      <c r="AE212" s="610">
        <f t="shared" si="116"/>
        <v>472.90584910905824</v>
      </c>
      <c r="AF212" s="572">
        <f t="shared" si="92"/>
        <v>399.45619999999997</v>
      </c>
      <c r="AG212" s="572">
        <f t="shared" si="93"/>
        <v>2.3451999999999995E-3</v>
      </c>
      <c r="AH212" s="600">
        <f t="shared" si="94"/>
        <v>5.2348050698055844E-7</v>
      </c>
      <c r="AI212" s="622" t="s">
        <v>617</v>
      </c>
    </row>
    <row r="213" spans="1:35" ht="15" hidden="1" thickBot="1" x14ac:dyDescent="0.35">
      <c r="A213" s="630" t="s">
        <v>568</v>
      </c>
      <c r="B213" s="631" t="str">
        <f t="shared" si="88"/>
        <v>2010s</v>
      </c>
      <c r="C213" s="2178">
        <v>2018</v>
      </c>
      <c r="D213" s="632">
        <f t="shared" si="98"/>
        <v>2013</v>
      </c>
      <c r="E213" s="633">
        <f t="shared" si="99"/>
        <v>2016</v>
      </c>
      <c r="F213" s="587">
        <f t="shared" si="100"/>
        <v>210915</v>
      </c>
      <c r="G213" s="587">
        <f t="shared" si="101"/>
        <v>203637</v>
      </c>
      <c r="H213" s="587">
        <f t="shared" si="102"/>
        <v>203486</v>
      </c>
      <c r="I213" s="2121">
        <f t="shared" si="103"/>
        <v>153637</v>
      </c>
      <c r="J213" s="2125">
        <f t="shared" si="104"/>
        <v>0.89319163532140755</v>
      </c>
      <c r="K213" s="2173">
        <f t="shared" si="105"/>
        <v>187073</v>
      </c>
      <c r="L213" s="591">
        <f t="shared" si="113"/>
        <v>181886.86504194548</v>
      </c>
      <c r="M213" s="589">
        <f t="shared" si="114"/>
        <v>153637</v>
      </c>
      <c r="N213" s="591">
        <f t="shared" si="97"/>
        <v>31286177769</v>
      </c>
      <c r="O213" s="569">
        <f t="shared" si="106"/>
        <v>1.4584775851146895E-3</v>
      </c>
      <c r="P213" s="592">
        <f t="shared" si="107"/>
        <v>0.89319163532140755</v>
      </c>
      <c r="Q213" s="593">
        <f t="shared" si="108"/>
        <v>0</v>
      </c>
      <c r="R213" s="572">
        <f t="shared" si="109"/>
        <v>0.90199999999999991</v>
      </c>
      <c r="S213" s="573">
        <f t="shared" si="110"/>
        <v>0.11527082944281179</v>
      </c>
      <c r="T213" s="642">
        <v>2.2000000000000002</v>
      </c>
      <c r="U213" s="631">
        <f t="shared" si="111"/>
        <v>5.0000000000000018</v>
      </c>
      <c r="V213" s="643">
        <f t="shared" si="112"/>
        <v>2</v>
      </c>
      <c r="W213" s="2184">
        <v>6.0000000000000001E-3</v>
      </c>
      <c r="X213" s="595">
        <f t="shared" si="87"/>
        <v>1221.8220000000001</v>
      </c>
      <c r="Y213" s="2190">
        <v>2.5999999999999999E-3</v>
      </c>
      <c r="Z213" s="2194">
        <f t="shared" si="115"/>
        <v>486.38979999999998</v>
      </c>
      <c r="AA213" s="2325" t="s">
        <v>1331</v>
      </c>
      <c r="AB213" s="597">
        <f t="shared" si="89"/>
        <v>1091.321190251673</v>
      </c>
      <c r="AC213" s="597">
        <f t="shared" si="90"/>
        <v>187717066.61399999</v>
      </c>
      <c r="AD213" s="597">
        <f t="shared" si="91"/>
        <v>472.90584910905824</v>
      </c>
      <c r="AE213" s="610">
        <f t="shared" si="116"/>
        <v>472.90584910905824</v>
      </c>
      <c r="AF213" s="572">
        <f t="shared" si="92"/>
        <v>399.45619999999997</v>
      </c>
      <c r="AG213" s="572">
        <f t="shared" si="93"/>
        <v>2.3451999999999995E-3</v>
      </c>
      <c r="AH213" s="600">
        <f t="shared" si="94"/>
        <v>1.919428525595381E-6</v>
      </c>
      <c r="AI213" s="622" t="s">
        <v>618</v>
      </c>
    </row>
    <row r="214" spans="1:35" ht="14.4" hidden="1" x14ac:dyDescent="0.3">
      <c r="A214" s="2168" t="s">
        <v>568</v>
      </c>
      <c r="B214" s="2167" t="str">
        <f t="shared" si="88"/>
        <v>2010s</v>
      </c>
      <c r="C214" s="2177">
        <v>2019</v>
      </c>
      <c r="D214" s="2169">
        <f t="shared" si="98"/>
        <v>2016</v>
      </c>
      <c r="E214" s="2170">
        <f t="shared" si="99"/>
        <v>2018</v>
      </c>
      <c r="F214" s="587">
        <f t="shared" si="100"/>
        <v>63222</v>
      </c>
      <c r="G214" s="587">
        <f t="shared" si="101"/>
        <v>64511</v>
      </c>
      <c r="H214" s="587">
        <f t="shared" si="102"/>
        <v>64470</v>
      </c>
      <c r="I214" s="2121">
        <f t="shared" si="103"/>
        <v>49862</v>
      </c>
      <c r="J214" s="2125">
        <f t="shared" si="104"/>
        <v>0.85143950001707591</v>
      </c>
      <c r="K214" s="2171">
        <f t="shared" si="105"/>
        <v>54550</v>
      </c>
      <c r="L214" s="591">
        <f t="shared" si="113"/>
        <v>54927.213585601581</v>
      </c>
      <c r="M214" s="589">
        <f t="shared" si="114"/>
        <v>49862</v>
      </c>
      <c r="N214" s="591">
        <f t="shared" si="97"/>
        <v>3216647482</v>
      </c>
      <c r="O214" s="569">
        <f t="shared" si="106"/>
        <v>5.1929128365705074E-3</v>
      </c>
      <c r="P214" s="592">
        <f t="shared" si="107"/>
        <v>0.85143950001707591</v>
      </c>
      <c r="Q214" s="623">
        <f t="shared" si="108"/>
        <v>0</v>
      </c>
      <c r="R214" s="572">
        <f t="shared" si="109"/>
        <v>0.85500000000000009</v>
      </c>
      <c r="S214" s="624">
        <f t="shared" si="110"/>
        <v>6.9101907864122847E-2</v>
      </c>
      <c r="T214" s="2166">
        <v>1.1000000000000001</v>
      </c>
      <c r="U214" s="2167">
        <f t="shared" si="111"/>
        <v>3.0000000000000009</v>
      </c>
      <c r="V214" s="2180">
        <f t="shared" si="112"/>
        <v>1</v>
      </c>
      <c r="W214" s="2181">
        <v>0.54300000000000004</v>
      </c>
      <c r="X214" s="595">
        <f t="shared" si="87"/>
        <v>35029.473000000005</v>
      </c>
      <c r="Y214" s="2185">
        <v>0.185</v>
      </c>
      <c r="Z214" s="2192">
        <f t="shared" si="115"/>
        <v>10091.75</v>
      </c>
      <c r="AA214" s="2325" t="s">
        <v>1331</v>
      </c>
      <c r="AB214" s="597">
        <f t="shared" si="89"/>
        <v>29825.476976981659</v>
      </c>
      <c r="AC214" s="597">
        <f t="shared" si="90"/>
        <v>1746639582.7260001</v>
      </c>
      <c r="AD214" s="597">
        <f t="shared" si="91"/>
        <v>10161.534513336292</v>
      </c>
      <c r="AE214" s="610">
        <f t="shared" si="116"/>
        <v>10161.534513336292</v>
      </c>
      <c r="AF214" s="572">
        <f t="shared" si="92"/>
        <v>9224.4699999999993</v>
      </c>
      <c r="AG214" s="572">
        <f t="shared" si="93"/>
        <v>0.15817500000000001</v>
      </c>
      <c r="AH214" s="600">
        <f t="shared" si="94"/>
        <v>4.5154832903138447E-6</v>
      </c>
      <c r="AI214" s="625" t="s">
        <v>619</v>
      </c>
    </row>
    <row r="215" spans="1:35" ht="14.4" hidden="1" x14ac:dyDescent="0.3">
      <c r="A215" s="560" t="s">
        <v>568</v>
      </c>
      <c r="B215" s="557" t="str">
        <f t="shared" si="88"/>
        <v>2010s</v>
      </c>
      <c r="C215" s="561">
        <v>2019</v>
      </c>
      <c r="D215" s="562">
        <f t="shared" si="98"/>
        <v>2015</v>
      </c>
      <c r="E215" s="563">
        <f t="shared" si="99"/>
        <v>2017</v>
      </c>
      <c r="F215" s="587">
        <f t="shared" si="100"/>
        <v>63222</v>
      </c>
      <c r="G215" s="587">
        <f t="shared" si="101"/>
        <v>64511</v>
      </c>
      <c r="H215" s="587">
        <f t="shared" si="102"/>
        <v>64470</v>
      </c>
      <c r="I215" s="2121">
        <f t="shared" si="103"/>
        <v>49862</v>
      </c>
      <c r="J215" s="2125">
        <f t="shared" si="104"/>
        <v>0.85143950001707591</v>
      </c>
      <c r="K215" s="2172">
        <f t="shared" si="105"/>
        <v>54550</v>
      </c>
      <c r="L215" s="591">
        <f t="shared" si="113"/>
        <v>54927.213585601581</v>
      </c>
      <c r="M215" s="589">
        <f t="shared" si="114"/>
        <v>49862</v>
      </c>
      <c r="N215" s="591">
        <f t="shared" si="97"/>
        <v>3216647482</v>
      </c>
      <c r="O215" s="569">
        <f t="shared" si="106"/>
        <v>5.1929128365705074E-3</v>
      </c>
      <c r="P215" s="592">
        <f t="shared" si="107"/>
        <v>0.85143950001707591</v>
      </c>
      <c r="Q215" s="623">
        <f t="shared" si="108"/>
        <v>0</v>
      </c>
      <c r="R215" s="572">
        <f t="shared" si="109"/>
        <v>0.85500000000000009</v>
      </c>
      <c r="S215" s="624">
        <f t="shared" si="110"/>
        <v>6.9101907864122847E-2</v>
      </c>
      <c r="T215" s="574">
        <v>1.2</v>
      </c>
      <c r="U215" s="557">
        <f t="shared" si="111"/>
        <v>3.9999999999999996</v>
      </c>
      <c r="V215" s="575">
        <f t="shared" si="112"/>
        <v>1</v>
      </c>
      <c r="W215" s="2183">
        <v>0.17199999999999999</v>
      </c>
      <c r="X215" s="595">
        <f t="shared" si="87"/>
        <v>11095.892</v>
      </c>
      <c r="Y215" s="2189">
        <v>0.54200000000000004</v>
      </c>
      <c r="Z215" s="2193">
        <f t="shared" si="115"/>
        <v>29566.100000000002</v>
      </c>
      <c r="AA215" s="2325" t="s">
        <v>1331</v>
      </c>
      <c r="AB215" s="597">
        <f t="shared" si="89"/>
        <v>9447.4807367234716</v>
      </c>
      <c r="AC215" s="597">
        <f t="shared" si="90"/>
        <v>553263366.90399992</v>
      </c>
      <c r="AD215" s="597">
        <f t="shared" si="91"/>
        <v>29770.549763396059</v>
      </c>
      <c r="AE215" s="610">
        <f t="shared" si="116"/>
        <v>29770.549763396059</v>
      </c>
      <c r="AF215" s="572">
        <f t="shared" si="92"/>
        <v>27025.204000000002</v>
      </c>
      <c r="AG215" s="572">
        <f t="shared" si="93"/>
        <v>0.4634100000000001</v>
      </c>
      <c r="AH215" s="600">
        <f t="shared" si="94"/>
        <v>4.1764105130078784E-5</v>
      </c>
      <c r="AI215" s="613" t="s">
        <v>620</v>
      </c>
    </row>
    <row r="216" spans="1:35" ht="14.4" hidden="1" x14ac:dyDescent="0.3">
      <c r="A216" s="560" t="s">
        <v>568</v>
      </c>
      <c r="B216" s="557" t="str">
        <f t="shared" si="88"/>
        <v>2010s</v>
      </c>
      <c r="C216" s="561">
        <v>2019</v>
      </c>
      <c r="D216" s="562">
        <f t="shared" si="98"/>
        <v>2014</v>
      </c>
      <c r="E216" s="563">
        <f t="shared" si="99"/>
        <v>2016</v>
      </c>
      <c r="F216" s="587">
        <f t="shared" si="100"/>
        <v>63222</v>
      </c>
      <c r="G216" s="587">
        <f t="shared" si="101"/>
        <v>64511</v>
      </c>
      <c r="H216" s="587">
        <f t="shared" si="102"/>
        <v>64470</v>
      </c>
      <c r="I216" s="2121">
        <f t="shared" si="103"/>
        <v>49862</v>
      </c>
      <c r="J216" s="2125">
        <f t="shared" si="104"/>
        <v>0.85143950001707591</v>
      </c>
      <c r="K216" s="2172">
        <f t="shared" si="105"/>
        <v>54550</v>
      </c>
      <c r="L216" s="591">
        <f t="shared" si="113"/>
        <v>54927.213585601581</v>
      </c>
      <c r="M216" s="589">
        <f t="shared" si="114"/>
        <v>49862</v>
      </c>
      <c r="N216" s="591">
        <f t="shared" si="97"/>
        <v>3216647482</v>
      </c>
      <c r="O216" s="569">
        <f t="shared" si="106"/>
        <v>5.1929128365705074E-3</v>
      </c>
      <c r="P216" s="592">
        <f t="shared" si="107"/>
        <v>0.85143950001707591</v>
      </c>
      <c r="Q216" s="623">
        <f t="shared" si="108"/>
        <v>0</v>
      </c>
      <c r="R216" s="572">
        <f t="shared" si="109"/>
        <v>0.85500000000000009</v>
      </c>
      <c r="S216" s="624">
        <f t="shared" si="110"/>
        <v>6.9101907864122847E-2</v>
      </c>
      <c r="T216" s="574">
        <v>1.3</v>
      </c>
      <c r="U216" s="557">
        <f t="shared" si="111"/>
        <v>5</v>
      </c>
      <c r="V216" s="575">
        <f t="shared" si="112"/>
        <v>1</v>
      </c>
      <c r="W216" s="2183">
        <v>0.224</v>
      </c>
      <c r="X216" s="595">
        <f t="shared" si="87"/>
        <v>14450.464</v>
      </c>
      <c r="Y216" s="2189">
        <v>0.26700000000000002</v>
      </c>
      <c r="Z216" s="2193">
        <f t="shared" si="115"/>
        <v>14564.85</v>
      </c>
      <c r="AA216" s="2325" t="s">
        <v>1331</v>
      </c>
      <c r="AB216" s="597">
        <f t="shared" si="89"/>
        <v>12303.695843174755</v>
      </c>
      <c r="AC216" s="597">
        <f t="shared" si="90"/>
        <v>720529035.96800005</v>
      </c>
      <c r="AD216" s="597">
        <f t="shared" si="91"/>
        <v>14665.566027355622</v>
      </c>
      <c r="AE216" s="610">
        <f t="shared" si="116"/>
        <v>14665.566027355622</v>
      </c>
      <c r="AF216" s="572">
        <f t="shared" si="92"/>
        <v>13313.154</v>
      </c>
      <c r="AG216" s="572">
        <f t="shared" si="93"/>
        <v>0.22828500000000004</v>
      </c>
      <c r="AH216" s="600">
        <f t="shared" si="94"/>
        <v>1.5797762618556749E-5</v>
      </c>
    </row>
    <row r="217" spans="1:35" ht="14.4" hidden="1" x14ac:dyDescent="0.3">
      <c r="A217" s="560" t="s">
        <v>568</v>
      </c>
      <c r="B217" s="557" t="str">
        <f t="shared" si="88"/>
        <v>2010s</v>
      </c>
      <c r="C217" s="561">
        <v>2019</v>
      </c>
      <c r="D217" s="562">
        <f t="shared" si="98"/>
        <v>2015</v>
      </c>
      <c r="E217" s="563">
        <f t="shared" si="99"/>
        <v>2018</v>
      </c>
      <c r="F217" s="587">
        <f t="shared" si="100"/>
        <v>63222</v>
      </c>
      <c r="G217" s="587">
        <f t="shared" si="101"/>
        <v>64511</v>
      </c>
      <c r="H217" s="587">
        <f t="shared" si="102"/>
        <v>64470</v>
      </c>
      <c r="I217" s="2121">
        <f t="shared" si="103"/>
        <v>49862</v>
      </c>
      <c r="J217" s="2125">
        <f t="shared" si="104"/>
        <v>0.85143950001707591</v>
      </c>
      <c r="K217" s="2172">
        <f t="shared" si="105"/>
        <v>54550</v>
      </c>
      <c r="L217" s="591">
        <f t="shared" si="113"/>
        <v>54927.213585601581</v>
      </c>
      <c r="M217" s="589">
        <f t="shared" si="114"/>
        <v>49862</v>
      </c>
      <c r="N217" s="591">
        <f t="shared" si="97"/>
        <v>3216647482</v>
      </c>
      <c r="O217" s="569">
        <f t="shared" si="106"/>
        <v>5.1929128365705074E-3</v>
      </c>
      <c r="P217" s="592">
        <f t="shared" si="107"/>
        <v>0.85143950001707591</v>
      </c>
      <c r="Q217" s="623">
        <f t="shared" si="108"/>
        <v>0</v>
      </c>
      <c r="R217" s="572">
        <f t="shared" si="109"/>
        <v>0.85500000000000009</v>
      </c>
      <c r="S217" s="624">
        <f t="shared" si="110"/>
        <v>6.9101907864122847E-2</v>
      </c>
      <c r="T217" s="574">
        <v>2.1</v>
      </c>
      <c r="U217" s="557">
        <f t="shared" si="111"/>
        <v>4.0000000000000009</v>
      </c>
      <c r="V217" s="575">
        <f t="shared" si="112"/>
        <v>2</v>
      </c>
      <c r="W217" s="2183">
        <v>1.2E-2</v>
      </c>
      <c r="X217" s="595">
        <f t="shared" si="87"/>
        <v>774.13200000000006</v>
      </c>
      <c r="Y217" s="2189">
        <v>2E-3</v>
      </c>
      <c r="Z217" s="2193">
        <f t="shared" si="115"/>
        <v>109.10000000000001</v>
      </c>
      <c r="AA217" s="2325" t="s">
        <v>1331</v>
      </c>
      <c r="AB217" s="597">
        <f t="shared" si="89"/>
        <v>659.12656302721894</v>
      </c>
      <c r="AC217" s="597">
        <f t="shared" si="90"/>
        <v>38599769.784000002</v>
      </c>
      <c r="AD217" s="597">
        <f t="shared" si="91"/>
        <v>109.85442717120317</v>
      </c>
      <c r="AE217" s="610">
        <f t="shared" si="116"/>
        <v>109.85442717120317</v>
      </c>
      <c r="AF217" s="572">
        <f t="shared" si="92"/>
        <v>99.724000000000004</v>
      </c>
      <c r="AG217" s="572">
        <f t="shared" si="93"/>
        <v>1.7100000000000001E-3</v>
      </c>
      <c r="AH217" s="600">
        <f t="shared" si="94"/>
        <v>2.2089256095859619E-6</v>
      </c>
      <c r="AI217" s="626" t="s">
        <v>621</v>
      </c>
    </row>
    <row r="218" spans="1:35" ht="14.4" hidden="1" x14ac:dyDescent="0.3">
      <c r="A218" s="560" t="s">
        <v>568</v>
      </c>
      <c r="B218" s="557" t="str">
        <f t="shared" si="88"/>
        <v>2010s</v>
      </c>
      <c r="C218" s="561">
        <v>2019</v>
      </c>
      <c r="D218" s="562">
        <f t="shared" si="98"/>
        <v>2014</v>
      </c>
      <c r="E218" s="563">
        <f t="shared" si="99"/>
        <v>2017</v>
      </c>
      <c r="F218" s="587">
        <f t="shared" si="100"/>
        <v>63222</v>
      </c>
      <c r="G218" s="587">
        <f t="shared" si="101"/>
        <v>64511</v>
      </c>
      <c r="H218" s="587">
        <f t="shared" si="102"/>
        <v>64470</v>
      </c>
      <c r="I218" s="2121">
        <f t="shared" si="103"/>
        <v>49862</v>
      </c>
      <c r="J218" s="2125">
        <f t="shared" si="104"/>
        <v>0.85143950001707591</v>
      </c>
      <c r="K218" s="2172">
        <f t="shared" si="105"/>
        <v>54550</v>
      </c>
      <c r="L218" s="591">
        <f t="shared" si="113"/>
        <v>54927.213585601581</v>
      </c>
      <c r="M218" s="589">
        <f t="shared" si="114"/>
        <v>49862</v>
      </c>
      <c r="N218" s="591">
        <f t="shared" si="97"/>
        <v>3216647482</v>
      </c>
      <c r="O218" s="569">
        <f t="shared" si="106"/>
        <v>5.1929128365705074E-3</v>
      </c>
      <c r="P218" s="592">
        <f t="shared" si="107"/>
        <v>0.85143950001707591</v>
      </c>
      <c r="Q218" s="623">
        <f t="shared" si="108"/>
        <v>0</v>
      </c>
      <c r="R218" s="572">
        <f t="shared" si="109"/>
        <v>0.85500000000000009</v>
      </c>
      <c r="S218" s="624">
        <f t="shared" si="110"/>
        <v>6.9101907864122847E-2</v>
      </c>
      <c r="T218" s="574">
        <v>2.2000000000000002</v>
      </c>
      <c r="U218" s="557">
        <f t="shared" si="111"/>
        <v>5.0000000000000018</v>
      </c>
      <c r="V218" s="575">
        <f t="shared" si="112"/>
        <v>2</v>
      </c>
      <c r="W218" s="2183">
        <v>4.8000000000000001E-2</v>
      </c>
      <c r="X218" s="595">
        <f t="shared" si="87"/>
        <v>3096.5280000000002</v>
      </c>
      <c r="Y218" s="2189">
        <v>4.0000000000000001E-3</v>
      </c>
      <c r="Z218" s="2193">
        <f t="shared" si="115"/>
        <v>218.20000000000002</v>
      </c>
      <c r="AA218" s="2325" t="s">
        <v>1331</v>
      </c>
      <c r="AB218" s="597">
        <f t="shared" si="89"/>
        <v>2636.5062521088757</v>
      </c>
      <c r="AC218" s="597">
        <f t="shared" si="90"/>
        <v>154399079.13600001</v>
      </c>
      <c r="AD218" s="597">
        <f t="shared" si="91"/>
        <v>219.70885434240634</v>
      </c>
      <c r="AE218" s="610">
        <f t="shared" si="116"/>
        <v>219.70885434240634</v>
      </c>
      <c r="AF218" s="572">
        <f t="shared" si="92"/>
        <v>199.44800000000001</v>
      </c>
      <c r="AG218" s="572">
        <f t="shared" si="93"/>
        <v>3.4200000000000003E-3</v>
      </c>
      <c r="AH218" s="600">
        <f t="shared" si="94"/>
        <v>1.104462804792981E-6</v>
      </c>
      <c r="AI218" s="613" t="s">
        <v>622</v>
      </c>
    </row>
    <row r="219" spans="1:35" ht="15" hidden="1" thickBot="1" x14ac:dyDescent="0.35">
      <c r="A219" s="630" t="s">
        <v>568</v>
      </c>
      <c r="B219" s="631" t="str">
        <f t="shared" si="88"/>
        <v>2010s</v>
      </c>
      <c r="C219" s="2178">
        <v>2019</v>
      </c>
      <c r="D219" s="632">
        <f t="shared" si="98"/>
        <v>2013</v>
      </c>
      <c r="E219" s="633">
        <f t="shared" si="99"/>
        <v>2016</v>
      </c>
      <c r="F219" s="587">
        <f t="shared" si="100"/>
        <v>63222</v>
      </c>
      <c r="G219" s="587">
        <f t="shared" si="101"/>
        <v>64511</v>
      </c>
      <c r="H219" s="587">
        <f t="shared" si="102"/>
        <v>64470</v>
      </c>
      <c r="I219" s="2121">
        <f t="shared" si="103"/>
        <v>49862</v>
      </c>
      <c r="J219" s="2125">
        <f t="shared" si="104"/>
        <v>0.85143950001707591</v>
      </c>
      <c r="K219" s="2173">
        <f t="shared" si="105"/>
        <v>54550</v>
      </c>
      <c r="L219" s="591">
        <f t="shared" si="113"/>
        <v>54927.213585601581</v>
      </c>
      <c r="M219" s="589">
        <f t="shared" si="114"/>
        <v>49862</v>
      </c>
      <c r="N219" s="591">
        <f t="shared" si="97"/>
        <v>3216647482</v>
      </c>
      <c r="O219" s="569">
        <f t="shared" si="106"/>
        <v>5.1929128365705074E-3</v>
      </c>
      <c r="P219" s="592">
        <f t="shared" si="107"/>
        <v>0.85143950001707591</v>
      </c>
      <c r="Q219" s="623">
        <f t="shared" si="108"/>
        <v>0</v>
      </c>
      <c r="R219" s="572">
        <f t="shared" si="109"/>
        <v>0.85500000000000009</v>
      </c>
      <c r="S219" s="624">
        <f t="shared" si="110"/>
        <v>6.9101907864122847E-2</v>
      </c>
      <c r="T219" s="642">
        <v>2.2999999999999998</v>
      </c>
      <c r="U219" s="631">
        <f t="shared" si="111"/>
        <v>5.9999999999999982</v>
      </c>
      <c r="V219" s="643">
        <f t="shared" si="112"/>
        <v>2</v>
      </c>
      <c r="W219" s="2184">
        <v>1E-3</v>
      </c>
      <c r="X219" s="595">
        <f t="shared" ref="X219:X237" si="117">W219*G219</f>
        <v>64.510999999999996</v>
      </c>
      <c r="Y219" s="2190">
        <v>0</v>
      </c>
      <c r="Z219" s="2194">
        <f t="shared" si="115"/>
        <v>0</v>
      </c>
      <c r="AA219" s="2325" t="s">
        <v>1331</v>
      </c>
      <c r="AB219" s="597">
        <f t="shared" si="89"/>
        <v>54.927213585601585</v>
      </c>
      <c r="AC219" s="597">
        <f t="shared" si="90"/>
        <v>3216647.4819999998</v>
      </c>
      <c r="AD219" s="597" t="str">
        <f t="shared" si="91"/>
        <v/>
      </c>
      <c r="AE219" s="610">
        <f t="shared" si="116"/>
        <v>0</v>
      </c>
      <c r="AF219" s="572">
        <f t="shared" si="92"/>
        <v>0</v>
      </c>
      <c r="AG219" s="572">
        <f t="shared" si="93"/>
        <v>0</v>
      </c>
      <c r="AH219" s="600">
        <f t="shared" si="94"/>
        <v>0</v>
      </c>
    </row>
    <row r="220" spans="1:35" ht="14.4" hidden="1" x14ac:dyDescent="0.3">
      <c r="A220" s="2168" t="s">
        <v>568</v>
      </c>
      <c r="B220" s="2167" t="str">
        <f t="shared" ref="B220:B237" si="118">LEFT(E220,3)*10 &amp; "s"</f>
        <v>2010s</v>
      </c>
      <c r="C220" s="2174">
        <v>2020</v>
      </c>
      <c r="D220" s="2169">
        <f t="shared" si="98"/>
        <v>2017</v>
      </c>
      <c r="E220" s="2170">
        <f t="shared" si="99"/>
        <v>2019</v>
      </c>
      <c r="F220" s="587">
        <f t="shared" si="100"/>
        <v>345018</v>
      </c>
      <c r="G220" s="587">
        <f t="shared" si="101"/>
        <v>364015</v>
      </c>
      <c r="H220" s="587">
        <f t="shared" si="102"/>
        <v>360736</v>
      </c>
      <c r="I220" s="2121">
        <f t="shared" si="103"/>
        <v>226107</v>
      </c>
      <c r="J220" s="2125">
        <f t="shared" si="104"/>
        <v>0.80625802310654682</v>
      </c>
      <c r="K220" s="2171">
        <f t="shared" si="105"/>
        <v>308775</v>
      </c>
      <c r="L220" s="591">
        <f t="shared" si="113"/>
        <v>293490.01428112964</v>
      </c>
      <c r="M220" s="589">
        <f t="shared" si="114"/>
        <v>226107</v>
      </c>
      <c r="N220" s="591">
        <f t="shared" si="97"/>
        <v>82306339605</v>
      </c>
      <c r="O220" s="569">
        <f t="shared" si="106"/>
        <v>2.0603546557147372E-3</v>
      </c>
      <c r="P220" s="592">
        <f t="shared" si="107"/>
        <v>0.80625802310654682</v>
      </c>
      <c r="Q220" s="623">
        <f t="shared" si="108"/>
        <v>0</v>
      </c>
      <c r="R220" s="572">
        <f t="shared" si="109"/>
        <v>0.80700000000000005</v>
      </c>
      <c r="S220" s="624">
        <f t="shared" si="110"/>
        <v>0.17821343032023418</v>
      </c>
      <c r="T220" s="2166">
        <v>1.1000000000000001</v>
      </c>
      <c r="U220" s="2167">
        <f t="shared" si="111"/>
        <v>3.0000000000000009</v>
      </c>
      <c r="V220" s="2180">
        <f t="shared" si="112"/>
        <v>1</v>
      </c>
      <c r="W220" s="2181">
        <v>8.9999999999999993E-3</v>
      </c>
      <c r="X220" s="595">
        <f t="shared" si="117"/>
        <v>3276.1349999999998</v>
      </c>
      <c r="Y220" s="2199">
        <v>1.0999999999999999E-2</v>
      </c>
      <c r="Z220" s="2192">
        <f t="shared" si="115"/>
        <v>3396.5249999999996</v>
      </c>
      <c r="AA220" s="2325" t="s">
        <v>1331</v>
      </c>
      <c r="AB220" s="597">
        <f t="shared" ref="AB220:AB231" si="119">L220*W220</f>
        <v>2641.4101285301667</v>
      </c>
      <c r="AC220" s="597">
        <f t="shared" ref="AC220:AC231" si="120">IF(N220,N220*W220,"")</f>
        <v>740757056.44499993</v>
      </c>
      <c r="AD220" s="597">
        <f t="shared" ref="AD220:AD231" si="121">IF(Y220,L220*Y220,"")</f>
        <v>3228.3901570924259</v>
      </c>
      <c r="AE220" s="610">
        <f t="shared" ref="AE220:AE230" si="122">IF(ISNUMBER(Y220),Y220*L220,W220*L220)</f>
        <v>3228.3901570924259</v>
      </c>
      <c r="AF220" s="572">
        <f t="shared" ref="AF220:AF231" si="123">Y220*I220</f>
        <v>2487.1769999999997</v>
      </c>
      <c r="AG220" s="599">
        <f t="shared" ref="AG220:AG231" si="124">Y220*R220</f>
        <v>8.8769999999999995E-3</v>
      </c>
      <c r="AH220" s="600">
        <f t="shared" ref="AH220:AH231" si="125">IF(X220=0,0,AG220/X220)</f>
        <v>2.7095953005599588E-6</v>
      </c>
      <c r="AI220" s="627" t="s">
        <v>623</v>
      </c>
    </row>
    <row r="221" spans="1:35" ht="14.4" hidden="1" x14ac:dyDescent="0.3">
      <c r="A221" s="560" t="s">
        <v>568</v>
      </c>
      <c r="B221" s="557" t="str">
        <f t="shared" si="118"/>
        <v>2010s</v>
      </c>
      <c r="C221" s="2175">
        <v>2020</v>
      </c>
      <c r="D221" s="562">
        <f t="shared" si="98"/>
        <v>2016</v>
      </c>
      <c r="E221" s="563">
        <f t="shared" si="99"/>
        <v>2018</v>
      </c>
      <c r="F221" s="587">
        <f t="shared" si="100"/>
        <v>345018</v>
      </c>
      <c r="G221" s="587">
        <f t="shared" si="101"/>
        <v>364015</v>
      </c>
      <c r="H221" s="587">
        <f t="shared" si="102"/>
        <v>360736</v>
      </c>
      <c r="I221" s="2121">
        <f t="shared" si="103"/>
        <v>226107</v>
      </c>
      <c r="J221" s="2125">
        <f t="shared" si="104"/>
        <v>0.80625802310654682</v>
      </c>
      <c r="K221" s="2172">
        <f t="shared" si="105"/>
        <v>308775</v>
      </c>
      <c r="L221" s="591">
        <f t="shared" si="113"/>
        <v>293490.01428112964</v>
      </c>
      <c r="M221" s="589">
        <f t="shared" si="114"/>
        <v>226107</v>
      </c>
      <c r="N221" s="591">
        <f t="shared" si="97"/>
        <v>82306339605</v>
      </c>
      <c r="O221" s="569">
        <f t="shared" si="106"/>
        <v>2.0603546557147372E-3</v>
      </c>
      <c r="P221" s="592">
        <f t="shared" si="107"/>
        <v>0.80625802310654682</v>
      </c>
      <c r="Q221" s="623">
        <f t="shared" si="108"/>
        <v>0</v>
      </c>
      <c r="R221" s="572">
        <f t="shared" si="109"/>
        <v>0.80700000000000005</v>
      </c>
      <c r="S221" s="624">
        <f t="shared" si="110"/>
        <v>0.17821343032023418</v>
      </c>
      <c r="T221" s="574">
        <v>1.2</v>
      </c>
      <c r="U221" s="557">
        <f t="shared" si="111"/>
        <v>3.9999999999999996</v>
      </c>
      <c r="V221" s="575">
        <f t="shared" si="112"/>
        <v>1</v>
      </c>
      <c r="W221" s="2183">
        <v>0.98599999999999999</v>
      </c>
      <c r="X221" s="595">
        <f t="shared" si="117"/>
        <v>358918.79</v>
      </c>
      <c r="Y221" s="2200">
        <v>0.97099999999999997</v>
      </c>
      <c r="Z221" s="2193">
        <f t="shared" si="115"/>
        <v>299820.52499999997</v>
      </c>
      <c r="AA221" s="2325" t="s">
        <v>1331</v>
      </c>
      <c r="AB221" s="597">
        <f t="shared" si="119"/>
        <v>289381.15408119385</v>
      </c>
      <c r="AC221" s="597">
        <f t="shared" si="120"/>
        <v>81154050850.529999</v>
      </c>
      <c r="AD221" s="597">
        <f t="shared" si="121"/>
        <v>284978.80386697687</v>
      </c>
      <c r="AE221" s="610">
        <f t="shared" si="122"/>
        <v>284978.80386697687</v>
      </c>
      <c r="AF221" s="572">
        <f t="shared" si="123"/>
        <v>219549.897</v>
      </c>
      <c r="AG221" s="599">
        <f t="shared" si="124"/>
        <v>0.78359699999999999</v>
      </c>
      <c r="AH221" s="600">
        <f t="shared" si="125"/>
        <v>2.1832153173145382E-6</v>
      </c>
      <c r="AI221" s="628">
        <v>275.5298105584082</v>
      </c>
    </row>
    <row r="222" spans="1:35" ht="14.4" hidden="1" x14ac:dyDescent="0.3">
      <c r="A222" s="560" t="s">
        <v>568</v>
      </c>
      <c r="B222" s="557" t="str">
        <f t="shared" si="118"/>
        <v>2010s</v>
      </c>
      <c r="C222" s="2175">
        <v>2020</v>
      </c>
      <c r="D222" s="562">
        <f t="shared" si="98"/>
        <v>2015</v>
      </c>
      <c r="E222" s="563">
        <f t="shared" si="99"/>
        <v>2017</v>
      </c>
      <c r="F222" s="587">
        <f t="shared" si="100"/>
        <v>345018</v>
      </c>
      <c r="G222" s="587">
        <f t="shared" si="101"/>
        <v>364015</v>
      </c>
      <c r="H222" s="587">
        <f t="shared" si="102"/>
        <v>360736</v>
      </c>
      <c r="I222" s="2121">
        <f t="shared" si="103"/>
        <v>226107</v>
      </c>
      <c r="J222" s="2125">
        <f t="shared" si="104"/>
        <v>0.80625802310654682</v>
      </c>
      <c r="K222" s="2172">
        <f t="shared" si="105"/>
        <v>308775</v>
      </c>
      <c r="L222" s="591">
        <f t="shared" si="113"/>
        <v>293490.01428112964</v>
      </c>
      <c r="M222" s="589">
        <f t="shared" si="114"/>
        <v>226107</v>
      </c>
      <c r="N222" s="591">
        <f t="shared" si="97"/>
        <v>82306339605</v>
      </c>
      <c r="O222" s="569">
        <f t="shared" si="106"/>
        <v>2.0603546557147372E-3</v>
      </c>
      <c r="P222" s="592">
        <f t="shared" si="107"/>
        <v>0.80625802310654682</v>
      </c>
      <c r="Q222" s="623">
        <f t="shared" si="108"/>
        <v>0</v>
      </c>
      <c r="R222" s="572">
        <f t="shared" si="109"/>
        <v>0.80700000000000005</v>
      </c>
      <c r="S222" s="624">
        <f t="shared" si="110"/>
        <v>0.17821343032023418</v>
      </c>
      <c r="T222" s="574">
        <v>1.3</v>
      </c>
      <c r="U222" s="557">
        <f t="shared" si="111"/>
        <v>5</v>
      </c>
      <c r="V222" s="575">
        <f t="shared" si="112"/>
        <v>1</v>
      </c>
      <c r="W222" s="2183">
        <v>2E-3</v>
      </c>
      <c r="X222" s="595">
        <f t="shared" si="117"/>
        <v>728.03</v>
      </c>
      <c r="Y222" s="2200">
        <v>1.7999999999999999E-2</v>
      </c>
      <c r="Z222" s="2193">
        <f t="shared" si="115"/>
        <v>5557.95</v>
      </c>
      <c r="AA222" s="2325" t="s">
        <v>1331</v>
      </c>
      <c r="AB222" s="597">
        <f t="shared" si="119"/>
        <v>586.98002856225924</v>
      </c>
      <c r="AC222" s="597">
        <f t="shared" si="120"/>
        <v>164612679.21000001</v>
      </c>
      <c r="AD222" s="597">
        <f t="shared" si="121"/>
        <v>5282.8202570603335</v>
      </c>
      <c r="AE222" s="610">
        <f t="shared" si="122"/>
        <v>5282.8202570603335</v>
      </c>
      <c r="AF222" s="572">
        <f t="shared" si="123"/>
        <v>4069.9259999999995</v>
      </c>
      <c r="AG222" s="599">
        <f t="shared" si="124"/>
        <v>1.4525999999999999E-2</v>
      </c>
      <c r="AH222" s="600">
        <f t="shared" si="125"/>
        <v>1.9952474485941512E-5</v>
      </c>
      <c r="AI222" s="628">
        <v>271396.8634000321</v>
      </c>
    </row>
    <row r="223" spans="1:35" ht="14.4" hidden="1" x14ac:dyDescent="0.3">
      <c r="A223" s="560" t="s">
        <v>568</v>
      </c>
      <c r="B223" s="557" t="str">
        <f t="shared" si="118"/>
        <v>2010s</v>
      </c>
      <c r="C223" s="2175">
        <v>2020</v>
      </c>
      <c r="D223" s="562">
        <f t="shared" si="98"/>
        <v>2016</v>
      </c>
      <c r="E223" s="563">
        <f t="shared" si="99"/>
        <v>2019</v>
      </c>
      <c r="F223" s="587">
        <f t="shared" si="100"/>
        <v>345018</v>
      </c>
      <c r="G223" s="587">
        <f t="shared" si="101"/>
        <v>364015</v>
      </c>
      <c r="H223" s="587">
        <f t="shared" si="102"/>
        <v>360736</v>
      </c>
      <c r="I223" s="2121">
        <f t="shared" si="103"/>
        <v>226107</v>
      </c>
      <c r="J223" s="2125">
        <f t="shared" si="104"/>
        <v>0.80625802310654682</v>
      </c>
      <c r="K223" s="2172">
        <f t="shared" si="105"/>
        <v>308775</v>
      </c>
      <c r="L223" s="591">
        <f t="shared" si="113"/>
        <v>293490.01428112964</v>
      </c>
      <c r="M223" s="589">
        <f t="shared" si="114"/>
        <v>226107</v>
      </c>
      <c r="N223" s="591">
        <f t="shared" si="97"/>
        <v>82306339605</v>
      </c>
      <c r="O223" s="569">
        <f t="shared" si="106"/>
        <v>2.0603546557147372E-3</v>
      </c>
      <c r="P223" s="592">
        <f t="shared" si="107"/>
        <v>0.80625802310654682</v>
      </c>
      <c r="Q223" s="623">
        <f t="shared" si="108"/>
        <v>0</v>
      </c>
      <c r="R223" s="572">
        <f t="shared" si="109"/>
        <v>0.80700000000000005</v>
      </c>
      <c r="S223" s="624">
        <f t="shared" si="110"/>
        <v>0.17821343032023418</v>
      </c>
      <c r="T223" s="574">
        <v>2.1</v>
      </c>
      <c r="U223" s="557">
        <f t="shared" si="111"/>
        <v>4.0000000000000009</v>
      </c>
      <c r="V223" s="575">
        <f t="shared" si="112"/>
        <v>2</v>
      </c>
      <c r="W223" s="2183">
        <v>1E-3</v>
      </c>
      <c r="X223" s="595">
        <f t="shared" si="117"/>
        <v>364.01499999999999</v>
      </c>
      <c r="Y223" s="2201"/>
      <c r="Z223" s="2193">
        <f t="shared" si="115"/>
        <v>0</v>
      </c>
      <c r="AA223" s="2325" t="s">
        <v>1331</v>
      </c>
      <c r="AB223" s="597">
        <f t="shared" si="119"/>
        <v>293.49001428112962</v>
      </c>
      <c r="AC223" s="597">
        <f t="shared" si="120"/>
        <v>82306339.605000004</v>
      </c>
      <c r="AD223" s="597" t="str">
        <f t="shared" si="121"/>
        <v/>
      </c>
      <c r="AE223" s="610">
        <f t="shared" si="122"/>
        <v>293.49001428112962</v>
      </c>
      <c r="AF223" s="572">
        <f t="shared" si="123"/>
        <v>0</v>
      </c>
      <c r="AG223" s="599">
        <f t="shared" si="124"/>
        <v>0</v>
      </c>
      <c r="AH223" s="600">
        <f t="shared" si="125"/>
        <v>0</v>
      </c>
      <c r="AI223" s="628">
        <v>0</v>
      </c>
    </row>
    <row r="224" spans="1:35" ht="14.4" hidden="1" x14ac:dyDescent="0.3">
      <c r="A224" s="560" t="s">
        <v>568</v>
      </c>
      <c r="B224" s="557" t="str">
        <f t="shared" si="118"/>
        <v>2010s</v>
      </c>
      <c r="C224" s="2175">
        <v>2020</v>
      </c>
      <c r="D224" s="562">
        <f t="shared" si="98"/>
        <v>2015</v>
      </c>
      <c r="E224" s="563">
        <f t="shared" si="99"/>
        <v>2018</v>
      </c>
      <c r="F224" s="587">
        <f t="shared" si="100"/>
        <v>345018</v>
      </c>
      <c r="G224" s="587">
        <f t="shared" si="101"/>
        <v>364015</v>
      </c>
      <c r="H224" s="587">
        <f t="shared" si="102"/>
        <v>360736</v>
      </c>
      <c r="I224" s="2121">
        <f t="shared" si="103"/>
        <v>226107</v>
      </c>
      <c r="J224" s="2125">
        <f t="shared" si="104"/>
        <v>0.80625802310654682</v>
      </c>
      <c r="K224" s="2172">
        <f t="shared" si="105"/>
        <v>308775</v>
      </c>
      <c r="L224" s="591">
        <f t="shared" si="113"/>
        <v>293490.01428112964</v>
      </c>
      <c r="M224" s="589">
        <f t="shared" si="114"/>
        <v>226107</v>
      </c>
      <c r="N224" s="591">
        <f t="shared" si="97"/>
        <v>82306339605</v>
      </c>
      <c r="O224" s="569">
        <f t="shared" si="106"/>
        <v>2.0603546557147372E-3</v>
      </c>
      <c r="P224" s="592">
        <f t="shared" si="107"/>
        <v>0.80625802310654682</v>
      </c>
      <c r="Q224" s="623">
        <f t="shared" si="108"/>
        <v>0</v>
      </c>
      <c r="R224" s="572">
        <f t="shared" si="109"/>
        <v>0.80700000000000005</v>
      </c>
      <c r="S224" s="624">
        <f t="shared" si="110"/>
        <v>0.17821343032023418</v>
      </c>
      <c r="T224" s="574">
        <v>2.2000000000000002</v>
      </c>
      <c r="U224" s="557">
        <f t="shared" si="111"/>
        <v>5.0000000000000018</v>
      </c>
      <c r="V224" s="575">
        <f t="shared" si="112"/>
        <v>2</v>
      </c>
      <c r="W224" s="2183">
        <v>2E-3</v>
      </c>
      <c r="X224" s="595">
        <f t="shared" si="117"/>
        <v>728.03</v>
      </c>
      <c r="Y224" s="2201"/>
      <c r="Z224" s="2193">
        <f t="shared" si="115"/>
        <v>0</v>
      </c>
      <c r="AA224" s="2325" t="s">
        <v>1331</v>
      </c>
      <c r="AB224" s="597">
        <f t="shared" si="119"/>
        <v>586.98002856225924</v>
      </c>
      <c r="AC224" s="597">
        <f t="shared" si="120"/>
        <v>164612679.21000001</v>
      </c>
      <c r="AD224" s="597" t="str">
        <f t="shared" si="121"/>
        <v/>
      </c>
      <c r="AE224" s="610">
        <f t="shared" si="122"/>
        <v>586.98002856225924</v>
      </c>
      <c r="AF224" s="572">
        <f t="shared" si="123"/>
        <v>0</v>
      </c>
      <c r="AG224" s="599">
        <f t="shared" si="124"/>
        <v>0</v>
      </c>
      <c r="AH224" s="600">
        <f t="shared" si="125"/>
        <v>0</v>
      </c>
      <c r="AI224" s="628">
        <v>275.5298105584082</v>
      </c>
    </row>
    <row r="225" spans="1:35" ht="15" hidden="1" thickBot="1" x14ac:dyDescent="0.35">
      <c r="A225" s="630" t="s">
        <v>568</v>
      </c>
      <c r="B225" s="631" t="str">
        <f t="shared" si="118"/>
        <v>2010s</v>
      </c>
      <c r="C225" s="2176">
        <v>2020</v>
      </c>
      <c r="D225" s="632">
        <f t="shared" si="98"/>
        <v>2014</v>
      </c>
      <c r="E225" s="633">
        <f t="shared" si="99"/>
        <v>2017</v>
      </c>
      <c r="F225" s="587">
        <f t="shared" si="100"/>
        <v>345018</v>
      </c>
      <c r="G225" s="587">
        <f t="shared" si="101"/>
        <v>364015</v>
      </c>
      <c r="H225" s="587">
        <f t="shared" si="102"/>
        <v>360736</v>
      </c>
      <c r="I225" s="2121">
        <f t="shared" si="103"/>
        <v>226107</v>
      </c>
      <c r="J225" s="2125">
        <f t="shared" si="104"/>
        <v>0.80625802310654682</v>
      </c>
      <c r="K225" s="2173">
        <f t="shared" si="105"/>
        <v>308775</v>
      </c>
      <c r="L225" s="591">
        <f t="shared" si="113"/>
        <v>293490.01428112964</v>
      </c>
      <c r="M225" s="589">
        <f t="shared" si="114"/>
        <v>226107</v>
      </c>
      <c r="N225" s="591">
        <f t="shared" si="97"/>
        <v>82306339605</v>
      </c>
      <c r="O225" s="569">
        <f t="shared" si="106"/>
        <v>2.0603546557147372E-3</v>
      </c>
      <c r="P225" s="592">
        <f t="shared" si="107"/>
        <v>0.80625802310654682</v>
      </c>
      <c r="Q225" s="623">
        <f t="shared" si="108"/>
        <v>0</v>
      </c>
      <c r="R225" s="572">
        <f t="shared" si="109"/>
        <v>0.80700000000000005</v>
      </c>
      <c r="S225" s="624">
        <f t="shared" si="110"/>
        <v>0.17821343032023418</v>
      </c>
      <c r="T225" s="642">
        <v>2.2999999999999998</v>
      </c>
      <c r="U225" s="631">
        <f t="shared" si="111"/>
        <v>5.9999999999999982</v>
      </c>
      <c r="V225" s="643">
        <f t="shared" si="112"/>
        <v>2</v>
      </c>
      <c r="W225" s="2184">
        <v>0</v>
      </c>
      <c r="X225" s="595">
        <f t="shared" si="117"/>
        <v>0</v>
      </c>
      <c r="Y225" s="2202"/>
      <c r="Z225" s="2194">
        <f t="shared" si="115"/>
        <v>0</v>
      </c>
      <c r="AA225" s="2325" t="s">
        <v>1331</v>
      </c>
      <c r="AB225" s="597">
        <f t="shared" si="119"/>
        <v>0</v>
      </c>
      <c r="AC225" s="597">
        <f t="shared" si="120"/>
        <v>0</v>
      </c>
      <c r="AD225" s="597" t="str">
        <f t="shared" si="121"/>
        <v/>
      </c>
      <c r="AE225" s="610">
        <f>IF(ISNUMBER(Y225),Y225*L225,W225*L225)</f>
        <v>0</v>
      </c>
      <c r="AF225" s="572">
        <f t="shared" si="123"/>
        <v>0</v>
      </c>
      <c r="AG225" s="599">
        <f t="shared" si="124"/>
        <v>0</v>
      </c>
      <c r="AH225" s="600">
        <f t="shared" si="125"/>
        <v>0</v>
      </c>
      <c r="AI225" s="628">
        <v>551.0596211168164</v>
      </c>
    </row>
    <row r="226" spans="1:35" ht="14.4" hidden="1" x14ac:dyDescent="0.3">
      <c r="A226" s="2168" t="s">
        <v>568</v>
      </c>
      <c r="B226" s="2167" t="str">
        <f t="shared" si="118"/>
        <v>2020s</v>
      </c>
      <c r="C226" s="2174">
        <v>2021</v>
      </c>
      <c r="D226" s="2169">
        <f t="shared" si="98"/>
        <v>2018</v>
      </c>
      <c r="E226" s="2170">
        <f t="shared" si="99"/>
        <v>2020</v>
      </c>
      <c r="F226" s="587">
        <f t="shared" si="100"/>
        <v>152309</v>
      </c>
      <c r="G226" s="587">
        <f t="shared" si="101"/>
        <v>159340</v>
      </c>
      <c r="H226" s="587">
        <f t="shared" si="102"/>
        <v>158783</v>
      </c>
      <c r="I226" s="2121">
        <f t="shared" si="103"/>
        <v>76255</v>
      </c>
      <c r="J226" s="2125">
        <f t="shared" si="104"/>
        <v>0.69723956952279942</v>
      </c>
      <c r="K226" s="2171">
        <f t="shared" si="105"/>
        <v>114039</v>
      </c>
      <c r="L226" s="591">
        <f t="shared" si="113"/>
        <v>111098.15300776286</v>
      </c>
      <c r="M226" s="589">
        <f t="shared" si="114"/>
        <v>76255</v>
      </c>
      <c r="N226" s="591">
        <f t="shared" si="97"/>
        <v>12150471700</v>
      </c>
      <c r="O226" s="569">
        <f t="shared" si="106"/>
        <v>5.9746454123258443E-3</v>
      </c>
      <c r="P226" s="592">
        <f t="shared" si="107"/>
        <v>0.69723956952279942</v>
      </c>
      <c r="Q226" s="629">
        <f t="shared" si="108"/>
        <v>0</v>
      </c>
      <c r="R226" s="599">
        <f t="shared" si="109"/>
        <v>0.69262486130169598</v>
      </c>
      <c r="S226" s="624">
        <f t="shared" si="110"/>
        <v>0.24521516787061587</v>
      </c>
      <c r="T226" s="2166">
        <v>1.1000000000000001</v>
      </c>
      <c r="U226" s="2167">
        <f t="shared" si="111"/>
        <v>3.0000000000000009</v>
      </c>
      <c r="V226" s="2180">
        <f t="shared" si="112"/>
        <v>1</v>
      </c>
      <c r="W226" s="2203">
        <v>0.253</v>
      </c>
      <c r="X226" s="595">
        <f t="shared" si="117"/>
        <v>40313.019999999997</v>
      </c>
      <c r="Y226" s="2199">
        <v>0.17799999999999999</v>
      </c>
      <c r="Z226" s="2192">
        <f t="shared" si="115"/>
        <v>20298.941999999999</v>
      </c>
      <c r="AA226" s="2325" t="s">
        <v>1331</v>
      </c>
      <c r="AB226" s="597">
        <f t="shared" si="119"/>
        <v>28107.832710964001</v>
      </c>
      <c r="AC226" s="597">
        <f t="shared" si="120"/>
        <v>3074069340.0999999</v>
      </c>
      <c r="AD226" s="597">
        <f t="shared" si="121"/>
        <v>19775.471235381789</v>
      </c>
      <c r="AE226" s="610">
        <f t="shared" si="122"/>
        <v>19775.471235381789</v>
      </c>
      <c r="AF226" s="572">
        <f t="shared" si="123"/>
        <v>13573.39</v>
      </c>
      <c r="AG226" s="599">
        <f t="shared" si="124"/>
        <v>0.12328722531170187</v>
      </c>
      <c r="AH226" s="600">
        <f t="shared" si="125"/>
        <v>3.0582483106376522E-6</v>
      </c>
      <c r="AI226" s="627" t="s">
        <v>623</v>
      </c>
    </row>
    <row r="227" spans="1:35" ht="14.4" hidden="1" x14ac:dyDescent="0.3">
      <c r="A227" s="560" t="s">
        <v>568</v>
      </c>
      <c r="B227" s="557" t="str">
        <f t="shared" si="118"/>
        <v>2010s</v>
      </c>
      <c r="C227" s="2175">
        <v>2021</v>
      </c>
      <c r="D227" s="562">
        <f t="shared" si="98"/>
        <v>2017</v>
      </c>
      <c r="E227" s="563">
        <f t="shared" si="99"/>
        <v>2019</v>
      </c>
      <c r="F227" s="587">
        <f t="shared" si="100"/>
        <v>152309</v>
      </c>
      <c r="G227" s="587">
        <f t="shared" si="101"/>
        <v>159340</v>
      </c>
      <c r="H227" s="587">
        <f t="shared" si="102"/>
        <v>158783</v>
      </c>
      <c r="I227" s="2121">
        <f t="shared" si="103"/>
        <v>76255</v>
      </c>
      <c r="J227" s="2125">
        <f t="shared" si="104"/>
        <v>0.69723956952279942</v>
      </c>
      <c r="K227" s="2172">
        <f t="shared" si="105"/>
        <v>114039</v>
      </c>
      <c r="L227" s="591">
        <f t="shared" si="113"/>
        <v>111098.15300776286</v>
      </c>
      <c r="M227" s="589">
        <f t="shared" si="114"/>
        <v>76255</v>
      </c>
      <c r="N227" s="591">
        <f t="shared" si="97"/>
        <v>12150471700</v>
      </c>
      <c r="O227" s="569">
        <f t="shared" si="106"/>
        <v>5.9746454123258443E-3</v>
      </c>
      <c r="P227" s="592">
        <f t="shared" si="107"/>
        <v>0.69723956952279942</v>
      </c>
      <c r="Q227" s="629">
        <f t="shared" si="108"/>
        <v>0</v>
      </c>
      <c r="R227" s="599">
        <f t="shared" si="109"/>
        <v>0.69262486130169598</v>
      </c>
      <c r="S227" s="624">
        <f t="shared" si="110"/>
        <v>0.24521516787061587</v>
      </c>
      <c r="T227" s="574">
        <v>1.2</v>
      </c>
      <c r="U227" s="557">
        <f t="shared" si="111"/>
        <v>3.9999999999999996</v>
      </c>
      <c r="V227" s="575">
        <f t="shared" si="112"/>
        <v>1</v>
      </c>
      <c r="W227" s="2204">
        <v>0.59799999999999998</v>
      </c>
      <c r="X227" s="595">
        <f t="shared" si="117"/>
        <v>95285.319999999992</v>
      </c>
      <c r="Y227" s="2200">
        <v>0.76500000000000001</v>
      </c>
      <c r="Z227" s="2193">
        <f t="shared" si="115"/>
        <v>87239.835000000006</v>
      </c>
      <c r="AA227" s="2325" t="s">
        <v>1331</v>
      </c>
      <c r="AB227" s="597">
        <f t="shared" si="119"/>
        <v>66436.695498642192</v>
      </c>
      <c r="AC227" s="597">
        <f t="shared" si="120"/>
        <v>7265982076.5999994</v>
      </c>
      <c r="AD227" s="597">
        <f t="shared" si="121"/>
        <v>84990.087050938586</v>
      </c>
      <c r="AE227" s="610">
        <f t="shared" si="122"/>
        <v>84990.087050938586</v>
      </c>
      <c r="AF227" s="572">
        <f t="shared" si="123"/>
        <v>58335.075000000004</v>
      </c>
      <c r="AG227" s="599">
        <f t="shared" si="124"/>
        <v>0.52985801889579742</v>
      </c>
      <c r="AH227" s="600">
        <f t="shared" si="125"/>
        <v>5.5607518439965089E-6</v>
      </c>
    </row>
    <row r="228" spans="1:35" ht="14.4" hidden="1" x14ac:dyDescent="0.3">
      <c r="A228" s="560" t="s">
        <v>568</v>
      </c>
      <c r="B228" s="557" t="str">
        <f t="shared" si="118"/>
        <v>2010s</v>
      </c>
      <c r="C228" s="2175">
        <v>2021</v>
      </c>
      <c r="D228" s="562">
        <f t="shared" si="98"/>
        <v>2016</v>
      </c>
      <c r="E228" s="563">
        <f t="shared" si="99"/>
        <v>2018</v>
      </c>
      <c r="F228" s="587">
        <f t="shared" si="100"/>
        <v>152309</v>
      </c>
      <c r="G228" s="587">
        <f t="shared" si="101"/>
        <v>159340</v>
      </c>
      <c r="H228" s="587">
        <f t="shared" si="102"/>
        <v>158783</v>
      </c>
      <c r="I228" s="2121">
        <f t="shared" si="103"/>
        <v>76255</v>
      </c>
      <c r="J228" s="2125">
        <f t="shared" si="104"/>
        <v>0.69723956952279942</v>
      </c>
      <c r="K228" s="2172">
        <f t="shared" si="105"/>
        <v>114039</v>
      </c>
      <c r="L228" s="591">
        <f t="shared" si="113"/>
        <v>111098.15300776286</v>
      </c>
      <c r="M228" s="589">
        <f t="shared" si="114"/>
        <v>76255</v>
      </c>
      <c r="N228" s="591">
        <f t="shared" si="97"/>
        <v>12150471700</v>
      </c>
      <c r="O228" s="569">
        <f t="shared" si="106"/>
        <v>5.9746454123258443E-3</v>
      </c>
      <c r="P228" s="592">
        <f t="shared" si="107"/>
        <v>0.69723956952279942</v>
      </c>
      <c r="Q228" s="629">
        <f t="shared" si="108"/>
        <v>0</v>
      </c>
      <c r="R228" s="599">
        <f t="shared" si="109"/>
        <v>0.69262486130169598</v>
      </c>
      <c r="S228" s="624">
        <f t="shared" si="110"/>
        <v>0.24521516787061587</v>
      </c>
      <c r="T228" s="574">
        <v>1.3</v>
      </c>
      <c r="U228" s="557">
        <f t="shared" si="111"/>
        <v>5</v>
      </c>
      <c r="V228" s="575">
        <f t="shared" si="112"/>
        <v>1</v>
      </c>
      <c r="W228" s="2204">
        <v>0.114</v>
      </c>
      <c r="X228" s="595">
        <f t="shared" si="117"/>
        <v>18164.760000000002</v>
      </c>
      <c r="Y228" s="2200">
        <v>5.7000000000000002E-2</v>
      </c>
      <c r="Z228" s="2193">
        <f t="shared" si="115"/>
        <v>6500.223</v>
      </c>
      <c r="AA228" s="2325" t="s">
        <v>1331</v>
      </c>
      <c r="AB228" s="597">
        <f t="shared" si="119"/>
        <v>12665.189442884966</v>
      </c>
      <c r="AC228" s="597">
        <f t="shared" si="120"/>
        <v>1385153773.8</v>
      </c>
      <c r="AD228" s="597">
        <f t="shared" si="121"/>
        <v>6332.5947214424832</v>
      </c>
      <c r="AE228" s="610">
        <f t="shared" si="122"/>
        <v>6332.5947214424832</v>
      </c>
      <c r="AF228" s="572">
        <f t="shared" si="123"/>
        <v>4346.5349999999999</v>
      </c>
      <c r="AG228" s="599">
        <f t="shared" si="124"/>
        <v>3.9479617094196673E-2</v>
      </c>
      <c r="AH228" s="600">
        <f t="shared" si="125"/>
        <v>2.1734180409868705E-6</v>
      </c>
    </row>
    <row r="229" spans="1:35" ht="14.4" hidden="1" x14ac:dyDescent="0.3">
      <c r="A229" s="560" t="s">
        <v>568</v>
      </c>
      <c r="B229" s="557" t="str">
        <f t="shared" si="118"/>
        <v>2020s</v>
      </c>
      <c r="C229" s="2175">
        <v>2021</v>
      </c>
      <c r="D229" s="562">
        <f t="shared" si="98"/>
        <v>2017</v>
      </c>
      <c r="E229" s="563">
        <f t="shared" si="99"/>
        <v>2020</v>
      </c>
      <c r="F229" s="587">
        <f t="shared" si="100"/>
        <v>152309</v>
      </c>
      <c r="G229" s="587">
        <f t="shared" si="101"/>
        <v>159340</v>
      </c>
      <c r="H229" s="587">
        <f t="shared" si="102"/>
        <v>158783</v>
      </c>
      <c r="I229" s="2121">
        <f t="shared" si="103"/>
        <v>76255</v>
      </c>
      <c r="J229" s="2125">
        <f t="shared" si="104"/>
        <v>0.69723956952279942</v>
      </c>
      <c r="K229" s="2172">
        <f t="shared" si="105"/>
        <v>114039</v>
      </c>
      <c r="L229" s="591">
        <f t="shared" si="113"/>
        <v>111098.15300776286</v>
      </c>
      <c r="M229" s="589">
        <f t="shared" si="114"/>
        <v>76255</v>
      </c>
      <c r="N229" s="591">
        <f t="shared" si="97"/>
        <v>12150471700</v>
      </c>
      <c r="O229" s="569">
        <f t="shared" si="106"/>
        <v>5.9746454123258443E-3</v>
      </c>
      <c r="P229" s="592">
        <f t="shared" si="107"/>
        <v>0.69723956952279942</v>
      </c>
      <c r="Q229" s="629">
        <f t="shared" si="108"/>
        <v>0</v>
      </c>
      <c r="R229" s="599">
        <f t="shared" si="109"/>
        <v>0.69262486130169598</v>
      </c>
      <c r="S229" s="624">
        <f t="shared" si="110"/>
        <v>0.24521516787061587</v>
      </c>
      <c r="T229" s="574">
        <v>2.1</v>
      </c>
      <c r="U229" s="557">
        <f t="shared" si="111"/>
        <v>4.0000000000000009</v>
      </c>
      <c r="V229" s="575">
        <f t="shared" si="112"/>
        <v>2</v>
      </c>
      <c r="W229" s="2204">
        <v>0.03</v>
      </c>
      <c r="X229" s="595">
        <f t="shared" si="117"/>
        <v>4780.2</v>
      </c>
      <c r="Y229" s="2200"/>
      <c r="Z229" s="2193">
        <f t="shared" si="115"/>
        <v>0</v>
      </c>
      <c r="AA229" s="2325" t="s">
        <v>1331</v>
      </c>
      <c r="AB229" s="597">
        <f t="shared" si="119"/>
        <v>3332.9445902328857</v>
      </c>
      <c r="AC229" s="597">
        <f t="shared" si="120"/>
        <v>364514151</v>
      </c>
      <c r="AD229" s="597" t="str">
        <f t="shared" si="121"/>
        <v/>
      </c>
      <c r="AE229" s="610">
        <f t="shared" si="122"/>
        <v>3332.9445902328857</v>
      </c>
      <c r="AF229" s="572">
        <f t="shared" si="123"/>
        <v>0</v>
      </c>
      <c r="AG229" s="599">
        <f t="shared" si="124"/>
        <v>0</v>
      </c>
      <c r="AH229" s="600">
        <f t="shared" si="125"/>
        <v>0</v>
      </c>
    </row>
    <row r="230" spans="1:35" ht="14.4" hidden="1" x14ac:dyDescent="0.3">
      <c r="A230" s="560" t="s">
        <v>568</v>
      </c>
      <c r="B230" s="557" t="str">
        <f t="shared" si="118"/>
        <v>2010s</v>
      </c>
      <c r="C230" s="2175">
        <v>2021</v>
      </c>
      <c r="D230" s="562">
        <f t="shared" si="98"/>
        <v>2016</v>
      </c>
      <c r="E230" s="563">
        <f t="shared" si="99"/>
        <v>2019</v>
      </c>
      <c r="F230" s="587">
        <f t="shared" si="100"/>
        <v>152309</v>
      </c>
      <c r="G230" s="587">
        <f t="shared" si="101"/>
        <v>159340</v>
      </c>
      <c r="H230" s="587">
        <f t="shared" si="102"/>
        <v>158783</v>
      </c>
      <c r="I230" s="2121">
        <f t="shared" si="103"/>
        <v>76255</v>
      </c>
      <c r="J230" s="2125">
        <f t="shared" si="104"/>
        <v>0.69723956952279942</v>
      </c>
      <c r="K230" s="2172">
        <f t="shared" si="105"/>
        <v>114039</v>
      </c>
      <c r="L230" s="591">
        <f t="shared" si="113"/>
        <v>111098.15300776286</v>
      </c>
      <c r="M230" s="589">
        <f t="shared" si="114"/>
        <v>76255</v>
      </c>
      <c r="N230" s="591">
        <f t="shared" si="97"/>
        <v>12150471700</v>
      </c>
      <c r="O230" s="569">
        <f t="shared" si="106"/>
        <v>5.9746454123258443E-3</v>
      </c>
      <c r="P230" s="592">
        <f t="shared" si="107"/>
        <v>0.69723956952279942</v>
      </c>
      <c r="Q230" s="629">
        <f t="shared" si="108"/>
        <v>0</v>
      </c>
      <c r="R230" s="599">
        <f t="shared" si="109"/>
        <v>0.69262486130169598</v>
      </c>
      <c r="S230" s="624">
        <f t="shared" si="110"/>
        <v>0.24521516787061587</v>
      </c>
      <c r="T230" s="574">
        <v>2.2000000000000002</v>
      </c>
      <c r="U230" s="557">
        <f t="shared" si="111"/>
        <v>5.0000000000000018</v>
      </c>
      <c r="V230" s="575">
        <f t="shared" si="112"/>
        <v>2</v>
      </c>
      <c r="W230" s="2204">
        <v>5.0000000000000001E-3</v>
      </c>
      <c r="X230" s="595">
        <f t="shared" si="117"/>
        <v>796.7</v>
      </c>
      <c r="Y230" s="2200"/>
      <c r="Z230" s="2193">
        <f t="shared" si="115"/>
        <v>0</v>
      </c>
      <c r="AA230" s="2325" t="s">
        <v>1331</v>
      </c>
      <c r="AB230" s="597">
        <f t="shared" si="119"/>
        <v>555.49076503881429</v>
      </c>
      <c r="AC230" s="597">
        <f t="shared" si="120"/>
        <v>60752358.5</v>
      </c>
      <c r="AD230" s="597" t="str">
        <f t="shared" si="121"/>
        <v/>
      </c>
      <c r="AE230" s="610">
        <f t="shared" si="122"/>
        <v>555.49076503881429</v>
      </c>
      <c r="AF230" s="572">
        <f t="shared" si="123"/>
        <v>0</v>
      </c>
      <c r="AG230" s="599">
        <f t="shared" si="124"/>
        <v>0</v>
      </c>
      <c r="AH230" s="600">
        <f t="shared" si="125"/>
        <v>0</v>
      </c>
    </row>
    <row r="231" spans="1:35" ht="15" hidden="1" thickBot="1" x14ac:dyDescent="0.35">
      <c r="A231" s="630" t="s">
        <v>568</v>
      </c>
      <c r="B231" s="631" t="str">
        <f t="shared" si="118"/>
        <v>2010s</v>
      </c>
      <c r="C231" s="2176">
        <v>2021</v>
      </c>
      <c r="D231" s="632">
        <f t="shared" si="98"/>
        <v>2015</v>
      </c>
      <c r="E231" s="633">
        <f t="shared" si="99"/>
        <v>2018</v>
      </c>
      <c r="F231" s="634">
        <f t="shared" si="100"/>
        <v>152309</v>
      </c>
      <c r="G231" s="634">
        <f t="shared" si="101"/>
        <v>159340</v>
      </c>
      <c r="H231" s="634">
        <f t="shared" si="102"/>
        <v>158783</v>
      </c>
      <c r="I231" s="2122">
        <f t="shared" si="103"/>
        <v>76255</v>
      </c>
      <c r="J231" s="2126">
        <f t="shared" si="104"/>
        <v>0.69723956952279942</v>
      </c>
      <c r="K231" s="2173">
        <f t="shared" si="105"/>
        <v>114039</v>
      </c>
      <c r="L231" s="636">
        <f t="shared" si="113"/>
        <v>111098.15300776286</v>
      </c>
      <c r="M231" s="635">
        <f t="shared" si="114"/>
        <v>76255</v>
      </c>
      <c r="N231" s="636">
        <f t="shared" si="97"/>
        <v>12150471700</v>
      </c>
      <c r="O231" s="637">
        <f t="shared" si="106"/>
        <v>5.9746454123258443E-3</v>
      </c>
      <c r="P231" s="638">
        <f t="shared" si="107"/>
        <v>0.69723956952279942</v>
      </c>
      <c r="Q231" s="639">
        <f t="shared" si="108"/>
        <v>0</v>
      </c>
      <c r="R231" s="640">
        <f t="shared" si="109"/>
        <v>0.69262486130169598</v>
      </c>
      <c r="S231" s="641">
        <f t="shared" si="110"/>
        <v>0.24521516787061587</v>
      </c>
      <c r="T231" s="642">
        <v>2.2999999999999998</v>
      </c>
      <c r="U231" s="631">
        <f t="shared" si="111"/>
        <v>5.9999999999999982</v>
      </c>
      <c r="V231" s="643">
        <f t="shared" si="112"/>
        <v>2</v>
      </c>
      <c r="W231" s="2205">
        <v>0</v>
      </c>
      <c r="X231" s="644">
        <f t="shared" si="117"/>
        <v>0</v>
      </c>
      <c r="Y231" s="2206"/>
      <c r="Z231" s="2194">
        <f t="shared" si="115"/>
        <v>0</v>
      </c>
      <c r="AA231" s="2325" t="s">
        <v>1331</v>
      </c>
      <c r="AB231" s="645">
        <f t="shared" si="119"/>
        <v>0</v>
      </c>
      <c r="AC231" s="645">
        <f t="shared" si="120"/>
        <v>0</v>
      </c>
      <c r="AD231" s="645" t="str">
        <f t="shared" si="121"/>
        <v/>
      </c>
      <c r="AE231" s="611">
        <f>IF(ISNUMBER(Y231),Y231*L231,W231*L231)</f>
        <v>0</v>
      </c>
      <c r="AF231" s="646">
        <f t="shared" si="123"/>
        <v>0</v>
      </c>
      <c r="AG231" s="640">
        <f t="shared" si="124"/>
        <v>0</v>
      </c>
      <c r="AH231" s="647">
        <f t="shared" si="125"/>
        <v>0</v>
      </c>
    </row>
    <row r="232" spans="1:35" ht="14.4" hidden="1" x14ac:dyDescent="0.3">
      <c r="A232" s="2168" t="s">
        <v>568</v>
      </c>
      <c r="B232" s="2167" t="str">
        <f t="shared" si="118"/>
        <v>2020s</v>
      </c>
      <c r="C232" s="2174">
        <v>2022</v>
      </c>
      <c r="D232" s="2169">
        <f t="shared" si="98"/>
        <v>2019</v>
      </c>
      <c r="E232" s="2170">
        <f t="shared" si="99"/>
        <v>2021</v>
      </c>
      <c r="F232" s="587">
        <f t="shared" si="100"/>
        <v>663253</v>
      </c>
      <c r="G232" s="587">
        <f t="shared" si="101"/>
        <v>704203</v>
      </c>
      <c r="H232" s="587">
        <f t="shared" si="102"/>
        <v>702522</v>
      </c>
      <c r="I232" s="2121">
        <f t="shared" si="103"/>
        <v>478418</v>
      </c>
      <c r="J232" s="2125">
        <f t="shared" si="104"/>
        <v>0.72494935091895696</v>
      </c>
      <c r="K232" s="2171">
        <f t="shared" si="105"/>
        <v>554480</v>
      </c>
      <c r="L232" s="591">
        <f t="shared" si="113"/>
        <v>510511.50776518224</v>
      </c>
      <c r="M232" s="589">
        <f t="shared" si="114"/>
        <v>478418</v>
      </c>
      <c r="N232" s="591">
        <f t="shared" si="97"/>
        <v>336903390854</v>
      </c>
      <c r="O232" s="569">
        <f t="shared" ref="O232:O237" si="126">VLOOKUP($C232,SockeyeReturnsData,6)/G232</f>
        <v>3.3072849732250502E-3</v>
      </c>
      <c r="P232" s="592">
        <f t="shared" si="107"/>
        <v>0.72494935091895696</v>
      </c>
      <c r="Q232" s="629">
        <f t="shared" si="108"/>
        <v>0</v>
      </c>
      <c r="R232" s="599">
        <f t="shared" si="109"/>
        <v>0</v>
      </c>
      <c r="S232" s="624">
        <f t="shared" si="110"/>
        <v>1.671122043153097E-2</v>
      </c>
      <c r="T232" s="2166">
        <v>1.1000000000000001</v>
      </c>
      <c r="U232" s="2167">
        <f t="shared" si="111"/>
        <v>3.0000000000000009</v>
      </c>
      <c r="V232" s="2180">
        <f t="shared" si="112"/>
        <v>1</v>
      </c>
      <c r="W232" s="2203">
        <v>0.02</v>
      </c>
      <c r="X232" s="595">
        <f t="shared" si="117"/>
        <v>14084.06</v>
      </c>
      <c r="Y232" s="2199">
        <v>1.9E-2</v>
      </c>
      <c r="Z232" s="2192">
        <f t="shared" si="115"/>
        <v>10535.119999999999</v>
      </c>
      <c r="AA232" s="2325" t="s">
        <v>1331</v>
      </c>
      <c r="AI232" s="627" t="s">
        <v>623</v>
      </c>
    </row>
    <row r="233" spans="1:35" ht="14.4" hidden="1" x14ac:dyDescent="0.3">
      <c r="A233" s="560" t="s">
        <v>568</v>
      </c>
      <c r="B233" s="557" t="str">
        <f t="shared" si="118"/>
        <v>2020s</v>
      </c>
      <c r="C233" s="2175">
        <v>2022</v>
      </c>
      <c r="D233" s="562">
        <f t="shared" si="98"/>
        <v>2018</v>
      </c>
      <c r="E233" s="563">
        <f t="shared" si="99"/>
        <v>2020</v>
      </c>
      <c r="F233" s="587">
        <f t="shared" si="100"/>
        <v>663253</v>
      </c>
      <c r="G233" s="587">
        <f t="shared" si="101"/>
        <v>704203</v>
      </c>
      <c r="H233" s="587">
        <f t="shared" si="102"/>
        <v>702522</v>
      </c>
      <c r="I233" s="2121">
        <f t="shared" si="103"/>
        <v>478418</v>
      </c>
      <c r="J233" s="2125">
        <f t="shared" si="104"/>
        <v>0.72494935091895696</v>
      </c>
      <c r="K233" s="2172">
        <f t="shared" si="105"/>
        <v>554480</v>
      </c>
      <c r="L233" s="591">
        <f t="shared" si="113"/>
        <v>510511.50776518224</v>
      </c>
      <c r="M233" s="589">
        <f t="shared" si="114"/>
        <v>478418</v>
      </c>
      <c r="N233" s="591">
        <f t="shared" si="97"/>
        <v>336903390854</v>
      </c>
      <c r="O233" s="569">
        <f t="shared" si="126"/>
        <v>3.3072849732250502E-3</v>
      </c>
      <c r="P233" s="592">
        <f t="shared" si="107"/>
        <v>0.72494935091895696</v>
      </c>
      <c r="Q233" s="629">
        <f t="shared" si="108"/>
        <v>0</v>
      </c>
      <c r="R233" s="599">
        <f t="shared" si="109"/>
        <v>0</v>
      </c>
      <c r="S233" s="624">
        <f t="shared" si="110"/>
        <v>1.671122043153097E-2</v>
      </c>
      <c r="T233" s="574">
        <v>1.2</v>
      </c>
      <c r="U233" s="557">
        <f t="shared" si="111"/>
        <v>3.9999999999999996</v>
      </c>
      <c r="V233" s="575">
        <f t="shared" si="112"/>
        <v>1</v>
      </c>
      <c r="W233" s="2204">
        <v>0.94399999999999995</v>
      </c>
      <c r="X233" s="595">
        <f t="shared" si="117"/>
        <v>664767.63199999998</v>
      </c>
      <c r="Y233" s="2200">
        <v>0.86099999999999999</v>
      </c>
      <c r="Z233" s="2193">
        <f t="shared" si="115"/>
        <v>477407.27999999997</v>
      </c>
      <c r="AA233" s="2325" t="s">
        <v>1331</v>
      </c>
    </row>
    <row r="234" spans="1:35" ht="14.4" hidden="1" x14ac:dyDescent="0.3">
      <c r="A234" s="560" t="s">
        <v>568</v>
      </c>
      <c r="B234" s="557" t="str">
        <f t="shared" si="118"/>
        <v>2010s</v>
      </c>
      <c r="C234" s="2175">
        <v>2022</v>
      </c>
      <c r="D234" s="562">
        <f t="shared" si="98"/>
        <v>2017</v>
      </c>
      <c r="E234" s="563">
        <f t="shared" si="99"/>
        <v>2019</v>
      </c>
      <c r="F234" s="587">
        <f t="shared" si="100"/>
        <v>663253</v>
      </c>
      <c r="G234" s="587">
        <f t="shared" si="101"/>
        <v>704203</v>
      </c>
      <c r="H234" s="587">
        <f t="shared" si="102"/>
        <v>702522</v>
      </c>
      <c r="I234" s="2121">
        <f t="shared" si="103"/>
        <v>478418</v>
      </c>
      <c r="J234" s="2125">
        <f t="shared" si="104"/>
        <v>0.72494935091895696</v>
      </c>
      <c r="K234" s="2172">
        <f t="shared" si="105"/>
        <v>554480</v>
      </c>
      <c r="L234" s="591">
        <f t="shared" si="113"/>
        <v>510511.50776518224</v>
      </c>
      <c r="M234" s="589">
        <f t="shared" si="114"/>
        <v>478418</v>
      </c>
      <c r="N234" s="591">
        <f t="shared" si="97"/>
        <v>336903390854</v>
      </c>
      <c r="O234" s="569">
        <f t="shared" si="126"/>
        <v>3.3072849732250502E-3</v>
      </c>
      <c r="P234" s="592">
        <f t="shared" si="107"/>
        <v>0.72494935091895696</v>
      </c>
      <c r="Q234" s="629">
        <f t="shared" si="108"/>
        <v>0</v>
      </c>
      <c r="R234" s="599">
        <f t="shared" si="109"/>
        <v>0</v>
      </c>
      <c r="S234" s="624">
        <f t="shared" si="110"/>
        <v>1.671122043153097E-2</v>
      </c>
      <c r="T234" s="574">
        <v>1.3</v>
      </c>
      <c r="U234" s="557">
        <f t="shared" si="111"/>
        <v>5</v>
      </c>
      <c r="V234" s="575">
        <f t="shared" si="112"/>
        <v>1</v>
      </c>
      <c r="W234" s="2204">
        <v>2.3E-2</v>
      </c>
      <c r="X234" s="595">
        <f t="shared" si="117"/>
        <v>16196.669</v>
      </c>
      <c r="Y234" s="2200">
        <v>0.12</v>
      </c>
      <c r="Z234" s="2193">
        <f t="shared" si="115"/>
        <v>66537.599999999991</v>
      </c>
      <c r="AA234" s="2325" t="s">
        <v>1331</v>
      </c>
    </row>
    <row r="235" spans="1:35" ht="14.4" hidden="1" x14ac:dyDescent="0.3">
      <c r="A235" s="560" t="s">
        <v>568</v>
      </c>
      <c r="B235" s="557" t="str">
        <f t="shared" si="118"/>
        <v>2020s</v>
      </c>
      <c r="C235" s="2175">
        <v>2022</v>
      </c>
      <c r="D235" s="562">
        <f t="shared" si="98"/>
        <v>2018</v>
      </c>
      <c r="E235" s="563">
        <f t="shared" si="99"/>
        <v>2021</v>
      </c>
      <c r="F235" s="587">
        <f t="shared" si="100"/>
        <v>663253</v>
      </c>
      <c r="G235" s="587">
        <f t="shared" si="101"/>
        <v>704203</v>
      </c>
      <c r="H235" s="587">
        <f t="shared" si="102"/>
        <v>702522</v>
      </c>
      <c r="I235" s="2121">
        <f t="shared" si="103"/>
        <v>478418</v>
      </c>
      <c r="J235" s="2125">
        <f t="shared" si="104"/>
        <v>0.72494935091895696</v>
      </c>
      <c r="K235" s="2172">
        <f t="shared" si="105"/>
        <v>554480</v>
      </c>
      <c r="L235" s="591">
        <f t="shared" si="113"/>
        <v>510511.50776518224</v>
      </c>
      <c r="M235" s="589">
        <f t="shared" si="114"/>
        <v>478418</v>
      </c>
      <c r="N235" s="591">
        <f>IF(M235,M235*G235,J235*G235)</f>
        <v>336903390854</v>
      </c>
      <c r="O235" s="569">
        <f t="shared" si="126"/>
        <v>3.3072849732250502E-3</v>
      </c>
      <c r="P235" s="592">
        <f t="shared" si="107"/>
        <v>0.72494935091895696</v>
      </c>
      <c r="Q235" s="629">
        <f t="shared" si="108"/>
        <v>0</v>
      </c>
      <c r="R235" s="599">
        <f t="shared" si="109"/>
        <v>0</v>
      </c>
      <c r="S235" s="624">
        <f t="shared" si="110"/>
        <v>1.671122043153097E-2</v>
      </c>
      <c r="T235" s="574">
        <v>2.1</v>
      </c>
      <c r="U235" s="557">
        <f t="shared" si="111"/>
        <v>4.0000000000000009</v>
      </c>
      <c r="V235" s="575">
        <f t="shared" si="112"/>
        <v>2</v>
      </c>
      <c r="W235" s="2204">
        <v>8.0000000000000002E-3</v>
      </c>
      <c r="X235" s="595">
        <f t="shared" si="117"/>
        <v>5633.6239999999998</v>
      </c>
      <c r="Y235" s="2200"/>
      <c r="Z235" s="2193">
        <f t="shared" si="115"/>
        <v>0</v>
      </c>
      <c r="AA235" s="2325" t="s">
        <v>1331</v>
      </c>
    </row>
    <row r="236" spans="1:35" ht="14.4" hidden="1" x14ac:dyDescent="0.3">
      <c r="A236" s="560" t="s">
        <v>568</v>
      </c>
      <c r="B236" s="557" t="str">
        <f t="shared" si="118"/>
        <v>2020s</v>
      </c>
      <c r="C236" s="2175">
        <v>2022</v>
      </c>
      <c r="D236" s="562">
        <f t="shared" si="98"/>
        <v>2017</v>
      </c>
      <c r="E236" s="563">
        <f t="shared" si="99"/>
        <v>2020</v>
      </c>
      <c r="F236" s="587">
        <f t="shared" si="100"/>
        <v>663253</v>
      </c>
      <c r="G236" s="587">
        <f t="shared" si="101"/>
        <v>704203</v>
      </c>
      <c r="H236" s="587">
        <f t="shared" si="102"/>
        <v>702522</v>
      </c>
      <c r="I236" s="2121">
        <f t="shared" si="103"/>
        <v>478418</v>
      </c>
      <c r="J236" s="2125">
        <f t="shared" si="104"/>
        <v>0.72494935091895696</v>
      </c>
      <c r="K236" s="2172">
        <f t="shared" si="105"/>
        <v>554480</v>
      </c>
      <c r="L236" s="591">
        <f t="shared" si="113"/>
        <v>510511.50776518224</v>
      </c>
      <c r="M236" s="589">
        <f t="shared" si="114"/>
        <v>478418</v>
      </c>
      <c r="N236" s="591">
        <f>IF(M236,M236*G236,J236*G236)</f>
        <v>336903390854</v>
      </c>
      <c r="O236" s="569">
        <f t="shared" si="126"/>
        <v>3.3072849732250502E-3</v>
      </c>
      <c r="P236" s="592">
        <f t="shared" si="107"/>
        <v>0.72494935091895696</v>
      </c>
      <c r="Q236" s="629">
        <f t="shared" si="108"/>
        <v>0</v>
      </c>
      <c r="R236" s="599">
        <f t="shared" si="109"/>
        <v>0</v>
      </c>
      <c r="S236" s="624">
        <f t="shared" si="110"/>
        <v>1.671122043153097E-2</v>
      </c>
      <c r="T236" s="574">
        <v>2.2000000000000002</v>
      </c>
      <c r="U236" s="557">
        <f t="shared" si="111"/>
        <v>5.0000000000000018</v>
      </c>
      <c r="V236" s="575">
        <f t="shared" si="112"/>
        <v>2</v>
      </c>
      <c r="W236" s="2204">
        <v>4.0000000000000001E-3</v>
      </c>
      <c r="X236" s="595">
        <f t="shared" si="117"/>
        <v>2816.8119999999999</v>
      </c>
      <c r="Y236" s="2200"/>
      <c r="Z236" s="2193">
        <f t="shared" si="115"/>
        <v>0</v>
      </c>
      <c r="AA236" s="2325" t="s">
        <v>1331</v>
      </c>
    </row>
    <row r="237" spans="1:35" ht="15" hidden="1" thickBot="1" x14ac:dyDescent="0.35">
      <c r="A237" s="630" t="s">
        <v>568</v>
      </c>
      <c r="B237" s="631" t="str">
        <f t="shared" si="118"/>
        <v>2010s</v>
      </c>
      <c r="C237" s="2176">
        <v>2022</v>
      </c>
      <c r="D237" s="632">
        <f t="shared" si="98"/>
        <v>2016</v>
      </c>
      <c r="E237" s="633">
        <f t="shared" si="99"/>
        <v>2019</v>
      </c>
      <c r="F237" s="587">
        <f t="shared" si="100"/>
        <v>663253</v>
      </c>
      <c r="G237" s="587">
        <f t="shared" si="101"/>
        <v>704203</v>
      </c>
      <c r="H237" s="587">
        <f t="shared" si="102"/>
        <v>702522</v>
      </c>
      <c r="I237" s="2121">
        <f t="shared" si="103"/>
        <v>478418</v>
      </c>
      <c r="J237" s="2125">
        <f t="shared" si="104"/>
        <v>0.72494935091895696</v>
      </c>
      <c r="K237" s="2173">
        <f t="shared" si="105"/>
        <v>554480</v>
      </c>
      <c r="L237" s="636">
        <f t="shared" si="113"/>
        <v>510511.50776518224</v>
      </c>
      <c r="M237" s="635">
        <f t="shared" si="114"/>
        <v>478418</v>
      </c>
      <c r="N237" s="636">
        <f>IF(M237,M237*G237,J237*G237)</f>
        <v>336903390854</v>
      </c>
      <c r="O237" s="637">
        <f t="shared" si="126"/>
        <v>3.3072849732250502E-3</v>
      </c>
      <c r="P237" s="638">
        <f t="shared" si="107"/>
        <v>0.72494935091895696</v>
      </c>
      <c r="Q237" s="639">
        <f t="shared" si="108"/>
        <v>0</v>
      </c>
      <c r="R237" s="640">
        <f t="shared" si="109"/>
        <v>0</v>
      </c>
      <c r="S237" s="641">
        <f t="shared" si="110"/>
        <v>1.671122043153097E-2</v>
      </c>
      <c r="T237" s="642">
        <v>2.2999999999999998</v>
      </c>
      <c r="U237" s="631">
        <f t="shared" si="111"/>
        <v>5.9999999999999982</v>
      </c>
      <c r="V237" s="643">
        <f t="shared" si="112"/>
        <v>2</v>
      </c>
      <c r="W237" s="2205">
        <v>0</v>
      </c>
      <c r="X237" s="644">
        <f t="shared" si="117"/>
        <v>0</v>
      </c>
      <c r="Y237" s="2206"/>
      <c r="Z237" s="2194">
        <f t="shared" si="115"/>
        <v>0</v>
      </c>
      <c r="AA237" s="2325" t="s">
        <v>1331</v>
      </c>
    </row>
    <row r="238" spans="1:35" ht="14.4" hidden="1" x14ac:dyDescent="0.3">
      <c r="A238" s="2168" t="s">
        <v>568</v>
      </c>
      <c r="B238" s="2167" t="str">
        <f t="shared" ref="B238:B243" si="127">LEFT(E238,3)*10 &amp; "s"</f>
        <v>2020s</v>
      </c>
      <c r="C238" s="2174">
        <v>2023</v>
      </c>
      <c r="D238" s="2169">
        <f t="shared" ref="D238:D243" si="128">C238-U238</f>
        <v>2020</v>
      </c>
      <c r="E238" s="2170">
        <f t="shared" ref="E238:E243" si="129">C238-(T238-INT(T238))*10</f>
        <v>2022</v>
      </c>
      <c r="F238" s="2128">
        <f t="shared" si="100"/>
        <v>327600</v>
      </c>
      <c r="G238" s="2128">
        <f t="shared" si="101"/>
        <v>347145</v>
      </c>
      <c r="H238" s="2128">
        <f t="shared" si="102"/>
        <v>345705</v>
      </c>
      <c r="I238" s="2129">
        <f t="shared" si="103"/>
        <v>136956</v>
      </c>
      <c r="J238" s="2130">
        <f t="shared" si="104"/>
        <v>0.55275010897115084</v>
      </c>
      <c r="K238" s="2171">
        <f t="shared" si="105"/>
        <v>207088</v>
      </c>
      <c r="T238" s="2166">
        <v>1.1000000000000001</v>
      </c>
      <c r="U238" s="2167">
        <f t="shared" ref="U238:U243" si="130">INT(T238) + (T238-INT(T238))*10 + 1</f>
        <v>3.0000000000000009</v>
      </c>
      <c r="V238" s="2180">
        <f t="shared" ref="V238:V243" si="131">INT(T238)</f>
        <v>1</v>
      </c>
      <c r="W238" s="2203"/>
      <c r="Y238" s="2199">
        <v>8.8999999999999996E-2</v>
      </c>
      <c r="Z238" s="2192">
        <f t="shared" si="115"/>
        <v>18430.831999999999</v>
      </c>
      <c r="AA238" s="2325" t="s">
        <v>1331</v>
      </c>
      <c r="AI238" s="627" t="s">
        <v>623</v>
      </c>
    </row>
    <row r="239" spans="1:35" ht="14.4" hidden="1" x14ac:dyDescent="0.3">
      <c r="A239" s="560" t="s">
        <v>568</v>
      </c>
      <c r="B239" s="557" t="str">
        <f t="shared" si="127"/>
        <v>2020s</v>
      </c>
      <c r="C239" s="2175">
        <v>2023</v>
      </c>
      <c r="D239" s="562">
        <f t="shared" si="128"/>
        <v>2019</v>
      </c>
      <c r="E239" s="563">
        <f t="shared" si="129"/>
        <v>2021</v>
      </c>
      <c r="F239" s="587">
        <f t="shared" si="100"/>
        <v>327600</v>
      </c>
      <c r="G239" s="587">
        <f t="shared" si="101"/>
        <v>347145</v>
      </c>
      <c r="H239" s="587">
        <f t="shared" si="102"/>
        <v>345705</v>
      </c>
      <c r="I239" s="2121">
        <f t="shared" si="103"/>
        <v>136956</v>
      </c>
      <c r="J239" s="2125">
        <f t="shared" si="104"/>
        <v>0.55275010897115084</v>
      </c>
      <c r="K239" s="2172">
        <f t="shared" si="105"/>
        <v>207088</v>
      </c>
      <c r="T239" s="574">
        <v>1.2</v>
      </c>
      <c r="U239" s="557">
        <f t="shared" si="130"/>
        <v>3.9999999999999996</v>
      </c>
      <c r="V239" s="575">
        <f t="shared" si="131"/>
        <v>1</v>
      </c>
      <c r="W239" s="2204"/>
      <c r="Y239" s="2200">
        <v>0.81200000000000006</v>
      </c>
      <c r="Z239" s="2193">
        <f t="shared" si="115"/>
        <v>168155.45600000001</v>
      </c>
      <c r="AA239" s="2325" t="s">
        <v>1331</v>
      </c>
    </row>
    <row r="240" spans="1:35" ht="14.4" hidden="1" x14ac:dyDescent="0.3">
      <c r="A240" s="560" t="s">
        <v>568</v>
      </c>
      <c r="B240" s="557" t="str">
        <f t="shared" si="127"/>
        <v>2020s</v>
      </c>
      <c r="C240" s="2175">
        <v>2023</v>
      </c>
      <c r="D240" s="562">
        <f t="shared" si="128"/>
        <v>2018</v>
      </c>
      <c r="E240" s="563">
        <f t="shared" si="129"/>
        <v>2020</v>
      </c>
      <c r="F240" s="587">
        <f t="shared" si="100"/>
        <v>327600</v>
      </c>
      <c r="G240" s="587">
        <f t="shared" si="101"/>
        <v>347145</v>
      </c>
      <c r="H240" s="587">
        <f t="shared" si="102"/>
        <v>345705</v>
      </c>
      <c r="I240" s="2121">
        <f t="shared" si="103"/>
        <v>136956</v>
      </c>
      <c r="J240" s="2125">
        <f t="shared" si="104"/>
        <v>0.55275010897115084</v>
      </c>
      <c r="K240" s="2172">
        <f t="shared" si="105"/>
        <v>207088</v>
      </c>
      <c r="T240" s="574">
        <v>1.3</v>
      </c>
      <c r="U240" s="557">
        <f t="shared" si="130"/>
        <v>5</v>
      </c>
      <c r="V240" s="575">
        <f t="shared" si="131"/>
        <v>1</v>
      </c>
      <c r="W240" s="2204"/>
      <c r="Y240" s="2200">
        <v>9.6000000000000002E-2</v>
      </c>
      <c r="Z240" s="2193">
        <f t="shared" si="115"/>
        <v>19880.448</v>
      </c>
      <c r="AA240" s="2325" t="s">
        <v>1331</v>
      </c>
    </row>
    <row r="241" spans="1:27" ht="14.4" hidden="1" x14ac:dyDescent="0.3">
      <c r="A241" s="560" t="s">
        <v>568</v>
      </c>
      <c r="B241" s="557" t="str">
        <f t="shared" si="127"/>
        <v>2020s</v>
      </c>
      <c r="C241" s="2175">
        <v>2023</v>
      </c>
      <c r="D241" s="562">
        <f t="shared" si="128"/>
        <v>2019</v>
      </c>
      <c r="E241" s="563">
        <f t="shared" si="129"/>
        <v>2022</v>
      </c>
      <c r="F241" s="587">
        <f t="shared" si="100"/>
        <v>327600</v>
      </c>
      <c r="G241" s="587">
        <f t="shared" si="101"/>
        <v>347145</v>
      </c>
      <c r="H241" s="587">
        <f t="shared" si="102"/>
        <v>345705</v>
      </c>
      <c r="I241" s="2121">
        <f t="shared" si="103"/>
        <v>136956</v>
      </c>
      <c r="J241" s="2125">
        <f t="shared" si="104"/>
        <v>0.55275010897115084</v>
      </c>
      <c r="K241" s="2172">
        <f t="shared" si="105"/>
        <v>207088</v>
      </c>
      <c r="L241" s="559"/>
      <c r="M241" s="559"/>
      <c r="N241" s="559"/>
      <c r="O241" s="559"/>
      <c r="T241" s="574">
        <v>2.1</v>
      </c>
      <c r="U241" s="557">
        <f t="shared" si="130"/>
        <v>4.0000000000000009</v>
      </c>
      <c r="V241" s="575">
        <f t="shared" si="131"/>
        <v>2</v>
      </c>
      <c r="W241" s="2204"/>
      <c r="Y241" s="2200">
        <v>3.0000000000000001E-3</v>
      </c>
      <c r="Z241" s="2193">
        <f t="shared" si="115"/>
        <v>621.26400000000001</v>
      </c>
      <c r="AA241" s="2325" t="s">
        <v>1331</v>
      </c>
    </row>
    <row r="242" spans="1:27" ht="14.4" hidden="1" x14ac:dyDescent="0.3">
      <c r="A242" s="560" t="s">
        <v>568</v>
      </c>
      <c r="B242" s="557" t="str">
        <f t="shared" si="127"/>
        <v>2020s</v>
      </c>
      <c r="C242" s="2175">
        <v>2023</v>
      </c>
      <c r="D242" s="562">
        <f t="shared" si="128"/>
        <v>2018</v>
      </c>
      <c r="E242" s="563">
        <f t="shared" si="129"/>
        <v>2021</v>
      </c>
      <c r="F242" s="587">
        <f t="shared" si="100"/>
        <v>327600</v>
      </c>
      <c r="G242" s="587">
        <f t="shared" si="101"/>
        <v>347145</v>
      </c>
      <c r="H242" s="587">
        <f t="shared" si="102"/>
        <v>345705</v>
      </c>
      <c r="I242" s="2121">
        <f t="shared" si="103"/>
        <v>136956</v>
      </c>
      <c r="J242" s="2125">
        <f t="shared" si="104"/>
        <v>0.55275010897115084</v>
      </c>
      <c r="K242" s="2172">
        <f t="shared" si="105"/>
        <v>207088</v>
      </c>
      <c r="L242" s="559"/>
      <c r="M242" s="559"/>
      <c r="N242" s="559"/>
      <c r="O242" s="559"/>
      <c r="T242" s="574">
        <v>2.2000000000000002</v>
      </c>
      <c r="U242" s="557">
        <f t="shared" si="130"/>
        <v>5.0000000000000018</v>
      </c>
      <c r="V242" s="575">
        <f t="shared" si="131"/>
        <v>2</v>
      </c>
      <c r="W242" s="2204"/>
      <c r="Y242" s="2200"/>
      <c r="Z242" s="2193">
        <f t="shared" si="115"/>
        <v>0</v>
      </c>
      <c r="AA242" s="2325" t="s">
        <v>1331</v>
      </c>
    </row>
    <row r="243" spans="1:27" ht="15" hidden="1" thickBot="1" x14ac:dyDescent="0.35">
      <c r="A243" s="630" t="s">
        <v>568</v>
      </c>
      <c r="B243" s="631" t="str">
        <f t="shared" si="127"/>
        <v>2020s</v>
      </c>
      <c r="C243" s="2176">
        <v>2023</v>
      </c>
      <c r="D243" s="632">
        <f t="shared" si="128"/>
        <v>2017</v>
      </c>
      <c r="E243" s="633">
        <f t="shared" si="129"/>
        <v>2020</v>
      </c>
      <c r="F243" s="634">
        <f t="shared" si="100"/>
        <v>327600</v>
      </c>
      <c r="G243" s="634">
        <f t="shared" si="101"/>
        <v>347145</v>
      </c>
      <c r="H243" s="634">
        <f t="shared" si="102"/>
        <v>345705</v>
      </c>
      <c r="I243" s="2122">
        <f t="shared" si="103"/>
        <v>136956</v>
      </c>
      <c r="J243" s="2126">
        <f t="shared" si="104"/>
        <v>0.55275010897115084</v>
      </c>
      <c r="K243" s="2173">
        <f t="shared" si="105"/>
        <v>207088</v>
      </c>
      <c r="L243" s="559"/>
      <c r="M243" s="559"/>
      <c r="N243" s="559"/>
      <c r="O243" s="559"/>
      <c r="T243" s="642">
        <v>2.2999999999999998</v>
      </c>
      <c r="U243" s="631">
        <f t="shared" si="130"/>
        <v>5.9999999999999982</v>
      </c>
      <c r="V243" s="643">
        <f t="shared" si="131"/>
        <v>2</v>
      </c>
      <c r="W243" s="2205"/>
      <c r="Y243" s="2206"/>
      <c r="Z243" s="2194">
        <f t="shared" si="115"/>
        <v>0</v>
      </c>
      <c r="AA243" s="2325" t="s">
        <v>1331</v>
      </c>
    </row>
    <row r="244" spans="1:27" x14ac:dyDescent="0.25">
      <c r="I244" s="613"/>
      <c r="J244" s="559"/>
      <c r="K244" s="649"/>
      <c r="L244" s="559"/>
      <c r="M244" s="559"/>
      <c r="N244" s="559"/>
      <c r="O244" s="559"/>
    </row>
    <row r="245" spans="1:27" x14ac:dyDescent="0.25">
      <c r="I245" s="613"/>
      <c r="J245" s="559"/>
      <c r="K245" s="649"/>
      <c r="L245" s="559"/>
      <c r="M245" s="559"/>
      <c r="N245" s="559"/>
      <c r="O245" s="559"/>
    </row>
    <row r="250" spans="1:27" x14ac:dyDescent="0.25">
      <c r="P250" s="652"/>
      <c r="Q250" s="652"/>
    </row>
    <row r="254" spans="1:27" x14ac:dyDescent="0.25">
      <c r="P254" s="652"/>
      <c r="Q254" s="652"/>
    </row>
  </sheetData>
  <sheetProtection formatCells="0" formatColumns="0" formatRows="0" insertColumns="0" insertRows="0" sort="0" autoFilter="0" pivotTables="0"/>
  <autoFilter ref="A1:AI243" xr:uid="{00000000-0001-0000-0000-000000000000}">
    <filterColumn colId="2">
      <filters>
        <filter val="1985"/>
        <filter val="1986"/>
        <filter val="1987"/>
        <filter val="1988"/>
        <filter val="1989"/>
        <filter val="1990"/>
        <filter val="1991"/>
        <filter val="1992"/>
        <filter val="1993"/>
        <filter val="1994"/>
        <filter val="1995"/>
        <filter val="1996"/>
        <filter val="1997"/>
        <filter val="1998"/>
        <filter val="1999"/>
        <filter val="2000"/>
      </filters>
    </filterColumn>
  </autoFilter>
  <conditionalFormatting sqref="F27:F231">
    <cfRule type="colorScale" priority="26">
      <colorScale>
        <cfvo type="min"/>
        <cfvo type="percentile" val="50"/>
        <cfvo type="max"/>
        <color rgb="FFF8696B"/>
        <color rgb="FFFFEB84"/>
        <color rgb="FF63BE7B"/>
      </colorScale>
    </cfRule>
  </conditionalFormatting>
  <conditionalFormatting sqref="F232:F243">
    <cfRule type="colorScale" priority="4">
      <colorScale>
        <cfvo type="min"/>
        <cfvo type="percentile" val="50"/>
        <cfvo type="max"/>
        <color rgb="FFF8696B"/>
        <color rgb="FFFFEB84"/>
        <color rgb="FF63BE7B"/>
      </colorScale>
    </cfRule>
  </conditionalFormatting>
  <conditionalFormatting sqref="G27:I231">
    <cfRule type="colorScale" priority="31">
      <colorScale>
        <cfvo type="min"/>
        <cfvo type="percentile" val="50"/>
        <cfvo type="max"/>
        <color rgb="FFF8696B"/>
        <color rgb="FFFFEB84"/>
        <color rgb="FF63BE7B"/>
      </colorScale>
    </cfRule>
  </conditionalFormatting>
  <conditionalFormatting sqref="G232:I237">
    <cfRule type="colorScale" priority="8">
      <colorScale>
        <cfvo type="min"/>
        <cfvo type="percentile" val="50"/>
        <cfvo type="max"/>
        <color rgb="FFF8696B"/>
        <color rgb="FFFFEB84"/>
        <color rgb="FF63BE7B"/>
      </colorScale>
    </cfRule>
  </conditionalFormatting>
  <conditionalFormatting sqref="J27:J225 L220:L225 L27:N219">
    <cfRule type="colorScale" priority="54">
      <colorScale>
        <cfvo type="min"/>
        <cfvo type="max"/>
        <color rgb="FFFFEF9C"/>
        <color rgb="FF63BE7B"/>
      </colorScale>
    </cfRule>
  </conditionalFormatting>
  <conditionalFormatting sqref="J27:J225 M27:M219">
    <cfRule type="colorScale" priority="49">
      <colorScale>
        <cfvo type="min"/>
        <cfvo type="percentile" val="50"/>
        <cfvo type="max"/>
        <color rgb="FFF8696B"/>
        <color rgb="FFFFEB84"/>
        <color rgb="FF63BE7B"/>
      </colorScale>
    </cfRule>
  </conditionalFormatting>
  <conditionalFormatting sqref="J27:J225">
    <cfRule type="colorScale" priority="52">
      <colorScale>
        <cfvo type="min"/>
        <cfvo type="percentile" val="50"/>
        <cfvo type="max"/>
        <color rgb="FFF8696B"/>
        <color rgb="FFFFEB84"/>
        <color rgb="FF63BE7B"/>
      </colorScale>
    </cfRule>
  </conditionalFormatting>
  <conditionalFormatting sqref="J27:J231">
    <cfRule type="colorScale" priority="32">
      <colorScale>
        <cfvo type="min"/>
        <cfvo type="percentile" val="50"/>
        <cfvo type="max"/>
        <color rgb="FFF8696B"/>
        <color rgb="FFFFEB84"/>
        <color rgb="FF63BE7B"/>
      </colorScale>
    </cfRule>
  </conditionalFormatting>
  <conditionalFormatting sqref="J226:J231 L226:L231">
    <cfRule type="colorScale" priority="42">
      <colorScale>
        <cfvo type="min"/>
        <cfvo type="max"/>
        <color rgb="FFFFEF9C"/>
        <color rgb="FF63BE7B"/>
      </colorScale>
    </cfRule>
  </conditionalFormatting>
  <conditionalFormatting sqref="J226:J231">
    <cfRule type="colorScale" priority="40">
      <colorScale>
        <cfvo type="min"/>
        <cfvo type="percentile" val="50"/>
        <cfvo type="max"/>
        <color rgb="FFF8696B"/>
        <color rgb="FFFFEB84"/>
        <color rgb="FF63BE7B"/>
      </colorScale>
    </cfRule>
    <cfRule type="colorScale" priority="41">
      <colorScale>
        <cfvo type="min"/>
        <cfvo type="percentile" val="50"/>
        <cfvo type="max"/>
        <color rgb="FFF8696B"/>
        <color rgb="FFFFEB84"/>
        <color rgb="FF63BE7B"/>
      </colorScale>
    </cfRule>
  </conditionalFormatting>
  <conditionalFormatting sqref="L232:L237 J232:J243">
    <cfRule type="colorScale" priority="19">
      <colorScale>
        <cfvo type="min"/>
        <cfvo type="max"/>
        <color rgb="FFFFEF9C"/>
        <color rgb="FF63BE7B"/>
      </colorScale>
    </cfRule>
  </conditionalFormatting>
  <conditionalFormatting sqref="J232:J243">
    <cfRule type="colorScale" priority="9">
      <colorScale>
        <cfvo type="min"/>
        <cfvo type="percentile" val="50"/>
        <cfvo type="max"/>
        <color rgb="FFF8696B"/>
        <color rgb="FFFFEB84"/>
        <color rgb="FF63BE7B"/>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rgb="FFF8696B"/>
        <color rgb="FFFFEB84"/>
        <color rgb="FF63BE7B"/>
      </colorScale>
    </cfRule>
  </conditionalFormatting>
  <conditionalFormatting sqref="L27:L231">
    <cfRule type="colorScale" priority="33">
      <colorScale>
        <cfvo type="min"/>
        <cfvo type="percentile" val="50"/>
        <cfvo type="max"/>
        <color rgb="FFF8696B"/>
        <color rgb="FFFFEB84"/>
        <color rgb="FF63BE7B"/>
      </colorScale>
    </cfRule>
  </conditionalFormatting>
  <conditionalFormatting sqref="L232:L237">
    <cfRule type="colorScale" priority="10">
      <colorScale>
        <cfvo type="min"/>
        <cfvo type="percentile" val="50"/>
        <cfvo type="max"/>
        <color rgb="FFF8696B"/>
        <color rgb="FFFFEB84"/>
        <color rgb="FF63BE7B"/>
      </colorScale>
    </cfRule>
  </conditionalFormatting>
  <conditionalFormatting sqref="M27:M219">
    <cfRule type="colorScale" priority="50">
      <colorScale>
        <cfvo type="min"/>
        <cfvo type="percentile" val="50"/>
        <cfvo type="max"/>
        <color rgb="FFF8696B"/>
        <color rgb="FFFFEB84"/>
        <color rgb="FF63BE7B"/>
      </colorScale>
    </cfRule>
  </conditionalFormatting>
  <conditionalFormatting sqref="M27:M231">
    <cfRule type="colorScale" priority="34">
      <colorScale>
        <cfvo type="min"/>
        <cfvo type="percentile" val="50"/>
        <cfvo type="max"/>
        <color rgb="FFF8696B"/>
        <color rgb="FFFFEB84"/>
        <color rgb="FF63BE7B"/>
      </colorScale>
    </cfRule>
  </conditionalFormatting>
  <conditionalFormatting sqref="M220:M225">
    <cfRule type="colorScale" priority="45">
      <colorScale>
        <cfvo type="min"/>
        <cfvo type="percentile" val="50"/>
        <cfvo type="max"/>
        <color rgb="FFF8696B"/>
        <color rgb="FFFFEB84"/>
        <color rgb="FF63BE7B"/>
      </colorScale>
    </cfRule>
    <cfRule type="colorScale" priority="46">
      <colorScale>
        <cfvo type="min"/>
        <cfvo type="percentile" val="50"/>
        <cfvo type="max"/>
        <color rgb="FFF8696B"/>
        <color rgb="FFFFEB84"/>
        <color rgb="FF63BE7B"/>
      </colorScale>
    </cfRule>
    <cfRule type="colorScale" priority="47">
      <colorScale>
        <cfvo type="min"/>
        <cfvo type="percentile" val="50"/>
        <cfvo type="max"/>
        <color rgb="FFF8696B"/>
        <color rgb="FFFFEB84"/>
        <color rgb="FF63BE7B"/>
      </colorScale>
    </cfRule>
    <cfRule type="colorScale" priority="48">
      <colorScale>
        <cfvo type="min"/>
        <cfvo type="max"/>
        <color rgb="FFFFEF9C"/>
        <color rgb="FF63BE7B"/>
      </colorScale>
    </cfRule>
  </conditionalFormatting>
  <conditionalFormatting sqref="M226:M231">
    <cfRule type="colorScale" priority="36">
      <colorScale>
        <cfvo type="min"/>
        <cfvo type="percentile" val="50"/>
        <cfvo type="max"/>
        <color rgb="FFF8696B"/>
        <color rgb="FFFFEB84"/>
        <color rgb="FF63BE7B"/>
      </colorScale>
    </cfRule>
    <cfRule type="colorScale" priority="37">
      <colorScale>
        <cfvo type="min"/>
        <cfvo type="percentile" val="50"/>
        <cfvo type="max"/>
        <color rgb="FFF8696B"/>
        <color rgb="FFFFEB84"/>
        <color rgb="FF63BE7B"/>
      </colorScale>
    </cfRule>
    <cfRule type="colorScale" priority="38">
      <colorScale>
        <cfvo type="min"/>
        <cfvo type="percentile" val="50"/>
        <cfvo type="max"/>
        <color rgb="FFF8696B"/>
        <color rgb="FFFFEB84"/>
        <color rgb="FF63BE7B"/>
      </colorScale>
    </cfRule>
    <cfRule type="colorScale" priority="39">
      <colorScale>
        <cfvo type="min"/>
        <cfvo type="max"/>
        <color rgb="FFFFEF9C"/>
        <color rgb="FF63BE7B"/>
      </colorScale>
    </cfRule>
  </conditionalFormatting>
  <conditionalFormatting sqref="M232:M237">
    <cfRule type="colorScale" priority="11">
      <colorScale>
        <cfvo type="min"/>
        <cfvo type="percentile" val="50"/>
        <cfvo type="max"/>
        <color rgb="FFF8696B"/>
        <color rgb="FFFFEB84"/>
        <color rgb="FF63BE7B"/>
      </colorScale>
    </cfRule>
    <cfRule type="colorScale" priority="13">
      <colorScale>
        <cfvo type="min"/>
        <cfvo type="percentile" val="50"/>
        <cfvo type="max"/>
        <color rgb="FFF8696B"/>
        <color rgb="FFFFEB84"/>
        <color rgb="FF63BE7B"/>
      </colorScale>
    </cfRule>
    <cfRule type="colorScale" priority="14">
      <colorScale>
        <cfvo type="min"/>
        <cfvo type="percentile" val="50"/>
        <cfvo type="max"/>
        <color rgb="FFF8696B"/>
        <color rgb="FFFFEB84"/>
        <color rgb="FF63BE7B"/>
      </colorScale>
    </cfRule>
    <cfRule type="colorScale" priority="15">
      <colorScale>
        <cfvo type="min"/>
        <cfvo type="percentile" val="50"/>
        <cfvo type="max"/>
        <color rgb="FFF8696B"/>
        <color rgb="FFFFEB84"/>
        <color rgb="FF63BE7B"/>
      </colorScale>
    </cfRule>
    <cfRule type="colorScale" priority="16">
      <colorScale>
        <cfvo type="min"/>
        <cfvo type="max"/>
        <color rgb="FFFFEF9C"/>
        <color rgb="FF63BE7B"/>
      </colorScale>
    </cfRule>
  </conditionalFormatting>
  <conditionalFormatting sqref="M27:N219">
    <cfRule type="colorScale" priority="51">
      <colorScale>
        <cfvo type="min"/>
        <cfvo type="percentile" val="50"/>
        <cfvo type="max"/>
        <color rgb="FFF8696B"/>
        <color rgb="FFFFEB84"/>
        <color rgb="FF63BE7B"/>
      </colorScale>
    </cfRule>
  </conditionalFormatting>
  <conditionalFormatting sqref="N27:N231">
    <cfRule type="colorScale" priority="35">
      <colorScale>
        <cfvo type="min"/>
        <cfvo type="percentile" val="50"/>
        <cfvo type="max"/>
        <color rgb="FFF8696B"/>
        <color rgb="FFFFEB84"/>
        <color rgb="FF63BE7B"/>
      </colorScale>
    </cfRule>
  </conditionalFormatting>
  <conditionalFormatting sqref="N220:N231">
    <cfRule type="colorScale" priority="43">
      <colorScale>
        <cfvo type="min"/>
        <cfvo type="percentile" val="50"/>
        <cfvo type="max"/>
        <color rgb="FFF8696B"/>
        <color rgb="FFFFEB84"/>
        <color rgb="FF63BE7B"/>
      </colorScale>
    </cfRule>
    <cfRule type="colorScale" priority="44">
      <colorScale>
        <cfvo type="min"/>
        <cfvo type="max"/>
        <color rgb="FFFFEF9C"/>
        <color rgb="FF63BE7B"/>
      </colorScale>
    </cfRule>
  </conditionalFormatting>
  <conditionalFormatting sqref="N232:N237">
    <cfRule type="colorScale" priority="12">
      <colorScale>
        <cfvo type="min"/>
        <cfvo type="percentile" val="50"/>
        <cfvo type="max"/>
        <color rgb="FFF8696B"/>
        <color rgb="FFFFEB84"/>
        <color rgb="FF63BE7B"/>
      </colorScale>
    </cfRule>
    <cfRule type="colorScale" priority="20">
      <colorScale>
        <cfvo type="min"/>
        <cfvo type="percentile" val="50"/>
        <cfvo type="max"/>
        <color rgb="FFF8696B"/>
        <color rgb="FFFFEB84"/>
        <color rgb="FF63BE7B"/>
      </colorScale>
    </cfRule>
    <cfRule type="colorScale" priority="21">
      <colorScale>
        <cfvo type="min"/>
        <cfvo type="max"/>
        <color rgb="FFFFEF9C"/>
        <color rgb="FF63BE7B"/>
      </colorScale>
    </cfRule>
  </conditionalFormatting>
  <conditionalFormatting sqref="O27:O225 S32:S231">
    <cfRule type="colorScale" priority="57">
      <colorScale>
        <cfvo type="min"/>
        <cfvo type="percentile" val="50"/>
        <cfvo type="max"/>
        <color rgb="FFF8696B"/>
        <color rgb="FFFCFCFF"/>
        <color rgb="FF63BE7B"/>
      </colorScale>
    </cfRule>
  </conditionalFormatting>
  <conditionalFormatting sqref="O27:O225">
    <cfRule type="colorScale" priority="55">
      <colorScale>
        <cfvo type="min"/>
        <cfvo type="max"/>
        <color rgb="FFF8696B"/>
        <color rgb="FFFCFCFF"/>
      </colorScale>
    </cfRule>
  </conditionalFormatting>
  <conditionalFormatting sqref="O27:O231">
    <cfRule type="colorScale" priority="28">
      <colorScale>
        <cfvo type="min"/>
        <cfvo type="percentile" val="50"/>
        <cfvo type="max"/>
        <color rgb="FFF8696B"/>
        <color rgb="FFFFEB84"/>
        <color rgb="FF63BE7B"/>
      </colorScale>
    </cfRule>
  </conditionalFormatting>
  <conditionalFormatting sqref="O226:O231">
    <cfRule type="colorScale" priority="29">
      <colorScale>
        <cfvo type="min"/>
        <cfvo type="max"/>
        <color rgb="FFF8696B"/>
        <color rgb="FFFCFCFF"/>
      </colorScale>
    </cfRule>
    <cfRule type="colorScale" priority="30">
      <colorScale>
        <cfvo type="min"/>
        <cfvo type="percentile" val="50"/>
        <cfvo type="max"/>
        <color rgb="FFF8696B"/>
        <color rgb="FFFCFCFF"/>
        <color rgb="FF63BE7B"/>
      </colorScale>
    </cfRule>
  </conditionalFormatting>
  <conditionalFormatting sqref="O232:O237">
    <cfRule type="colorScale" priority="5">
      <colorScale>
        <cfvo type="min"/>
        <cfvo type="percentile" val="50"/>
        <cfvo type="max"/>
        <color rgb="FFF8696B"/>
        <color rgb="FFFFEB84"/>
        <color rgb="FF63BE7B"/>
      </colorScale>
    </cfRule>
    <cfRule type="colorScale" priority="6">
      <colorScale>
        <cfvo type="min"/>
        <cfvo type="max"/>
        <color rgb="FFF8696B"/>
        <color rgb="FFFCFCFF"/>
      </colorScale>
    </cfRule>
    <cfRule type="colorScale" priority="7">
      <colorScale>
        <cfvo type="min"/>
        <cfvo type="percentile" val="50"/>
        <cfvo type="max"/>
        <color rgb="FFF8696B"/>
        <color rgb="FFFCFCFF"/>
        <color rgb="FF63BE7B"/>
      </colorScale>
    </cfRule>
  </conditionalFormatting>
  <conditionalFormatting sqref="Q27:Q225">
    <cfRule type="colorScale" priority="56">
      <colorScale>
        <cfvo type="min"/>
        <cfvo type="max"/>
        <color rgb="FFFCFCFF"/>
        <color rgb="FFF8696B"/>
      </colorScale>
    </cfRule>
  </conditionalFormatting>
  <conditionalFormatting sqref="S2:S31">
    <cfRule type="colorScale" priority="24">
      <colorScale>
        <cfvo type="min"/>
        <cfvo type="percentile" val="50"/>
        <cfvo type="max"/>
        <color rgb="FFF8696B"/>
        <color rgb="FFFCFCFF"/>
        <color rgb="FF63BE7B"/>
      </colorScale>
    </cfRule>
    <cfRule type="colorScale" priority="25">
      <colorScale>
        <cfvo type="min"/>
        <cfvo type="max"/>
        <color rgb="FFF8696B"/>
        <color rgb="FFFCFCFF"/>
      </colorScale>
    </cfRule>
  </conditionalFormatting>
  <conditionalFormatting sqref="S32:S231">
    <cfRule type="colorScale" priority="60">
      <colorScale>
        <cfvo type="min"/>
        <cfvo type="max"/>
        <color rgb="FFF8696B"/>
        <color rgb="FFFCFCFF"/>
      </colorScale>
    </cfRule>
  </conditionalFormatting>
  <conditionalFormatting sqref="S232:S237">
    <cfRule type="colorScale" priority="22">
      <colorScale>
        <cfvo type="min"/>
        <cfvo type="percentile" val="50"/>
        <cfvo type="max"/>
        <color rgb="FFF8696B"/>
        <color rgb="FFFCFCFF"/>
        <color rgb="FF63BE7B"/>
      </colorScale>
    </cfRule>
    <cfRule type="colorScale" priority="23">
      <colorScale>
        <cfvo type="min"/>
        <cfvo type="max"/>
        <color rgb="FFF8696B"/>
        <color rgb="FFFCFCFF"/>
      </colorScale>
    </cfRule>
  </conditionalFormatting>
  <conditionalFormatting sqref="AB219:AD231 AB27:AE218 AE219:AE225">
    <cfRule type="colorScale" priority="53">
      <colorScale>
        <cfvo type="min"/>
        <cfvo type="percentile" val="50"/>
        <cfvo type="max"/>
        <color rgb="FFF8696B"/>
        <color rgb="FFFFEB84"/>
        <color rgb="FF63BE7B"/>
      </colorScale>
    </cfRule>
  </conditionalFormatting>
  <conditionalFormatting sqref="AE226:AE231">
    <cfRule type="colorScale" priority="27">
      <colorScale>
        <cfvo type="min"/>
        <cfvo type="percentile" val="50"/>
        <cfvo type="max"/>
        <color rgb="FFF8696B"/>
        <color rgb="FFFFEB84"/>
        <color rgb="FF63BE7B"/>
      </colorScale>
    </cfRule>
  </conditionalFormatting>
  <conditionalFormatting sqref="AF27:AG219">
    <cfRule type="colorScale" priority="58">
      <colorScale>
        <cfvo type="min"/>
        <cfvo type="percentile" val="50"/>
        <cfvo type="max"/>
        <color rgb="FFF8696B"/>
        <color rgb="FFFFEB84"/>
        <color rgb="FF63BE7B"/>
      </colorScale>
    </cfRule>
    <cfRule type="colorScale" priority="59">
      <colorScale>
        <cfvo type="min"/>
        <cfvo type="percentile" val="50"/>
        <cfvo type="max"/>
        <color rgb="FFF8696B"/>
        <color rgb="FFFFEB84"/>
        <color rgb="FF63BE7B"/>
      </colorScale>
    </cfRule>
  </conditionalFormatting>
  <conditionalFormatting sqref="G238:I238">
    <cfRule type="colorScale" priority="3">
      <colorScale>
        <cfvo type="min"/>
        <cfvo type="percentile" val="50"/>
        <cfvo type="max"/>
        <color rgb="FFF8696B"/>
        <color rgb="FFFFEB84"/>
        <color rgb="FF63BE7B"/>
      </colorScale>
    </cfRule>
  </conditionalFormatting>
  <conditionalFormatting sqref="G239:I243">
    <cfRule type="colorScale" priority="2">
      <colorScale>
        <cfvo type="min"/>
        <cfvo type="percentile" val="50"/>
        <cfvo type="max"/>
        <color rgb="FFF8696B"/>
        <color rgb="FFFFEB84"/>
        <color rgb="FF63BE7B"/>
      </colorScale>
    </cfRule>
  </conditionalFormatting>
  <conditionalFormatting sqref="C2:C243">
    <cfRule type="colorScale" priority="1">
      <colorScale>
        <cfvo type="min"/>
        <cfvo type="percentile" val="50"/>
        <cfvo type="max"/>
        <color rgb="FFF8696B"/>
        <color rgb="FFFFEB84"/>
        <color rgb="FF63BE7B"/>
      </colorScale>
    </cfRule>
  </conditionalFormatting>
  <pageMargins left="0.75" right="0.75" top="1" bottom="1" header="0.5" footer="0.5"/>
  <pageSetup orientation="portrait" r:id="rId1"/>
  <headerFooter alignWithMargins="0"/>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5AED58-84B3-4960-A880-8DB7772B78BC}">
  <sheetPr>
    <tabColor rgb="FF0070C0"/>
  </sheetPr>
  <dimension ref="A1:P51"/>
  <sheetViews>
    <sheetView workbookViewId="0">
      <pane xSplit="1" ySplit="5" topLeftCell="B33" activePane="bottomRight" state="frozen"/>
      <selection pane="topRight" activeCell="B1" sqref="B1"/>
      <selection pane="bottomLeft" activeCell="A6" sqref="A6"/>
      <selection pane="bottomRight" activeCell="D34" sqref="D34"/>
    </sheetView>
  </sheetViews>
  <sheetFormatPr defaultRowHeight="14.4" x14ac:dyDescent="0.3"/>
  <cols>
    <col min="1" max="1" width="14.6640625" style="664" bestFit="1" customWidth="1"/>
    <col min="2" max="2" width="19.44140625" bestFit="1" customWidth="1"/>
    <col min="3" max="3" width="13.33203125" bestFit="1" customWidth="1"/>
    <col min="4" max="4" width="92.88671875" bestFit="1" customWidth="1"/>
    <col min="5" max="5" width="6" bestFit="1" customWidth="1"/>
    <col min="6" max="6" width="6.6640625" bestFit="1" customWidth="1"/>
    <col min="7" max="7" width="5" bestFit="1" customWidth="1"/>
    <col min="8" max="8" width="6.6640625" bestFit="1" customWidth="1"/>
    <col min="9" max="9" width="5" bestFit="1" customWidth="1"/>
    <col min="10" max="10" width="11.33203125" bestFit="1" customWidth="1"/>
    <col min="11" max="11" width="7.21875" bestFit="1" customWidth="1"/>
    <col min="12" max="12" width="6" bestFit="1" customWidth="1"/>
    <col min="13" max="13" width="8.33203125" bestFit="1" customWidth="1"/>
    <col min="14" max="14" width="6" bestFit="1" customWidth="1"/>
    <col min="15" max="15" width="8.33203125" bestFit="1" customWidth="1"/>
    <col min="16" max="16" width="6" bestFit="1" customWidth="1"/>
    <col min="17" max="17" width="8.33203125" bestFit="1" customWidth="1"/>
    <col min="18" max="18" width="6" bestFit="1" customWidth="1"/>
    <col min="19" max="19" width="8.33203125" bestFit="1" customWidth="1"/>
    <col min="20" max="20" width="6" bestFit="1" customWidth="1"/>
    <col min="21" max="21" width="8.33203125" bestFit="1" customWidth="1"/>
    <col min="22" max="22" width="10.6640625" bestFit="1" customWidth="1"/>
  </cols>
  <sheetData>
    <row r="1" spans="1:16" x14ac:dyDescent="0.3">
      <c r="A1" s="661" t="s">
        <v>13</v>
      </c>
      <c r="B1" t="s">
        <v>568</v>
      </c>
      <c r="C1" s="700" t="s">
        <v>624</v>
      </c>
      <c r="D1" s="2127" t="s">
        <v>625</v>
      </c>
      <c r="E1" s="514"/>
      <c r="F1" s="514"/>
      <c r="G1" s="514"/>
      <c r="H1" s="514"/>
      <c r="I1" s="514"/>
      <c r="J1" s="514"/>
      <c r="K1" s="514"/>
      <c r="L1" s="514"/>
      <c r="M1" s="514"/>
      <c r="N1" s="514"/>
      <c r="O1" s="514"/>
      <c r="P1" s="514"/>
    </row>
    <row r="3" spans="1:16" ht="15" thickBot="1" x14ac:dyDescent="0.35">
      <c r="B3" s="660" t="s">
        <v>626</v>
      </c>
    </row>
    <row r="4" spans="1:16" ht="15" thickBot="1" x14ac:dyDescent="0.35">
      <c r="B4" s="2132">
        <v>1</v>
      </c>
      <c r="C4" s="2115"/>
      <c r="D4" s="2132">
        <v>2</v>
      </c>
      <c r="E4" s="2134"/>
      <c r="F4" s="2133">
        <v>3</v>
      </c>
      <c r="G4" s="2134"/>
      <c r="H4" s="2133">
        <v>4</v>
      </c>
      <c r="I4" s="2115"/>
      <c r="J4" s="2343" t="s">
        <v>627</v>
      </c>
      <c r="K4" s="2343" t="s">
        <v>628</v>
      </c>
    </row>
    <row r="5" spans="1:16" ht="15" thickBot="1" x14ac:dyDescent="0.35">
      <c r="A5" s="2120" t="s">
        <v>540</v>
      </c>
      <c r="B5" s="2342" t="s">
        <v>629</v>
      </c>
      <c r="C5" s="2342" t="s">
        <v>630</v>
      </c>
      <c r="D5" s="2342" t="s">
        <v>629</v>
      </c>
      <c r="E5" s="2342" t="s">
        <v>630</v>
      </c>
      <c r="F5" s="2342" t="s">
        <v>629</v>
      </c>
      <c r="G5" s="2342" t="s">
        <v>630</v>
      </c>
      <c r="H5" s="2342" t="s">
        <v>629</v>
      </c>
      <c r="I5" s="2342" t="s">
        <v>630</v>
      </c>
      <c r="J5" s="2335"/>
      <c r="K5" s="2335"/>
    </row>
    <row r="6" spans="1:16" x14ac:dyDescent="0.3">
      <c r="A6" s="669">
        <v>1977</v>
      </c>
      <c r="B6" s="701">
        <v>3243.9798476300798</v>
      </c>
      <c r="C6" s="982">
        <v>1</v>
      </c>
      <c r="D6" s="701"/>
      <c r="E6" s="982">
        <v>0</v>
      </c>
      <c r="F6" s="701"/>
      <c r="G6" s="982">
        <v>0</v>
      </c>
      <c r="H6" s="701"/>
      <c r="I6" s="982">
        <v>0</v>
      </c>
      <c r="J6" s="2344">
        <v>3243.9798476300798</v>
      </c>
      <c r="K6" s="982">
        <v>1</v>
      </c>
    </row>
    <row r="7" spans="1:16" x14ac:dyDescent="0.3">
      <c r="A7" s="669">
        <v>1978</v>
      </c>
      <c r="B7" s="701">
        <v>35756.600652323708</v>
      </c>
      <c r="C7" s="982">
        <v>0.98281165306666063</v>
      </c>
      <c r="D7" s="701">
        <v>625.34551279615994</v>
      </c>
      <c r="E7" s="982">
        <v>1.7188346933339475E-2</v>
      </c>
      <c r="F7" s="701"/>
      <c r="G7" s="982">
        <v>0</v>
      </c>
      <c r="H7" s="701"/>
      <c r="I7" s="982">
        <v>0</v>
      </c>
      <c r="J7" s="2344">
        <v>36381.946165119865</v>
      </c>
      <c r="K7" s="982">
        <v>1</v>
      </c>
    </row>
    <row r="8" spans="1:16" x14ac:dyDescent="0.3">
      <c r="A8" s="669">
        <v>1979</v>
      </c>
      <c r="B8" s="701">
        <v>39186.249362769238</v>
      </c>
      <c r="C8" s="982">
        <v>0.96133703150634975</v>
      </c>
      <c r="D8" s="701">
        <v>1575.9891430823998</v>
      </c>
      <c r="E8" s="982">
        <v>3.8662968493650272E-2</v>
      </c>
      <c r="F8" s="701"/>
      <c r="G8" s="982">
        <v>0</v>
      </c>
      <c r="H8" s="701"/>
      <c r="I8" s="982">
        <v>0</v>
      </c>
      <c r="J8" s="2344">
        <v>40762.238505851637</v>
      </c>
      <c r="K8" s="982">
        <v>1</v>
      </c>
    </row>
    <row r="9" spans="1:16" x14ac:dyDescent="0.3">
      <c r="A9" s="669">
        <v>1980</v>
      </c>
      <c r="B9" s="701">
        <v>27705.925693210527</v>
      </c>
      <c r="C9" s="982">
        <v>0.95171356904995563</v>
      </c>
      <c r="D9" s="701">
        <v>1405.6963264984697</v>
      </c>
      <c r="E9" s="982">
        <v>4.8286430950044368E-2</v>
      </c>
      <c r="F9" s="701"/>
      <c r="G9" s="982">
        <v>0</v>
      </c>
      <c r="H9" s="701"/>
      <c r="I9" s="982">
        <v>0</v>
      </c>
      <c r="J9" s="2344">
        <v>29111.622019708997</v>
      </c>
      <c r="K9" s="982">
        <v>1</v>
      </c>
    </row>
    <row r="10" spans="1:16" x14ac:dyDescent="0.3">
      <c r="A10" s="669">
        <v>1981</v>
      </c>
      <c r="B10" s="701">
        <v>45016.012516164672</v>
      </c>
      <c r="C10" s="982">
        <v>0.97319073711403992</v>
      </c>
      <c r="D10" s="701">
        <v>1240.0920678739599</v>
      </c>
      <c r="E10" s="982">
        <v>2.6809262885960191E-2</v>
      </c>
      <c r="F10" s="701"/>
      <c r="G10" s="982">
        <v>0</v>
      </c>
      <c r="H10" s="701"/>
      <c r="I10" s="982">
        <v>0</v>
      </c>
      <c r="J10" s="2344">
        <v>46256.104584038629</v>
      </c>
      <c r="K10" s="982">
        <v>1</v>
      </c>
    </row>
    <row r="11" spans="1:16" x14ac:dyDescent="0.3">
      <c r="A11" s="669">
        <v>1982</v>
      </c>
      <c r="B11" s="701">
        <v>119236.71091408974</v>
      </c>
      <c r="C11" s="982">
        <v>0.9742743486285097</v>
      </c>
      <c r="D11" s="701">
        <v>3148.4376654040898</v>
      </c>
      <c r="E11" s="982">
        <v>2.5725651371490219E-2</v>
      </c>
      <c r="F11" s="701"/>
      <c r="G11" s="982">
        <v>0</v>
      </c>
      <c r="H11" s="701"/>
      <c r="I11" s="982">
        <v>0</v>
      </c>
      <c r="J11" s="2344">
        <v>122385.14857949383</v>
      </c>
      <c r="K11" s="982">
        <v>1</v>
      </c>
    </row>
    <row r="12" spans="1:16" x14ac:dyDescent="0.3">
      <c r="A12" s="669">
        <v>1983</v>
      </c>
      <c r="B12" s="701">
        <v>118097.43318045521</v>
      </c>
      <c r="C12" s="982">
        <v>0.94126384245296413</v>
      </c>
      <c r="D12" s="701">
        <v>7369.4421567398003</v>
      </c>
      <c r="E12" s="982">
        <v>5.8736157547035914E-2</v>
      </c>
      <c r="F12" s="701"/>
      <c r="G12" s="982">
        <v>0</v>
      </c>
      <c r="H12" s="701"/>
      <c r="I12" s="982">
        <v>0</v>
      </c>
      <c r="J12" s="2344">
        <v>125466.875337195</v>
      </c>
      <c r="K12" s="982">
        <v>1</v>
      </c>
    </row>
    <row r="13" spans="1:16" x14ac:dyDescent="0.3">
      <c r="A13" s="669">
        <v>1984</v>
      </c>
      <c r="B13" s="701">
        <v>51678.502</v>
      </c>
      <c r="C13" s="982">
        <v>0.96060060840421646</v>
      </c>
      <c r="D13" s="701">
        <v>2119.6129999999998</v>
      </c>
      <c r="E13" s="982">
        <v>3.9399391595783602E-2</v>
      </c>
      <c r="F13" s="701"/>
      <c r="G13" s="982">
        <v>0</v>
      </c>
      <c r="H13" s="701"/>
      <c r="I13" s="982">
        <v>0</v>
      </c>
      <c r="J13" s="2344">
        <v>53798.114999999998</v>
      </c>
      <c r="K13" s="982">
        <v>1</v>
      </c>
    </row>
    <row r="14" spans="1:16" x14ac:dyDescent="0.3">
      <c r="A14" s="669">
        <v>1985</v>
      </c>
      <c r="B14" s="701">
        <v>49208.364000000001</v>
      </c>
      <c r="C14" s="982">
        <v>0.95865705156809344</v>
      </c>
      <c r="D14" s="701">
        <v>2122.1550000000002</v>
      </c>
      <c r="E14" s="982">
        <v>4.1342948431906563E-2</v>
      </c>
      <c r="F14" s="701"/>
      <c r="G14" s="982">
        <v>0</v>
      </c>
      <c r="H14" s="701"/>
      <c r="I14" s="982">
        <v>0</v>
      </c>
      <c r="J14" s="2344">
        <v>51330.519</v>
      </c>
      <c r="K14" s="982">
        <v>1</v>
      </c>
    </row>
    <row r="15" spans="1:16" x14ac:dyDescent="0.3">
      <c r="A15" s="669">
        <v>1986</v>
      </c>
      <c r="B15" s="701">
        <v>125259.74399999999</v>
      </c>
      <c r="C15" s="982">
        <v>0.98845996281533233</v>
      </c>
      <c r="D15" s="701">
        <v>1462.3780000000002</v>
      </c>
      <c r="E15" s="982">
        <v>1.1540037184667727E-2</v>
      </c>
      <c r="F15" s="701"/>
      <c r="G15" s="982">
        <v>0</v>
      </c>
      <c r="H15" s="701"/>
      <c r="I15" s="982">
        <v>0</v>
      </c>
      <c r="J15" s="2344">
        <v>126722.12199999999</v>
      </c>
      <c r="K15" s="982">
        <v>1</v>
      </c>
    </row>
    <row r="16" spans="1:16" x14ac:dyDescent="0.3">
      <c r="A16" s="669">
        <v>1987</v>
      </c>
      <c r="B16" s="701">
        <v>19953.93</v>
      </c>
      <c r="C16" s="982">
        <v>0.95457601061796116</v>
      </c>
      <c r="D16" s="701">
        <v>949.51800000000003</v>
      </c>
      <c r="E16" s="982">
        <v>4.5423989382038794E-2</v>
      </c>
      <c r="F16" s="701"/>
      <c r="G16" s="982">
        <v>0</v>
      </c>
      <c r="H16" s="701"/>
      <c r="I16" s="982">
        <v>0</v>
      </c>
      <c r="J16" s="2344">
        <v>20903.448</v>
      </c>
      <c r="K16" s="982">
        <v>1</v>
      </c>
    </row>
    <row r="17" spans="1:11" x14ac:dyDescent="0.3">
      <c r="A17" s="669">
        <v>1988</v>
      </c>
      <c r="B17" s="701">
        <v>4391.1210000000001</v>
      </c>
      <c r="C17" s="982">
        <v>0.88989751970447539</v>
      </c>
      <c r="D17" s="701">
        <v>543.29100000000005</v>
      </c>
      <c r="E17" s="982">
        <v>0.11010248029552458</v>
      </c>
      <c r="F17" s="701"/>
      <c r="G17" s="982">
        <v>0</v>
      </c>
      <c r="H17" s="701"/>
      <c r="I17" s="982">
        <v>0</v>
      </c>
      <c r="J17" s="2344">
        <v>4934.4120000000003</v>
      </c>
      <c r="K17" s="982">
        <v>1</v>
      </c>
    </row>
    <row r="18" spans="1:11" x14ac:dyDescent="0.3">
      <c r="A18" s="669">
        <v>1989</v>
      </c>
      <c r="B18" s="701">
        <v>36676.896000000001</v>
      </c>
      <c r="C18" s="982">
        <v>0.98935765157976263</v>
      </c>
      <c r="D18" s="701">
        <v>394.52699999999999</v>
      </c>
      <c r="E18" s="982">
        <v>1.0642348420237334E-2</v>
      </c>
      <c r="F18" s="701"/>
      <c r="G18" s="982">
        <v>0</v>
      </c>
      <c r="H18" s="701"/>
      <c r="I18" s="982">
        <v>0</v>
      </c>
      <c r="J18" s="2344">
        <v>37071.423000000003</v>
      </c>
      <c r="K18" s="982">
        <v>1</v>
      </c>
    </row>
    <row r="19" spans="1:11" x14ac:dyDescent="0.3">
      <c r="A19" s="669">
        <v>1990</v>
      </c>
      <c r="B19" s="701">
        <v>52952.235999999997</v>
      </c>
      <c r="C19" s="982">
        <v>0.93637152875250962</v>
      </c>
      <c r="D19" s="701">
        <v>3598.2190000000001</v>
      </c>
      <c r="E19" s="982">
        <v>6.3628471247490409E-2</v>
      </c>
      <c r="F19" s="701"/>
      <c r="G19" s="982">
        <v>0</v>
      </c>
      <c r="H19" s="701"/>
      <c r="I19" s="982">
        <v>0</v>
      </c>
      <c r="J19" s="2344">
        <v>56550.454999999994</v>
      </c>
      <c r="K19" s="982">
        <v>1</v>
      </c>
    </row>
    <row r="20" spans="1:11" x14ac:dyDescent="0.3">
      <c r="A20" s="669">
        <v>1991</v>
      </c>
      <c r="B20" s="701">
        <v>47370.430000000008</v>
      </c>
      <c r="C20" s="982">
        <v>0.87848782184361929</v>
      </c>
      <c r="D20" s="701">
        <v>6552.2640000000001</v>
      </c>
      <c r="E20" s="982">
        <v>0.12151217815638067</v>
      </c>
      <c r="F20" s="701"/>
      <c r="G20" s="982">
        <v>0</v>
      </c>
      <c r="H20" s="701"/>
      <c r="I20" s="982">
        <v>0</v>
      </c>
      <c r="J20" s="2344">
        <v>53922.69400000001</v>
      </c>
      <c r="K20" s="982">
        <v>1</v>
      </c>
    </row>
    <row r="21" spans="1:11" x14ac:dyDescent="0.3">
      <c r="A21" s="669">
        <v>1992</v>
      </c>
      <c r="B21" s="701">
        <v>345.54599999999999</v>
      </c>
      <c r="C21" s="982">
        <v>0.74618427758246886</v>
      </c>
      <c r="D21" s="701">
        <v>117.53800000000001</v>
      </c>
      <c r="E21" s="982">
        <v>0.2538157224175312</v>
      </c>
      <c r="F21" s="701"/>
      <c r="G21" s="982">
        <v>0</v>
      </c>
      <c r="H21" s="701"/>
      <c r="I21" s="982">
        <v>0</v>
      </c>
      <c r="J21" s="2344">
        <v>463.084</v>
      </c>
      <c r="K21" s="982">
        <v>1</v>
      </c>
    </row>
    <row r="22" spans="1:11" x14ac:dyDescent="0.3">
      <c r="A22" s="669">
        <v>1993</v>
      </c>
      <c r="B22" s="701">
        <v>3887.2979999999998</v>
      </c>
      <c r="C22" s="982">
        <v>0.99101804192702159</v>
      </c>
      <c r="D22" s="701">
        <v>35.231999999999999</v>
      </c>
      <c r="E22" s="982">
        <v>8.9819580729784097E-3</v>
      </c>
      <c r="F22" s="701"/>
      <c r="G22" s="982">
        <v>0</v>
      </c>
      <c r="H22" s="701"/>
      <c r="I22" s="982">
        <v>0</v>
      </c>
      <c r="J22" s="2344">
        <v>3922.5299999999997</v>
      </c>
      <c r="K22" s="982">
        <v>1</v>
      </c>
    </row>
    <row r="23" spans="1:11" x14ac:dyDescent="0.3">
      <c r="A23" s="669">
        <v>1994</v>
      </c>
      <c r="B23" s="701">
        <v>23284.963999999996</v>
      </c>
      <c r="C23" s="982">
        <v>0.96162878403679708</v>
      </c>
      <c r="D23" s="701">
        <v>929.12400000000002</v>
      </c>
      <c r="E23" s="982">
        <v>3.8371215963202913E-2</v>
      </c>
      <c r="F23" s="701"/>
      <c r="G23" s="982">
        <v>0</v>
      </c>
      <c r="H23" s="701"/>
      <c r="I23" s="982">
        <v>0</v>
      </c>
      <c r="J23" s="2344">
        <v>24214.087999999996</v>
      </c>
      <c r="K23" s="982">
        <v>1</v>
      </c>
    </row>
    <row r="24" spans="1:11" x14ac:dyDescent="0.3">
      <c r="A24" s="669">
        <v>1995</v>
      </c>
      <c r="B24" s="701">
        <v>37520.464999999997</v>
      </c>
      <c r="C24" s="982">
        <v>1</v>
      </c>
      <c r="D24" s="701">
        <v>0</v>
      </c>
      <c r="E24" s="982">
        <v>0</v>
      </c>
      <c r="F24" s="701"/>
      <c r="G24" s="982">
        <v>0</v>
      </c>
      <c r="H24" s="701"/>
      <c r="I24" s="982">
        <v>0</v>
      </c>
      <c r="J24" s="2344">
        <v>37520.464999999997</v>
      </c>
      <c r="K24" s="982">
        <v>1</v>
      </c>
    </row>
    <row r="25" spans="1:11" x14ac:dyDescent="0.3">
      <c r="A25" s="669">
        <v>1996</v>
      </c>
      <c r="B25" s="701">
        <v>6079.2449999999999</v>
      </c>
      <c r="C25" s="982">
        <v>0.949273902656111</v>
      </c>
      <c r="D25" s="701">
        <v>324.85499999999996</v>
      </c>
      <c r="E25" s="982">
        <v>5.0726097343889068E-2</v>
      </c>
      <c r="F25" s="701"/>
      <c r="G25" s="982">
        <v>0</v>
      </c>
      <c r="H25" s="701"/>
      <c r="I25" s="982">
        <v>0</v>
      </c>
      <c r="J25" s="2344">
        <v>6404.0999999999995</v>
      </c>
      <c r="K25" s="982">
        <v>1</v>
      </c>
    </row>
    <row r="26" spans="1:11" x14ac:dyDescent="0.3">
      <c r="A26" s="669">
        <v>1997</v>
      </c>
      <c r="B26" s="701">
        <v>15338.06</v>
      </c>
      <c r="C26" s="982">
        <v>1</v>
      </c>
      <c r="D26" s="701">
        <v>0</v>
      </c>
      <c r="E26" s="982">
        <v>0</v>
      </c>
      <c r="F26" s="701"/>
      <c r="G26" s="982">
        <v>0</v>
      </c>
      <c r="H26" s="701"/>
      <c r="I26" s="982">
        <v>0</v>
      </c>
      <c r="J26" s="2344">
        <v>15338.06</v>
      </c>
      <c r="K26" s="982">
        <v>1</v>
      </c>
    </row>
    <row r="27" spans="1:11" x14ac:dyDescent="0.3">
      <c r="A27" s="669">
        <v>1998</v>
      </c>
      <c r="B27" s="701">
        <v>65794.504000000001</v>
      </c>
      <c r="C27" s="982">
        <v>0.97954646306993409</v>
      </c>
      <c r="D27" s="701">
        <v>1373.83</v>
      </c>
      <c r="E27" s="982">
        <v>2.0453536930065883E-2</v>
      </c>
      <c r="F27" s="701"/>
      <c r="G27" s="982">
        <v>0</v>
      </c>
      <c r="H27" s="701"/>
      <c r="I27" s="982">
        <v>0</v>
      </c>
      <c r="J27" s="2344">
        <v>67168.334000000003</v>
      </c>
      <c r="K27" s="982">
        <v>1</v>
      </c>
    </row>
    <row r="28" spans="1:11" x14ac:dyDescent="0.3">
      <c r="A28" s="669">
        <v>1999</v>
      </c>
      <c r="B28" s="701">
        <v>90754.076000000001</v>
      </c>
      <c r="C28" s="982">
        <v>0.97596825177871127</v>
      </c>
      <c r="D28" s="701">
        <v>2234.6824299999998</v>
      </c>
      <c r="E28" s="982">
        <v>2.4031748221288729E-2</v>
      </c>
      <c r="F28" s="701"/>
      <c r="G28" s="982">
        <v>0</v>
      </c>
      <c r="H28" s="701"/>
      <c r="I28" s="982">
        <v>0</v>
      </c>
      <c r="J28" s="2344">
        <v>92988.758430000002</v>
      </c>
      <c r="K28" s="982">
        <v>1</v>
      </c>
    </row>
    <row r="29" spans="1:11" x14ac:dyDescent="0.3">
      <c r="A29" s="669">
        <v>2000</v>
      </c>
      <c r="B29" s="701">
        <v>10586.961000000001</v>
      </c>
      <c r="C29" s="982">
        <v>0.74758102786242497</v>
      </c>
      <c r="D29" s="701">
        <v>3539.6704300000001</v>
      </c>
      <c r="E29" s="982">
        <v>0.24994806898350069</v>
      </c>
      <c r="F29" s="701">
        <v>34.991999999999997</v>
      </c>
      <c r="G29" s="982">
        <v>2.4709031540743344E-3</v>
      </c>
      <c r="H29" s="701"/>
      <c r="I29" s="982">
        <v>0</v>
      </c>
      <c r="J29" s="2344">
        <v>14161.623430000001</v>
      </c>
      <c r="K29" s="982">
        <v>1</v>
      </c>
    </row>
    <row r="30" spans="1:11" x14ac:dyDescent="0.3">
      <c r="A30" s="669">
        <v>2001</v>
      </c>
      <c r="B30" s="701">
        <v>17434.199999999997</v>
      </c>
      <c r="C30" s="982">
        <v>0.92336341088670781</v>
      </c>
      <c r="D30" s="701">
        <v>467.21399999999994</v>
      </c>
      <c r="E30" s="982">
        <v>2.4744944571819888E-2</v>
      </c>
      <c r="F30" s="701">
        <v>979.77600000000007</v>
      </c>
      <c r="G30" s="982">
        <v>5.1891644541472236E-2</v>
      </c>
      <c r="H30" s="701"/>
      <c r="I30" s="982">
        <v>0</v>
      </c>
      <c r="J30" s="2344">
        <v>18881.189999999999</v>
      </c>
      <c r="K30" s="982">
        <v>1</v>
      </c>
    </row>
    <row r="31" spans="1:11" x14ac:dyDescent="0.3">
      <c r="A31" s="669">
        <v>2002</v>
      </c>
      <c r="B31" s="701">
        <v>97400.33600000001</v>
      </c>
      <c r="C31" s="982">
        <v>0.92247786967597745</v>
      </c>
      <c r="D31" s="701">
        <v>4056.1610000000001</v>
      </c>
      <c r="E31" s="982">
        <v>3.8415871156160922E-2</v>
      </c>
      <c r="F31" s="701">
        <v>2449.4399999999996</v>
      </c>
      <c r="G31" s="982">
        <v>2.319862831991797E-2</v>
      </c>
      <c r="H31" s="701">
        <v>1679.616</v>
      </c>
      <c r="I31" s="982">
        <v>1.5907630847943752E-2</v>
      </c>
      <c r="J31" s="2344">
        <v>105585.553</v>
      </c>
      <c r="K31" s="982">
        <v>1</v>
      </c>
    </row>
    <row r="32" spans="1:11" x14ac:dyDescent="0.3">
      <c r="A32" s="669">
        <v>2003</v>
      </c>
      <c r="B32" s="701">
        <v>58583.036523809526</v>
      </c>
      <c r="C32" s="982">
        <v>0.95056418652034758</v>
      </c>
      <c r="D32" s="701">
        <v>1398.8710000000001</v>
      </c>
      <c r="E32" s="982">
        <v>2.2697981413467311E-2</v>
      </c>
      <c r="F32" s="701">
        <v>1647.8459999999998</v>
      </c>
      <c r="G32" s="982">
        <v>2.6737832066185123E-2</v>
      </c>
      <c r="H32" s="701"/>
      <c r="I32" s="982">
        <v>0</v>
      </c>
      <c r="J32" s="2344">
        <v>61629.753523809522</v>
      </c>
      <c r="K32" s="982">
        <v>1</v>
      </c>
    </row>
    <row r="33" spans="1:11" x14ac:dyDescent="0.3">
      <c r="A33" s="669">
        <v>2004</v>
      </c>
      <c r="B33" s="701">
        <v>28183.501515151511</v>
      </c>
      <c r="C33" s="982">
        <v>0.94970956421458119</v>
      </c>
      <c r="D33" s="701">
        <v>1492.4147619047619</v>
      </c>
      <c r="E33" s="982">
        <v>5.0290435785418766E-2</v>
      </c>
      <c r="F33" s="701"/>
      <c r="G33" s="982">
        <v>0</v>
      </c>
      <c r="H33" s="701"/>
      <c r="I33" s="982">
        <v>0</v>
      </c>
      <c r="J33" s="2344">
        <v>29675.916277056273</v>
      </c>
      <c r="K33" s="982">
        <v>1</v>
      </c>
    </row>
    <row r="34" spans="1:11" x14ac:dyDescent="0.3">
      <c r="A34" s="669">
        <v>2005</v>
      </c>
      <c r="B34" s="701">
        <v>13269.036611008039</v>
      </c>
      <c r="C34" s="982">
        <v>0.98280554595750969</v>
      </c>
      <c r="D34" s="701">
        <v>232.14545454545456</v>
      </c>
      <c r="E34" s="982">
        <v>1.7194454042490356E-2</v>
      </c>
      <c r="F34" s="701"/>
      <c r="G34" s="982">
        <v>0</v>
      </c>
      <c r="H34" s="701"/>
      <c r="I34" s="982">
        <v>0</v>
      </c>
      <c r="J34" s="2344">
        <v>13501.182065553494</v>
      </c>
      <c r="K34" s="982">
        <v>1</v>
      </c>
    </row>
    <row r="35" spans="1:11" x14ac:dyDescent="0.3">
      <c r="A35" s="669">
        <v>2006</v>
      </c>
      <c r="B35" s="701">
        <v>194084.08484084992</v>
      </c>
      <c r="C35" s="982">
        <v>0.9889985535052801</v>
      </c>
      <c r="D35" s="701">
        <v>2158.957328385899</v>
      </c>
      <c r="E35" s="982">
        <v>1.100144649471985E-2</v>
      </c>
      <c r="F35" s="701"/>
      <c r="G35" s="982">
        <v>0</v>
      </c>
      <c r="H35" s="701"/>
      <c r="I35" s="982">
        <v>0</v>
      </c>
      <c r="J35" s="2344">
        <v>196243.04216923582</v>
      </c>
      <c r="K35" s="982">
        <v>1</v>
      </c>
    </row>
    <row r="36" spans="1:11" x14ac:dyDescent="0.3">
      <c r="A36" s="669">
        <v>2007</v>
      </c>
      <c r="B36" s="701">
        <v>170907.58376681403</v>
      </c>
      <c r="C36" s="982">
        <v>0.97109054698427566</v>
      </c>
      <c r="D36" s="701">
        <v>5087.9341563786011</v>
      </c>
      <c r="E36" s="982">
        <v>2.8909453015724295E-2</v>
      </c>
      <c r="F36" s="701"/>
      <c r="G36" s="982">
        <v>0</v>
      </c>
      <c r="H36" s="701"/>
      <c r="I36" s="982">
        <v>0</v>
      </c>
      <c r="J36" s="2344">
        <v>175995.51792319264</v>
      </c>
      <c r="K36" s="982">
        <v>1</v>
      </c>
    </row>
    <row r="37" spans="1:11" x14ac:dyDescent="0.3">
      <c r="A37" s="669">
        <v>2008</v>
      </c>
      <c r="B37" s="701">
        <v>334990.62004115229</v>
      </c>
      <c r="C37" s="982">
        <v>0.99368113229931965</v>
      </c>
      <c r="D37" s="701">
        <v>2130.2220000000002</v>
      </c>
      <c r="E37" s="982">
        <v>6.318867700680352E-3</v>
      </c>
      <c r="F37" s="701"/>
      <c r="G37" s="982">
        <v>0</v>
      </c>
      <c r="H37" s="701"/>
      <c r="I37" s="982">
        <v>0</v>
      </c>
      <c r="J37" s="2344">
        <v>337120.8420411523</v>
      </c>
      <c r="K37" s="982">
        <v>1</v>
      </c>
    </row>
    <row r="38" spans="1:11" x14ac:dyDescent="0.3">
      <c r="A38" s="669">
        <v>2009</v>
      </c>
      <c r="B38" s="701">
        <v>120287.00074250442</v>
      </c>
      <c r="C38" s="982">
        <v>0.90315381136478379</v>
      </c>
      <c r="D38" s="701">
        <v>12898.509000000002</v>
      </c>
      <c r="E38" s="982">
        <v>9.6846188635216157E-2</v>
      </c>
      <c r="F38" s="701"/>
      <c r="G38" s="982">
        <v>0</v>
      </c>
      <c r="H38" s="701"/>
      <c r="I38" s="982">
        <v>0</v>
      </c>
      <c r="J38" s="2344">
        <v>133185.50974250442</v>
      </c>
      <c r="K38" s="982">
        <v>1</v>
      </c>
    </row>
    <row r="39" spans="1:11" x14ac:dyDescent="0.3">
      <c r="A39" s="669">
        <v>2010</v>
      </c>
      <c r="B39" s="701">
        <v>492506.37799999997</v>
      </c>
      <c r="C39" s="982">
        <v>0.97443978421382638</v>
      </c>
      <c r="D39" s="701">
        <v>12918.776</v>
      </c>
      <c r="E39" s="982">
        <v>2.5560215786173554E-2</v>
      </c>
      <c r="F39" s="701"/>
      <c r="G39" s="982">
        <v>0</v>
      </c>
      <c r="H39" s="701"/>
      <c r="I39" s="982">
        <v>0</v>
      </c>
      <c r="J39" s="2344">
        <v>505425.15399999998</v>
      </c>
      <c r="K39" s="982">
        <v>1</v>
      </c>
    </row>
    <row r="40" spans="1:11" x14ac:dyDescent="0.3">
      <c r="A40" s="669">
        <v>2011</v>
      </c>
      <c r="B40" s="701">
        <v>118570.791</v>
      </c>
      <c r="C40" s="982">
        <v>0.91369887712805575</v>
      </c>
      <c r="D40" s="701">
        <v>11199.305</v>
      </c>
      <c r="E40" s="982">
        <v>8.6301122871944247E-2</v>
      </c>
      <c r="F40" s="701"/>
      <c r="G40" s="982">
        <v>0</v>
      </c>
      <c r="H40" s="701"/>
      <c r="I40" s="982">
        <v>0</v>
      </c>
      <c r="J40" s="2344">
        <v>129770.09599999999</v>
      </c>
      <c r="K40" s="982">
        <v>1</v>
      </c>
    </row>
    <row r="41" spans="1:11" x14ac:dyDescent="0.3">
      <c r="A41" s="669">
        <v>2012</v>
      </c>
      <c r="B41" s="701">
        <v>514198.34799999994</v>
      </c>
      <c r="C41" s="982">
        <v>0.99582596906495224</v>
      </c>
      <c r="D41" s="701">
        <v>2155.2759999999998</v>
      </c>
      <c r="E41" s="982">
        <v>4.174030935047722E-3</v>
      </c>
      <c r="F41" s="701"/>
      <c r="G41" s="982">
        <v>0</v>
      </c>
      <c r="H41" s="701"/>
      <c r="I41" s="982">
        <v>0</v>
      </c>
      <c r="J41" s="2344">
        <v>516353.62399999995</v>
      </c>
      <c r="K41" s="982">
        <v>1</v>
      </c>
    </row>
    <row r="42" spans="1:11" x14ac:dyDescent="0.3">
      <c r="A42" s="669">
        <v>2013</v>
      </c>
      <c r="B42" s="701">
        <v>477921.42180000001</v>
      </c>
      <c r="C42" s="982">
        <v>0.98025001862791517</v>
      </c>
      <c r="D42" s="701">
        <v>9629.1139999999996</v>
      </c>
      <c r="E42" s="982">
        <v>1.9749981372084873E-2</v>
      </c>
      <c r="F42" s="701"/>
      <c r="G42" s="982">
        <v>0</v>
      </c>
      <c r="H42" s="701"/>
      <c r="I42" s="982">
        <v>0</v>
      </c>
      <c r="J42" s="2344">
        <v>487550.53580000001</v>
      </c>
      <c r="K42" s="982">
        <v>1</v>
      </c>
    </row>
    <row r="43" spans="1:11" x14ac:dyDescent="0.3">
      <c r="A43" s="669">
        <v>2014</v>
      </c>
      <c r="B43" s="701">
        <v>274539.41699999996</v>
      </c>
      <c r="C43" s="982">
        <v>0.99500887137789396</v>
      </c>
      <c r="D43" s="701">
        <v>1377.135</v>
      </c>
      <c r="E43" s="982">
        <v>4.9911286221060057E-3</v>
      </c>
      <c r="F43" s="701"/>
      <c r="G43" s="982">
        <v>0</v>
      </c>
      <c r="H43" s="701"/>
      <c r="I43" s="982">
        <v>0</v>
      </c>
      <c r="J43" s="2344">
        <v>275916.55199999997</v>
      </c>
      <c r="K43" s="982">
        <v>1</v>
      </c>
    </row>
    <row r="44" spans="1:11" x14ac:dyDescent="0.3">
      <c r="A44" s="669">
        <v>2015</v>
      </c>
      <c r="B44" s="701">
        <v>50789.052000000003</v>
      </c>
      <c r="C44" s="982">
        <v>0.97629742430670352</v>
      </c>
      <c r="D44" s="701">
        <v>1233.058</v>
      </c>
      <c r="E44" s="982">
        <v>2.3702575693296563E-2</v>
      </c>
      <c r="F44" s="701"/>
      <c r="G44" s="982">
        <v>0</v>
      </c>
      <c r="H44" s="701"/>
      <c r="I44" s="982">
        <v>0</v>
      </c>
      <c r="J44" s="2344">
        <v>52022.11</v>
      </c>
      <c r="K44" s="982">
        <v>1</v>
      </c>
    </row>
    <row r="45" spans="1:11" x14ac:dyDescent="0.3">
      <c r="A45" s="669">
        <v>2016</v>
      </c>
      <c r="B45" s="701">
        <v>198420.951</v>
      </c>
      <c r="C45" s="982">
        <v>0.99320221464431768</v>
      </c>
      <c r="D45" s="701">
        <v>1358.0547999999999</v>
      </c>
      <c r="E45" s="982">
        <v>6.7977853556822525E-3</v>
      </c>
      <c r="F45" s="701"/>
      <c r="G45" s="982">
        <v>0</v>
      </c>
      <c r="H45" s="701"/>
      <c r="I45" s="982">
        <v>0</v>
      </c>
      <c r="J45" s="2344">
        <v>199779.00580000001</v>
      </c>
      <c r="K45" s="982">
        <v>1</v>
      </c>
    </row>
    <row r="46" spans="1:11" x14ac:dyDescent="0.3">
      <c r="A46" s="669">
        <v>2017</v>
      </c>
      <c r="B46" s="701">
        <v>35610.4398</v>
      </c>
      <c r="C46" s="982">
        <v>0.98059784591226107</v>
      </c>
      <c r="D46" s="701">
        <v>704.58979999999997</v>
      </c>
      <c r="E46" s="982">
        <v>1.9402154087738922E-2</v>
      </c>
      <c r="F46" s="701"/>
      <c r="G46" s="982">
        <v>0</v>
      </c>
      <c r="H46" s="701"/>
      <c r="I46" s="982">
        <v>0</v>
      </c>
      <c r="J46" s="2344">
        <v>36315.029600000002</v>
      </c>
      <c r="K46" s="982">
        <v>1</v>
      </c>
    </row>
    <row r="47" spans="1:11" x14ac:dyDescent="0.3">
      <c r="A47" s="669">
        <v>2018</v>
      </c>
      <c r="B47" s="701">
        <v>316412.49799999996</v>
      </c>
      <c r="C47" s="982">
        <v>0.99965531578037847</v>
      </c>
      <c r="D47" s="701">
        <v>109.10000000000001</v>
      </c>
      <c r="E47" s="982">
        <v>3.4468421962156285E-4</v>
      </c>
      <c r="F47" s="701"/>
      <c r="G47" s="982">
        <v>0</v>
      </c>
      <c r="H47" s="701"/>
      <c r="I47" s="982">
        <v>0</v>
      </c>
      <c r="J47" s="2344">
        <v>316521.59799999994</v>
      </c>
      <c r="K47" s="982">
        <v>1</v>
      </c>
    </row>
    <row r="48" spans="1:11" x14ac:dyDescent="0.3">
      <c r="A48" s="669">
        <v>2019</v>
      </c>
      <c r="B48" s="701">
        <v>160542.96</v>
      </c>
      <c r="C48" s="982">
        <v>1</v>
      </c>
      <c r="D48" s="701">
        <v>0</v>
      </c>
      <c r="E48" s="982">
        <v>0</v>
      </c>
      <c r="F48" s="701"/>
      <c r="G48" s="982">
        <v>0</v>
      </c>
      <c r="H48" s="701"/>
      <c r="I48" s="982">
        <v>0</v>
      </c>
      <c r="J48" s="2344">
        <v>160542.96</v>
      </c>
      <c r="K48" s="982">
        <v>1</v>
      </c>
    </row>
    <row r="49" spans="1:11" x14ac:dyDescent="0.3">
      <c r="A49" s="669">
        <v>2020</v>
      </c>
      <c r="B49" s="701">
        <v>541759.245</v>
      </c>
      <c r="C49" s="982">
        <v>1</v>
      </c>
      <c r="D49" s="701">
        <v>0</v>
      </c>
      <c r="E49" s="982">
        <v>0</v>
      </c>
      <c r="F49" s="701"/>
      <c r="G49" s="982">
        <v>0</v>
      </c>
      <c r="H49" s="701"/>
      <c r="I49" s="982">
        <v>0</v>
      </c>
      <c r="J49" s="2344">
        <v>541759.245</v>
      </c>
      <c r="K49" s="982">
        <v>1</v>
      </c>
    </row>
    <row r="50" spans="1:11" x14ac:dyDescent="0.3">
      <c r="A50" s="669">
        <v>2021</v>
      </c>
      <c r="B50" s="701">
        <v>179224.00100000002</v>
      </c>
      <c r="C50" s="982">
        <v>1</v>
      </c>
      <c r="D50" s="701">
        <v>0</v>
      </c>
      <c r="E50" s="982">
        <v>0</v>
      </c>
      <c r="F50" s="701"/>
      <c r="G50" s="982">
        <v>0</v>
      </c>
      <c r="H50" s="701"/>
      <c r="I50" s="982">
        <v>0</v>
      </c>
      <c r="J50" s="2344">
        <v>179224.00100000002</v>
      </c>
      <c r="K50" s="982">
        <v>1</v>
      </c>
    </row>
    <row r="51" spans="1:11" x14ac:dyDescent="0.3">
      <c r="A51" s="669">
        <v>2022</v>
      </c>
      <c r="B51" s="701">
        <v>18430.831999999999</v>
      </c>
      <c r="C51" s="982">
        <v>0.96739130434782616</v>
      </c>
      <c r="D51" s="701">
        <v>621.26400000000001</v>
      </c>
      <c r="E51" s="982">
        <v>3.2608695652173919E-2</v>
      </c>
      <c r="F51" s="701"/>
      <c r="G51" s="982">
        <v>0</v>
      </c>
      <c r="H51" s="701"/>
      <c r="I51" s="982">
        <v>0</v>
      </c>
      <c r="J51" s="2344">
        <v>19052.095999999998</v>
      </c>
      <c r="K51" s="982">
        <v>1</v>
      </c>
    </row>
  </sheetData>
  <sheetProtection pivotTables="0"/>
  <pageMargins left="0.7" right="0.7" top="0.75" bottom="0.75" header="0.3" footer="0.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F4712D-5749-4E2A-B3AE-C44B2F9A82CF}">
  <dimension ref="A1:N15"/>
  <sheetViews>
    <sheetView workbookViewId="0">
      <selection activeCell="Q5" sqref="Q5"/>
    </sheetView>
  </sheetViews>
  <sheetFormatPr defaultRowHeight="14.4" x14ac:dyDescent="0.3"/>
  <cols>
    <col min="1" max="3" width="12" customWidth="1"/>
    <col min="4" max="5" width="0" hidden="1" customWidth="1"/>
    <col min="6" max="6" width="12" customWidth="1"/>
    <col min="7" max="7" width="14.5546875" customWidth="1"/>
    <col min="8" max="8" width="10.6640625" style="664" customWidth="1"/>
    <col min="9" max="9" width="11.6640625" bestFit="1" customWidth="1"/>
    <col min="10" max="10" width="11.6640625" customWidth="1"/>
    <col min="11" max="11" width="8.6640625" bestFit="1" customWidth="1"/>
    <col min="12" max="12" width="11.6640625" customWidth="1"/>
    <col min="13" max="13" width="9" customWidth="1"/>
    <col min="14" max="14" width="8" customWidth="1"/>
    <col min="15" max="15" width="13.33203125" bestFit="1" customWidth="1"/>
  </cols>
  <sheetData>
    <row r="1" spans="1:14" ht="46.95" customHeight="1" x14ac:dyDescent="0.3">
      <c r="A1" s="2557" t="s">
        <v>13</v>
      </c>
      <c r="B1" s="2588" t="s">
        <v>210</v>
      </c>
      <c r="C1" s="2590" t="s">
        <v>392</v>
      </c>
      <c r="D1" s="2592" t="s">
        <v>393</v>
      </c>
      <c r="E1" s="2594" t="s">
        <v>506</v>
      </c>
      <c r="F1" s="2602" t="s">
        <v>399</v>
      </c>
      <c r="G1" s="2600" t="s">
        <v>507</v>
      </c>
      <c r="H1" s="2557" t="s">
        <v>508</v>
      </c>
      <c r="I1" s="2602" t="s">
        <v>509</v>
      </c>
      <c r="J1" s="2608" t="s">
        <v>510</v>
      </c>
      <c r="K1" s="2608" t="s">
        <v>631</v>
      </c>
      <c r="L1" s="2610" t="s">
        <v>512</v>
      </c>
      <c r="M1" s="2606" t="s">
        <v>631</v>
      </c>
    </row>
    <row r="2" spans="1:14" ht="46.95" customHeight="1" thickBot="1" x14ac:dyDescent="0.35">
      <c r="A2" s="2558"/>
      <c r="B2" s="2589"/>
      <c r="C2" s="2591"/>
      <c r="D2" s="2593"/>
      <c r="E2" s="2595"/>
      <c r="F2" s="2603"/>
      <c r="G2" s="2601"/>
      <c r="H2" s="2558"/>
      <c r="I2" s="2603"/>
      <c r="J2" s="2609"/>
      <c r="K2" s="2609"/>
      <c r="L2" s="2611"/>
      <c r="M2" s="2607"/>
    </row>
    <row r="3" spans="1:14" ht="58.2" thickBot="1" x14ac:dyDescent="0.35">
      <c r="A3" s="913" t="s">
        <v>243</v>
      </c>
      <c r="B3" s="914">
        <v>2020</v>
      </c>
      <c r="C3" s="932">
        <f>VLOOKUP(B3,Smolt_Abundance,5)</f>
        <v>2540161</v>
      </c>
      <c r="D3" s="929">
        <v>91420.560052883011</v>
      </c>
      <c r="E3" s="915">
        <v>0.10017725419672734</v>
      </c>
      <c r="F3" s="920" t="s">
        <v>516</v>
      </c>
      <c r="G3" s="994" t="str">
        <f>"Mediocre year for 4-ocean fish returning in " &amp; $B$7</f>
        <v>Mediocre year for 4-ocean fish returning in 2024</v>
      </c>
      <c r="H3" s="996" t="s">
        <v>515</v>
      </c>
      <c r="I3" s="909">
        <f>0</f>
        <v>0</v>
      </c>
      <c r="J3" s="2035">
        <f ca="1">AVERAGEIF(NOAA_OCI_MeanRanks,"&gt;=10",'Smolt to Adult Survival'!$E$22:$E$45)</f>
        <v>5.0391532846431164E-2</v>
      </c>
      <c r="K3" s="2036">
        <f ca="1">J3*I3*C3</f>
        <v>0</v>
      </c>
      <c r="L3" s="927">
        <f ca="1">AVERAGEIF('Smolt to Adult Survival'!$M$30:$M$45,"&gt;=10",'Smolt to Adult Survival'!$E$30:$E$45)</f>
        <v>5.5399407210723457E-2</v>
      </c>
      <c r="M3" s="924">
        <f ca="1">L3*I3*C3</f>
        <v>0</v>
      </c>
    </row>
    <row r="4" spans="1:14" ht="58.2" thickBot="1" x14ac:dyDescent="0.35">
      <c r="A4" s="450" t="s">
        <v>243</v>
      </c>
      <c r="B4" s="906">
        <v>2021</v>
      </c>
      <c r="C4" s="933">
        <f>VLOOKUP(B4,Smolt_Abundance,5)</f>
        <v>1464091</v>
      </c>
      <c r="D4" s="930">
        <v>557876.03585206589</v>
      </c>
      <c r="E4" s="907">
        <v>0.21962231364549958</v>
      </c>
      <c r="F4" s="911" t="s">
        <v>519</v>
      </c>
      <c r="G4" s="993" t="str">
        <f>"Good year for 3-ocean fish returning in " &amp; $B$7</f>
        <v>Good year for 3-ocean fish returning in 2024</v>
      </c>
      <c r="H4" s="911" t="s">
        <v>518</v>
      </c>
      <c r="I4" s="909">
        <f>'Adult Returns Data'!J69</f>
        <v>7.1777643921627582E-2</v>
      </c>
      <c r="J4" s="2037">
        <f ca="1">AVERAGEIF(NOAA_OCI_MeanRanks,"&lt;10",'Smolt to Adult Survival'!$E$22:$E$45)</f>
        <v>7.1330615276292017E-2</v>
      </c>
      <c r="K4" s="2038">
        <f ca="1">J4*I4*C4</f>
        <v>7496.0632047328681</v>
      </c>
      <c r="L4" s="2032">
        <f ca="1">AVERAGEIF('Smolt to Adult Survival'!$M$30:$M$45,"&lt;10",'Smolt to Adult Survival'!$E$30:$E$45)</f>
        <v>9.9653547402049236E-2</v>
      </c>
      <c r="M4" s="2033">
        <f ca="1">L4*I4*C4</f>
        <v>10472.491888765268</v>
      </c>
    </row>
    <row r="5" spans="1:14" ht="58.2" thickBot="1" x14ac:dyDescent="0.35">
      <c r="A5" s="450" t="s">
        <v>243</v>
      </c>
      <c r="B5" s="906">
        <v>2022</v>
      </c>
      <c r="C5" s="933">
        <f>VLOOKUP(B5,Smolt_Abundance,5)</f>
        <v>3673223</v>
      </c>
      <c r="D5" s="930" t="s">
        <v>257</v>
      </c>
      <c r="E5" s="907" t="s">
        <v>257</v>
      </c>
      <c r="F5" s="920" t="s">
        <v>516</v>
      </c>
      <c r="G5" s="994" t="str">
        <f>"Mediocre year for 2-ocean fish returning in " &amp; $B$7</f>
        <v>Mediocre year for 2-ocean fish returning in 2024</v>
      </c>
      <c r="H5" s="996" t="s">
        <v>521</v>
      </c>
      <c r="I5" s="909">
        <f>'Adult Returns Data'!I69</f>
        <v>0.84698222527411882</v>
      </c>
      <c r="J5" s="2035">
        <f ca="1">AVERAGEIF(NOAA_OCI_MeanRanks,"&gt;=10",'Smolt to Adult Survival'!$E$22:$E$45)</f>
        <v>5.0391532846431164E-2</v>
      </c>
      <c r="K5" s="2036">
        <f ca="1">J5*I5*C5</f>
        <v>156775.84873589707</v>
      </c>
      <c r="L5" s="927">
        <f ca="1">AVERAGEIF('Smolt to Adult Survival'!$M$30:$M$45,"&gt;=10",'Smolt to Adult Survival'!$E$30:$E$45)</f>
        <v>5.5399407210723457E-2</v>
      </c>
      <c r="M5" s="924">
        <f ca="1">L5*I5*C5</f>
        <v>172356.12005285244</v>
      </c>
    </row>
    <row r="6" spans="1:14" ht="58.2" thickBot="1" x14ac:dyDescent="0.35">
      <c r="A6" s="934" t="s">
        <v>243</v>
      </c>
      <c r="B6" s="935">
        <v>2023</v>
      </c>
      <c r="C6" s="2034">
        <v>1212000</v>
      </c>
      <c r="D6" s="931" t="s">
        <v>257</v>
      </c>
      <c r="E6" s="919" t="s">
        <v>257</v>
      </c>
      <c r="F6" s="920" t="s">
        <v>516</v>
      </c>
      <c r="G6" s="994" t="str">
        <f>"Mediocre year for 1-ocean fish returning in " &amp; $B$7</f>
        <v>Mediocre year for 1-ocean fish returning in 2024</v>
      </c>
      <c r="H6" s="996" t="s">
        <v>523</v>
      </c>
      <c r="I6" s="909">
        <f>'Adult Returns Data'!H69</f>
        <v>8.1240130804253519E-2</v>
      </c>
      <c r="J6" s="2035">
        <f ca="1">AVERAGEIF(NOAA_OCI_MeanRanks,"&gt;=10",'Smolt to Adult Survival'!$E$22:$E$45)</f>
        <v>5.0391532846431164E-2</v>
      </c>
      <c r="K6" s="2036">
        <f ca="1">J6*I6*C6</f>
        <v>4961.7034404835376</v>
      </c>
      <c r="L6" s="927">
        <f ca="1">AVERAGEIF('Smolt to Adult Survival'!$M$30:$M$45,"&gt;=10",'Smolt to Adult Survival'!$E$30:$E$45)</f>
        <v>5.5399407210723457E-2</v>
      </c>
      <c r="M6" s="924">
        <f ca="1">L6*I6*C6</f>
        <v>5454.7939669920615</v>
      </c>
    </row>
    <row r="7" spans="1:14" ht="37.950000000000003" customHeight="1" thickBot="1" x14ac:dyDescent="0.35">
      <c r="A7" s="921" t="s">
        <v>243</v>
      </c>
      <c r="B7" s="922">
        <v>2024</v>
      </c>
      <c r="C7" s="2598"/>
      <c r="D7" s="2599"/>
      <c r="E7" s="2599"/>
      <c r="F7" s="2599"/>
      <c r="G7" s="2599"/>
      <c r="H7" s="2599"/>
      <c r="I7" s="2599"/>
      <c r="J7" s="2599"/>
      <c r="K7" s="2045">
        <f ca="1">SUM(K3:K6)</f>
        <v>169233.61538111349</v>
      </c>
      <c r="L7" s="937" t="s">
        <v>524</v>
      </c>
      <c r="M7" s="938">
        <f ca="1">SUM(M3:M6)</f>
        <v>188283.40590860977</v>
      </c>
      <c r="N7" s="2039" t="s">
        <v>525</v>
      </c>
    </row>
    <row r="8" spans="1:14" ht="15" thickBot="1" x14ac:dyDescent="0.35">
      <c r="I8" s="1062"/>
      <c r="J8" s="1063" t="s">
        <v>526</v>
      </c>
      <c r="K8" s="2047">
        <v>0.15</v>
      </c>
      <c r="L8" s="1062" t="s">
        <v>527</v>
      </c>
      <c r="N8" s="318"/>
    </row>
    <row r="9" spans="1:14" x14ac:dyDescent="0.3">
      <c r="A9" s="1002" t="s">
        <v>528</v>
      </c>
      <c r="B9" s="316" t="s">
        <v>529</v>
      </c>
      <c r="C9" s="1004"/>
      <c r="J9" s="2042" t="s">
        <v>530</v>
      </c>
      <c r="K9" s="2046">
        <f ca="1">$K$7-$K$7*$K$8</f>
        <v>143848.57307394646</v>
      </c>
      <c r="M9" s="2040">
        <f ca="1">$M$7-$M$7*$K$8</f>
        <v>160040.89502231829</v>
      </c>
      <c r="N9" s="2596" t="s">
        <v>525</v>
      </c>
    </row>
    <row r="10" spans="1:14" ht="15" thickBot="1" x14ac:dyDescent="0.35">
      <c r="B10" t="s">
        <v>531</v>
      </c>
      <c r="C10" s="713"/>
      <c r="J10" s="2043" t="s">
        <v>532</v>
      </c>
      <c r="K10" s="2044">
        <f ca="1">$K$7+$K$7*$K$8</f>
        <v>194618.65768828051</v>
      </c>
      <c r="M10" s="2041">
        <f ca="1">$M$7+$M$7*$K$8</f>
        <v>216525.91679490125</v>
      </c>
      <c r="N10" s="2597"/>
    </row>
    <row r="11" spans="1:14" x14ac:dyDescent="0.3">
      <c r="B11" t="s">
        <v>533</v>
      </c>
      <c r="C11" s="713"/>
    </row>
    <row r="12" spans="1:14" x14ac:dyDescent="0.3">
      <c r="B12" t="s">
        <v>343</v>
      </c>
      <c r="C12" s="713"/>
    </row>
    <row r="13" spans="1:14" x14ac:dyDescent="0.3">
      <c r="B13" t="s">
        <v>221</v>
      </c>
      <c r="C13" s="713"/>
    </row>
    <row r="14" spans="1:14" x14ac:dyDescent="0.3">
      <c r="A14" t="s">
        <v>534</v>
      </c>
      <c r="B14" s="1003" t="s">
        <v>535</v>
      </c>
      <c r="C14" s="664"/>
    </row>
    <row r="15" spans="1:14" x14ac:dyDescent="0.3">
      <c r="C15" s="442"/>
    </row>
  </sheetData>
  <mergeCells count="15">
    <mergeCell ref="M1:M2"/>
    <mergeCell ref="C7:J7"/>
    <mergeCell ref="N9:N10"/>
    <mergeCell ref="G1:G2"/>
    <mergeCell ref="H1:H2"/>
    <mergeCell ref="I1:I2"/>
    <mergeCell ref="J1:J2"/>
    <mergeCell ref="K1:K2"/>
    <mergeCell ref="L1:L2"/>
    <mergeCell ref="F1:F2"/>
    <mergeCell ref="A1:A2"/>
    <mergeCell ref="B1:B2"/>
    <mergeCell ref="C1:C2"/>
    <mergeCell ref="D1:D2"/>
    <mergeCell ref="E1:E2"/>
  </mergeCells>
  <conditionalFormatting sqref="D3:D6">
    <cfRule type="dataBar" priority="2">
      <dataBar>
        <cfvo type="min"/>
        <cfvo type="max"/>
        <color rgb="FFFF555A"/>
      </dataBar>
      <extLst>
        <ext xmlns:x14="http://schemas.microsoft.com/office/spreadsheetml/2009/9/main" uri="{B025F937-C7B1-47D3-B67F-A62EFF666E3E}">
          <x14:id>{15F16472-0792-4961-A59A-142B1D23431A}</x14:id>
        </ext>
      </extLst>
    </cfRule>
  </conditionalFormatting>
  <conditionalFormatting sqref="E3:E6">
    <cfRule type="colorScale" priority="1">
      <colorScale>
        <cfvo type="min"/>
        <cfvo type="percentile" val="50"/>
        <cfvo type="max"/>
        <color rgb="FFF8696B"/>
        <color rgb="FFFFEB84"/>
        <color rgb="FF63BE7B"/>
      </colorScale>
    </cfRule>
  </conditionalFormatting>
  <hyperlinks>
    <hyperlink ref="B14" r:id="rId1" display="https://wdfw.wa.gov/sites/default/files/2022-12/2023-spring-summer-forecasts.pdf" xr:uid="{6D57771E-44BE-45DB-965F-621F160FC263}"/>
  </hyperlinks>
  <pageMargins left="0.7" right="0.7" top="0.75" bottom="0.75" header="0.3" footer="0.3"/>
  <legacyDrawing r:id="rId2"/>
  <extLst>
    <ext xmlns:x14="http://schemas.microsoft.com/office/spreadsheetml/2009/9/main" uri="{78C0D931-6437-407d-A8EE-F0AAD7539E65}">
      <x14:conditionalFormattings>
        <x14:conditionalFormatting xmlns:xm="http://schemas.microsoft.com/office/excel/2006/main">
          <x14:cfRule type="dataBar" id="{15F16472-0792-4961-A59A-142B1D23431A}">
            <x14:dataBar minLength="0" maxLength="100" border="1" negativeBarBorderColorSameAsPositive="0">
              <x14:cfvo type="autoMin"/>
              <x14:cfvo type="autoMax"/>
              <x14:borderColor rgb="FFFF555A"/>
              <x14:negativeFillColor rgb="FFFF0000"/>
              <x14:negativeBorderColor rgb="FFFF0000"/>
              <x14:axisColor rgb="FF000000"/>
            </x14:dataBar>
          </x14:cfRule>
          <xm:sqref>D3:D6</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AB504B-CF81-4FCB-BF2F-47E6CCD0BC7A}">
  <sheetPr codeName="Sheet34" filterMode="1">
    <tabColor theme="1"/>
  </sheetPr>
  <dimension ref="A1:M46"/>
  <sheetViews>
    <sheetView zoomScaleNormal="100" workbookViewId="0">
      <pane xSplit="1" ySplit="1" topLeftCell="B2" activePane="bottomRight" state="frozen"/>
      <selection pane="topRight" activeCell="B1" sqref="B1"/>
      <selection pane="bottomLeft" activeCell="A2" sqref="A2"/>
      <selection pane="bottomRight"/>
    </sheetView>
  </sheetViews>
  <sheetFormatPr defaultRowHeight="14.4" x14ac:dyDescent="0.3"/>
  <cols>
    <col min="1" max="1" width="6.6640625" bestFit="1" customWidth="1"/>
    <col min="2" max="2" width="10.5546875" customWidth="1"/>
    <col min="3" max="3" width="9.77734375" customWidth="1"/>
    <col min="4" max="4" width="9.5546875" bestFit="1" customWidth="1"/>
    <col min="5" max="5" width="11.33203125" style="1453" bestFit="1" customWidth="1"/>
    <col min="6" max="6" width="11.6640625" bestFit="1" customWidth="1"/>
    <col min="7" max="7" width="15.33203125" bestFit="1" customWidth="1"/>
    <col min="8" max="8" width="11.6640625" bestFit="1" customWidth="1"/>
    <col min="9" max="9" width="11" customWidth="1"/>
    <col min="10" max="10" width="7.6640625" bestFit="1" customWidth="1"/>
    <col min="11" max="11" width="10.33203125" bestFit="1" customWidth="1"/>
    <col min="12" max="12" width="3" customWidth="1"/>
    <col min="13" max="13" width="13" style="664" bestFit="1" customWidth="1"/>
  </cols>
  <sheetData>
    <row r="1" spans="1:13" s="1" customFormat="1" ht="57.6" x14ac:dyDescent="0.3">
      <c r="A1" s="985" t="s">
        <v>383</v>
      </c>
      <c r="B1" s="985" t="s">
        <v>632</v>
      </c>
      <c r="C1" s="985" t="s">
        <v>633</v>
      </c>
      <c r="D1" s="985" t="s">
        <v>634</v>
      </c>
      <c r="E1" s="1462" t="s">
        <v>635</v>
      </c>
      <c r="F1" s="985" t="s">
        <v>636</v>
      </c>
      <c r="G1" s="1463" t="s">
        <v>637</v>
      </c>
      <c r="H1" s="1463" t="s">
        <v>638</v>
      </c>
      <c r="I1" s="985" t="s">
        <v>639</v>
      </c>
      <c r="J1" s="985" t="s">
        <v>640</v>
      </c>
      <c r="K1" s="1462" t="s">
        <v>641</v>
      </c>
      <c r="L1" s="985"/>
      <c r="M1" s="1464" t="s">
        <v>642</v>
      </c>
    </row>
    <row r="2" spans="1:13" x14ac:dyDescent="0.3">
      <c r="A2">
        <v>1980</v>
      </c>
      <c r="B2" s="444">
        <v>58886</v>
      </c>
      <c r="C2" s="2309">
        <v>4</v>
      </c>
      <c r="D2" s="444">
        <v>58882</v>
      </c>
      <c r="E2" s="1458">
        <f>B2-(D2+C2)</f>
        <v>0</v>
      </c>
      <c r="F2">
        <v>636</v>
      </c>
      <c r="G2" s="1459">
        <f>F2+C2</f>
        <v>640</v>
      </c>
      <c r="H2" s="1459">
        <f>SUM(-G2,D2)</f>
        <v>58242</v>
      </c>
      <c r="J2" s="444">
        <v>26573</v>
      </c>
      <c r="K2" s="1460"/>
      <c r="M2" s="1212">
        <f>G2/B2</f>
        <v>1.0868457697924805E-2</v>
      </c>
    </row>
    <row r="3" spans="1:13" x14ac:dyDescent="0.3">
      <c r="A3">
        <v>1981</v>
      </c>
      <c r="B3" s="444">
        <v>56037</v>
      </c>
      <c r="C3" s="2309">
        <v>0</v>
      </c>
      <c r="D3" s="444">
        <v>56037</v>
      </c>
      <c r="E3" s="1458">
        <f t="shared" ref="E3:E43" si="0">B3-(D3+C3)</f>
        <v>0</v>
      </c>
      <c r="F3" s="444">
        <v>1507</v>
      </c>
      <c r="G3" s="1459">
        <f t="shared" ref="G3:G43" si="1">F3+C3</f>
        <v>1507</v>
      </c>
      <c r="H3" s="1459">
        <f t="shared" ref="H3:H43" si="2">SUM(-G3,D3)</f>
        <v>54530</v>
      </c>
      <c r="J3" s="444">
        <v>28234</v>
      </c>
      <c r="K3" s="1460"/>
      <c r="M3" s="1212">
        <f t="shared" ref="M3:M43" si="3">G3/B3</f>
        <v>2.6892945732284027E-2</v>
      </c>
    </row>
    <row r="4" spans="1:13" x14ac:dyDescent="0.3">
      <c r="A4">
        <v>1982</v>
      </c>
      <c r="B4" s="444">
        <v>50319</v>
      </c>
      <c r="C4" s="2309">
        <v>100</v>
      </c>
      <c r="D4" s="444">
        <v>50219</v>
      </c>
      <c r="E4" s="1458">
        <f t="shared" si="0"/>
        <v>0</v>
      </c>
      <c r="F4">
        <v>775</v>
      </c>
      <c r="G4" s="1459">
        <f t="shared" si="1"/>
        <v>875</v>
      </c>
      <c r="H4" s="1459">
        <f t="shared" si="2"/>
        <v>49344</v>
      </c>
      <c r="J4" s="444">
        <v>19005</v>
      </c>
      <c r="K4" s="1460"/>
      <c r="M4" s="1212">
        <f t="shared" si="3"/>
        <v>1.738905781116477E-2</v>
      </c>
    </row>
    <row r="5" spans="1:13" x14ac:dyDescent="0.3">
      <c r="A5">
        <v>1983</v>
      </c>
      <c r="B5" s="444">
        <v>100610</v>
      </c>
      <c r="C5" s="2309">
        <v>83</v>
      </c>
      <c r="D5" s="444">
        <v>100527</v>
      </c>
      <c r="E5" s="1458">
        <f t="shared" si="0"/>
        <v>0</v>
      </c>
      <c r="F5" s="444">
        <v>3349</v>
      </c>
      <c r="G5" s="1459">
        <f t="shared" si="1"/>
        <v>3432</v>
      </c>
      <c r="H5" s="1459">
        <f t="shared" si="2"/>
        <v>97095</v>
      </c>
      <c r="J5" s="444">
        <v>27925</v>
      </c>
      <c r="K5" s="1460"/>
      <c r="M5" s="1212">
        <f t="shared" si="3"/>
        <v>3.41119173044429E-2</v>
      </c>
    </row>
    <row r="6" spans="1:13" x14ac:dyDescent="0.3">
      <c r="A6">
        <v>1984</v>
      </c>
      <c r="B6" s="444">
        <v>161890</v>
      </c>
      <c r="C6" s="2310">
        <v>9345</v>
      </c>
      <c r="D6" s="444">
        <v>152545</v>
      </c>
      <c r="E6" s="1458">
        <f t="shared" si="0"/>
        <v>0</v>
      </c>
      <c r="F6" s="444">
        <v>24616</v>
      </c>
      <c r="G6" s="1459">
        <f t="shared" si="1"/>
        <v>33961</v>
      </c>
      <c r="H6" s="1459">
        <f t="shared" si="2"/>
        <v>118584</v>
      </c>
      <c r="J6" s="444">
        <v>81054</v>
      </c>
      <c r="K6" s="1460"/>
      <c r="M6" s="1212">
        <f t="shared" si="3"/>
        <v>0.20977824448699733</v>
      </c>
    </row>
    <row r="7" spans="1:13" x14ac:dyDescent="0.3">
      <c r="A7">
        <v>1985</v>
      </c>
      <c r="B7" s="444">
        <v>200758</v>
      </c>
      <c r="C7" s="2310">
        <v>32213</v>
      </c>
      <c r="D7" s="444">
        <v>166340</v>
      </c>
      <c r="E7" s="1458">
        <f t="shared" si="0"/>
        <v>2205</v>
      </c>
      <c r="F7" s="444">
        <v>49969</v>
      </c>
      <c r="G7" s="1459">
        <f t="shared" si="1"/>
        <v>82182</v>
      </c>
      <c r="H7" s="1459">
        <f t="shared" si="2"/>
        <v>84158</v>
      </c>
      <c r="J7" s="444">
        <v>52989</v>
      </c>
      <c r="K7" s="1460"/>
      <c r="M7" s="1212">
        <f t="shared" si="3"/>
        <v>0.40935853116687754</v>
      </c>
    </row>
    <row r="8" spans="1:13" x14ac:dyDescent="0.3">
      <c r="A8">
        <v>1986</v>
      </c>
      <c r="B8" s="444">
        <v>59963</v>
      </c>
      <c r="C8" s="2310">
        <v>1840</v>
      </c>
      <c r="D8" s="444">
        <v>58123</v>
      </c>
      <c r="E8" s="1458">
        <f t="shared" si="0"/>
        <v>0</v>
      </c>
      <c r="F8" s="444">
        <v>6672</v>
      </c>
      <c r="G8" s="1459">
        <f t="shared" si="1"/>
        <v>8512</v>
      </c>
      <c r="H8" s="1459">
        <f t="shared" si="2"/>
        <v>49611</v>
      </c>
      <c r="J8" s="444">
        <v>34788</v>
      </c>
      <c r="K8" s="1460"/>
      <c r="M8" s="1212">
        <f t="shared" si="3"/>
        <v>0.14195420509314077</v>
      </c>
    </row>
    <row r="9" spans="1:13" x14ac:dyDescent="0.3">
      <c r="A9">
        <v>1987</v>
      </c>
      <c r="B9" s="444">
        <v>145546</v>
      </c>
      <c r="C9" s="2310">
        <v>28553</v>
      </c>
      <c r="D9" s="444">
        <v>116993</v>
      </c>
      <c r="E9" s="1458">
        <f t="shared" si="0"/>
        <v>0</v>
      </c>
      <c r="F9" s="444">
        <v>39560</v>
      </c>
      <c r="G9" s="1459">
        <f t="shared" si="1"/>
        <v>68113</v>
      </c>
      <c r="H9" s="1459">
        <f t="shared" si="2"/>
        <v>48880</v>
      </c>
      <c r="J9" s="444">
        <v>40120</v>
      </c>
      <c r="K9" s="1460"/>
      <c r="M9" s="1212">
        <f t="shared" si="3"/>
        <v>0.46798263092080855</v>
      </c>
    </row>
    <row r="10" spans="1:13" x14ac:dyDescent="0.3">
      <c r="A10">
        <v>1988</v>
      </c>
      <c r="B10" s="444">
        <v>99780</v>
      </c>
      <c r="C10" s="2310">
        <v>17632</v>
      </c>
      <c r="D10" s="444">
        <v>79714</v>
      </c>
      <c r="E10" s="1458">
        <f t="shared" si="0"/>
        <v>2434</v>
      </c>
      <c r="F10" s="444">
        <v>30990</v>
      </c>
      <c r="G10" s="1459">
        <f t="shared" si="1"/>
        <v>48622</v>
      </c>
      <c r="H10" s="1459">
        <f t="shared" si="2"/>
        <v>31092</v>
      </c>
      <c r="J10" s="444">
        <v>33978</v>
      </c>
      <c r="K10" s="1460"/>
      <c r="M10" s="1212">
        <f t="shared" si="3"/>
        <v>0.48729204249348568</v>
      </c>
    </row>
    <row r="11" spans="1:13" x14ac:dyDescent="0.3">
      <c r="A11">
        <v>1989</v>
      </c>
      <c r="B11" s="444">
        <v>47478</v>
      </c>
      <c r="C11" s="2309">
        <v>36</v>
      </c>
      <c r="D11" s="444">
        <v>41884</v>
      </c>
      <c r="E11" s="1458">
        <f t="shared" si="0"/>
        <v>5558</v>
      </c>
      <c r="F11" s="444">
        <v>2138</v>
      </c>
      <c r="G11" s="1459">
        <f t="shared" si="1"/>
        <v>2174</v>
      </c>
      <c r="H11" s="1459">
        <f t="shared" si="2"/>
        <v>39710</v>
      </c>
      <c r="J11" s="444">
        <v>15976</v>
      </c>
      <c r="K11" s="1460"/>
      <c r="M11" s="1212">
        <f t="shared" si="3"/>
        <v>4.5789628880744768E-2</v>
      </c>
    </row>
    <row r="12" spans="1:13" x14ac:dyDescent="0.3">
      <c r="A12">
        <v>1990</v>
      </c>
      <c r="B12" s="444">
        <v>49754</v>
      </c>
      <c r="C12" s="2309">
        <v>173</v>
      </c>
      <c r="D12" s="444">
        <v>49581</v>
      </c>
      <c r="E12" s="1458">
        <f t="shared" si="0"/>
        <v>0</v>
      </c>
      <c r="F12" s="444">
        <v>2716</v>
      </c>
      <c r="G12" s="1459">
        <f t="shared" si="1"/>
        <v>2889</v>
      </c>
      <c r="H12" s="1459">
        <f t="shared" si="2"/>
        <v>46692</v>
      </c>
      <c r="J12" s="444">
        <v>7609</v>
      </c>
      <c r="K12" s="1460"/>
      <c r="M12" s="1212">
        <f t="shared" si="3"/>
        <v>5.8065683161152869E-2</v>
      </c>
    </row>
    <row r="13" spans="1:13" x14ac:dyDescent="0.3">
      <c r="A13">
        <v>1991</v>
      </c>
      <c r="B13" s="444">
        <v>76484</v>
      </c>
      <c r="C13" s="2309">
        <v>3</v>
      </c>
      <c r="D13" s="444">
        <v>76481</v>
      </c>
      <c r="E13" s="1458">
        <f t="shared" si="0"/>
        <v>0</v>
      </c>
      <c r="F13" s="444">
        <v>3271</v>
      </c>
      <c r="G13" s="1459">
        <f t="shared" si="1"/>
        <v>3274</v>
      </c>
      <c r="H13" s="1459">
        <f t="shared" si="2"/>
        <v>73207</v>
      </c>
      <c r="J13" s="444">
        <v>27490</v>
      </c>
      <c r="K13" s="1460"/>
      <c r="M13" s="1212">
        <f t="shared" si="3"/>
        <v>4.2806338580618171E-2</v>
      </c>
    </row>
    <row r="14" spans="1:13" x14ac:dyDescent="0.3">
      <c r="A14">
        <v>1992</v>
      </c>
      <c r="B14" s="444">
        <v>85000</v>
      </c>
      <c r="C14" s="2309">
        <v>8</v>
      </c>
      <c r="D14" s="444">
        <v>84992</v>
      </c>
      <c r="E14" s="1458">
        <f t="shared" si="0"/>
        <v>0</v>
      </c>
      <c r="F14" s="444">
        <v>2185</v>
      </c>
      <c r="G14" s="1459">
        <f t="shared" si="1"/>
        <v>2193</v>
      </c>
      <c r="H14" s="1459">
        <f t="shared" si="2"/>
        <v>82799</v>
      </c>
      <c r="J14" s="444">
        <v>41951</v>
      </c>
      <c r="K14" s="1460"/>
      <c r="M14" s="1212">
        <f t="shared" si="3"/>
        <v>2.58E-2</v>
      </c>
    </row>
    <row r="15" spans="1:13" x14ac:dyDescent="0.3">
      <c r="A15">
        <v>1993</v>
      </c>
      <c r="B15" s="444">
        <v>88025</v>
      </c>
      <c r="C15" s="2309">
        <v>64</v>
      </c>
      <c r="D15" s="444">
        <v>80178</v>
      </c>
      <c r="E15" s="1458">
        <f t="shared" si="0"/>
        <v>7783</v>
      </c>
      <c r="F15" s="444">
        <v>5020</v>
      </c>
      <c r="G15" s="1459">
        <f t="shared" si="1"/>
        <v>5084</v>
      </c>
      <c r="H15" s="1459">
        <f t="shared" si="2"/>
        <v>75094</v>
      </c>
      <c r="J15" s="444">
        <v>27849</v>
      </c>
      <c r="K15" s="1460"/>
      <c r="M15" s="1212">
        <f t="shared" si="3"/>
        <v>5.7756319227492192E-2</v>
      </c>
    </row>
    <row r="16" spans="1:13" x14ac:dyDescent="0.3">
      <c r="A16">
        <v>1994</v>
      </c>
      <c r="B16" s="444">
        <v>12873</v>
      </c>
      <c r="C16" s="2309">
        <v>1</v>
      </c>
      <c r="D16" s="444">
        <v>12678</v>
      </c>
      <c r="E16" s="1458">
        <f t="shared" si="0"/>
        <v>194</v>
      </c>
      <c r="F16">
        <v>472</v>
      </c>
      <c r="G16" s="1459">
        <f t="shared" si="1"/>
        <v>473</v>
      </c>
      <c r="H16" s="1459">
        <f t="shared" si="2"/>
        <v>12205</v>
      </c>
      <c r="J16" s="444">
        <v>1666</v>
      </c>
      <c r="K16" s="1460"/>
      <c r="M16" s="1212">
        <f t="shared" si="3"/>
        <v>3.6743571816981277E-2</v>
      </c>
    </row>
    <row r="17" spans="1:13" x14ac:dyDescent="0.3">
      <c r="A17">
        <v>1995</v>
      </c>
      <c r="B17" s="444">
        <v>9913</v>
      </c>
      <c r="C17" s="2309">
        <v>1</v>
      </c>
      <c r="D17" s="444">
        <v>8774</v>
      </c>
      <c r="E17" s="1458">
        <f t="shared" si="0"/>
        <v>1138</v>
      </c>
      <c r="F17">
        <v>445</v>
      </c>
      <c r="G17" s="1459">
        <f t="shared" si="1"/>
        <v>446</v>
      </c>
      <c r="H17" s="1459">
        <f t="shared" si="2"/>
        <v>8328</v>
      </c>
      <c r="J17" s="444">
        <v>4892</v>
      </c>
      <c r="K17" s="1460"/>
      <c r="M17" s="1212">
        <f t="shared" si="3"/>
        <v>4.4991425400988598E-2</v>
      </c>
    </row>
    <row r="18" spans="1:13" x14ac:dyDescent="0.3">
      <c r="A18">
        <v>1996</v>
      </c>
      <c r="B18" s="444">
        <v>30942</v>
      </c>
      <c r="C18" s="2309">
        <v>25</v>
      </c>
      <c r="D18" s="444">
        <v>30232</v>
      </c>
      <c r="E18" s="1458">
        <f t="shared" si="0"/>
        <v>685</v>
      </c>
      <c r="F18" s="444">
        <v>1414</v>
      </c>
      <c r="G18" s="1459">
        <f t="shared" si="1"/>
        <v>1439</v>
      </c>
      <c r="H18" s="1459">
        <f t="shared" si="2"/>
        <v>28793</v>
      </c>
      <c r="J18" s="444">
        <v>17701</v>
      </c>
      <c r="K18" s="1460"/>
      <c r="M18" s="1212">
        <f t="shared" si="3"/>
        <v>4.6506366750694847E-2</v>
      </c>
    </row>
    <row r="19" spans="1:13" x14ac:dyDescent="0.3">
      <c r="A19">
        <v>1997</v>
      </c>
      <c r="B19" s="444">
        <v>49979</v>
      </c>
      <c r="C19" s="2309">
        <v>12</v>
      </c>
      <c r="D19" s="444">
        <v>47008</v>
      </c>
      <c r="E19" s="1458">
        <f t="shared" si="0"/>
        <v>2959</v>
      </c>
      <c r="F19" s="444">
        <v>2046</v>
      </c>
      <c r="G19" s="1459">
        <f t="shared" si="1"/>
        <v>2058</v>
      </c>
      <c r="H19" s="1459">
        <f t="shared" si="2"/>
        <v>44950</v>
      </c>
      <c r="J19" s="444">
        <v>24621</v>
      </c>
      <c r="K19" s="1460"/>
      <c r="M19" s="1212">
        <f t="shared" si="3"/>
        <v>4.1177294463674741E-2</v>
      </c>
    </row>
    <row r="20" spans="1:13" x14ac:dyDescent="0.3">
      <c r="A20">
        <v>1998</v>
      </c>
      <c r="B20" s="444">
        <v>13220</v>
      </c>
      <c r="C20" s="2309">
        <v>2</v>
      </c>
      <c r="D20" s="444">
        <v>13218</v>
      </c>
      <c r="E20" s="1458">
        <f t="shared" si="0"/>
        <v>0</v>
      </c>
      <c r="F20">
        <v>425</v>
      </c>
      <c r="G20" s="1459">
        <f t="shared" si="1"/>
        <v>427</v>
      </c>
      <c r="H20" s="1459">
        <f t="shared" si="2"/>
        <v>12791</v>
      </c>
      <c r="J20" s="444">
        <v>4664</v>
      </c>
      <c r="K20" s="1460"/>
      <c r="M20" s="1212">
        <f t="shared" si="3"/>
        <v>3.2299546142208778E-2</v>
      </c>
    </row>
    <row r="21" spans="1:13" x14ac:dyDescent="0.3">
      <c r="A21">
        <v>1999</v>
      </c>
      <c r="B21" s="444">
        <v>19094</v>
      </c>
      <c r="C21" s="2309">
        <v>1</v>
      </c>
      <c r="D21" s="444">
        <v>17877</v>
      </c>
      <c r="E21" s="1458">
        <f t="shared" si="0"/>
        <v>1216</v>
      </c>
      <c r="F21">
        <v>704</v>
      </c>
      <c r="G21" s="1459">
        <f t="shared" si="1"/>
        <v>705</v>
      </c>
      <c r="H21" s="1459">
        <f t="shared" si="2"/>
        <v>17172</v>
      </c>
      <c r="I21" s="444">
        <v>1172</v>
      </c>
      <c r="J21" s="444">
        <v>12388</v>
      </c>
      <c r="K21" s="1461">
        <f>H21-(I21+J21)</f>
        <v>3612</v>
      </c>
      <c r="M21" s="1212">
        <f t="shared" si="3"/>
        <v>3.6922593484864354E-2</v>
      </c>
    </row>
    <row r="22" spans="1:13" x14ac:dyDescent="0.3">
      <c r="A22">
        <v>2000</v>
      </c>
      <c r="B22" s="444">
        <v>93764</v>
      </c>
      <c r="C22" s="2309">
        <v>366</v>
      </c>
      <c r="D22" s="444">
        <v>93398</v>
      </c>
      <c r="E22" s="1458">
        <f t="shared" si="0"/>
        <v>0</v>
      </c>
      <c r="F22" s="444">
        <v>2910</v>
      </c>
      <c r="G22" s="1459">
        <f t="shared" si="1"/>
        <v>3276</v>
      </c>
      <c r="H22" s="1459">
        <f t="shared" si="2"/>
        <v>90122</v>
      </c>
      <c r="I22" s="444">
        <v>20979</v>
      </c>
      <c r="J22" s="444">
        <v>59944</v>
      </c>
      <c r="K22" s="1461">
        <f t="shared" ref="K22:K43" si="4">H22-(I22+J22)</f>
        <v>9199</v>
      </c>
      <c r="M22" s="1212">
        <f t="shared" si="3"/>
        <v>3.4938782475150379E-2</v>
      </c>
    </row>
    <row r="23" spans="1:13" x14ac:dyDescent="0.3">
      <c r="A23">
        <v>2001</v>
      </c>
      <c r="B23" s="444">
        <v>117879</v>
      </c>
      <c r="C23" s="2310">
        <v>1691</v>
      </c>
      <c r="D23" s="444">
        <v>114934</v>
      </c>
      <c r="E23" s="1458">
        <f t="shared" si="0"/>
        <v>1254</v>
      </c>
      <c r="F23" s="444">
        <v>7300</v>
      </c>
      <c r="G23" s="1459">
        <f t="shared" si="1"/>
        <v>8991</v>
      </c>
      <c r="H23" s="1459">
        <f t="shared" si="2"/>
        <v>105943</v>
      </c>
      <c r="I23" s="444">
        <v>32633</v>
      </c>
      <c r="J23" s="444">
        <v>74486</v>
      </c>
      <c r="K23" s="1461">
        <f t="shared" si="4"/>
        <v>-1176</v>
      </c>
      <c r="M23" s="1212">
        <f t="shared" si="3"/>
        <v>7.6273127529076432E-2</v>
      </c>
    </row>
    <row r="24" spans="1:13" x14ac:dyDescent="0.3">
      <c r="A24">
        <v>2002</v>
      </c>
      <c r="B24" s="444">
        <v>50557</v>
      </c>
      <c r="C24" s="2309">
        <v>19</v>
      </c>
      <c r="D24" s="444">
        <v>49610</v>
      </c>
      <c r="E24" s="1458">
        <f t="shared" si="0"/>
        <v>928</v>
      </c>
      <c r="F24" s="444">
        <v>2564</v>
      </c>
      <c r="G24" s="1459">
        <f t="shared" si="1"/>
        <v>2583</v>
      </c>
      <c r="H24" s="1459">
        <f t="shared" si="2"/>
        <v>47027</v>
      </c>
      <c r="I24" s="444">
        <v>27821</v>
      </c>
      <c r="J24" s="444">
        <v>10586</v>
      </c>
      <c r="K24" s="1461">
        <f t="shared" si="4"/>
        <v>8620</v>
      </c>
      <c r="M24" s="1212">
        <f t="shared" si="3"/>
        <v>5.1090847953794725E-2</v>
      </c>
    </row>
    <row r="25" spans="1:13" x14ac:dyDescent="0.3">
      <c r="A25">
        <v>2003</v>
      </c>
      <c r="B25" s="444">
        <v>39291</v>
      </c>
      <c r="C25" s="2309">
        <v>0</v>
      </c>
      <c r="D25" s="444">
        <v>39291</v>
      </c>
      <c r="E25" s="1458">
        <f t="shared" si="0"/>
        <v>0</v>
      </c>
      <c r="F25" s="444">
        <v>1090</v>
      </c>
      <c r="G25" s="1459">
        <f t="shared" si="1"/>
        <v>1090</v>
      </c>
      <c r="H25" s="1459">
        <f t="shared" si="2"/>
        <v>38201</v>
      </c>
      <c r="I25" s="444">
        <v>5074</v>
      </c>
      <c r="J25" s="444">
        <v>28977</v>
      </c>
      <c r="K25" s="1461">
        <f t="shared" si="4"/>
        <v>4150</v>
      </c>
      <c r="M25" s="1212">
        <f t="shared" si="3"/>
        <v>2.7741722022855107E-2</v>
      </c>
    </row>
    <row r="26" spans="1:13" x14ac:dyDescent="0.3">
      <c r="A26">
        <v>2004</v>
      </c>
      <c r="B26" s="444">
        <v>130231</v>
      </c>
      <c r="C26" s="2309">
        <v>672</v>
      </c>
      <c r="D26" s="444">
        <v>123291</v>
      </c>
      <c r="E26" s="1458">
        <f t="shared" si="0"/>
        <v>6268</v>
      </c>
      <c r="F26" s="444">
        <v>4317</v>
      </c>
      <c r="G26" s="1459">
        <f t="shared" si="1"/>
        <v>4989</v>
      </c>
      <c r="H26" s="1459">
        <f t="shared" si="2"/>
        <v>118302</v>
      </c>
      <c r="I26" s="444">
        <v>33167</v>
      </c>
      <c r="J26" s="444">
        <v>78053</v>
      </c>
      <c r="K26" s="1461">
        <f t="shared" si="4"/>
        <v>7082</v>
      </c>
      <c r="M26" s="1212">
        <f t="shared" si="3"/>
        <v>3.8308851195183943E-2</v>
      </c>
    </row>
    <row r="27" spans="1:13" x14ac:dyDescent="0.3">
      <c r="A27">
        <v>2005</v>
      </c>
      <c r="B27" s="444">
        <v>77399</v>
      </c>
      <c r="C27" s="2309">
        <v>4</v>
      </c>
      <c r="D27" s="444">
        <v>72971</v>
      </c>
      <c r="E27" s="1458">
        <f t="shared" si="0"/>
        <v>4424</v>
      </c>
      <c r="F27" s="444">
        <v>2766</v>
      </c>
      <c r="G27" s="1459">
        <f t="shared" si="1"/>
        <v>2770</v>
      </c>
      <c r="H27" s="1459">
        <f t="shared" si="2"/>
        <v>70201</v>
      </c>
      <c r="I27" s="444">
        <v>14218</v>
      </c>
      <c r="J27" s="444">
        <v>55559</v>
      </c>
      <c r="K27" s="1461">
        <f t="shared" si="4"/>
        <v>424</v>
      </c>
      <c r="M27" s="1212">
        <f t="shared" si="3"/>
        <v>3.5788576079794313E-2</v>
      </c>
    </row>
    <row r="28" spans="1:13" x14ac:dyDescent="0.3">
      <c r="A28">
        <v>2006</v>
      </c>
      <c r="B28" s="444">
        <v>37067</v>
      </c>
      <c r="C28" s="2309">
        <v>1</v>
      </c>
      <c r="D28" s="444">
        <v>37066</v>
      </c>
      <c r="E28" s="1458">
        <f t="shared" si="0"/>
        <v>0</v>
      </c>
      <c r="F28" s="444">
        <v>1596</v>
      </c>
      <c r="G28" s="1459">
        <f t="shared" si="1"/>
        <v>1597</v>
      </c>
      <c r="H28" s="1459">
        <f t="shared" si="2"/>
        <v>35469</v>
      </c>
      <c r="I28" s="444">
        <v>9657</v>
      </c>
      <c r="J28" s="444">
        <v>22075</v>
      </c>
      <c r="K28" s="1461">
        <f t="shared" si="4"/>
        <v>3737</v>
      </c>
      <c r="M28" s="1212">
        <f t="shared" si="3"/>
        <v>4.3084144926754255E-2</v>
      </c>
    </row>
    <row r="29" spans="1:13" x14ac:dyDescent="0.3">
      <c r="A29">
        <v>2007</v>
      </c>
      <c r="B29" s="444">
        <v>26604</v>
      </c>
      <c r="C29" s="2309">
        <v>0</v>
      </c>
      <c r="D29" s="444">
        <v>24376</v>
      </c>
      <c r="E29" s="1458">
        <f t="shared" si="0"/>
        <v>2228</v>
      </c>
      <c r="F29" s="444">
        <v>1414</v>
      </c>
      <c r="G29" s="1459">
        <f t="shared" si="1"/>
        <v>1414</v>
      </c>
      <c r="H29" s="1459">
        <f t="shared" si="2"/>
        <v>22962</v>
      </c>
      <c r="I29" s="444">
        <v>2607</v>
      </c>
      <c r="J29" s="444">
        <v>22273</v>
      </c>
      <c r="K29" s="1461">
        <f t="shared" si="4"/>
        <v>-1918</v>
      </c>
      <c r="M29" s="1212">
        <f t="shared" si="3"/>
        <v>5.3149902270335288E-2</v>
      </c>
    </row>
    <row r="30" spans="1:13" x14ac:dyDescent="0.3">
      <c r="A30">
        <v>2008</v>
      </c>
      <c r="B30" s="444">
        <v>214465</v>
      </c>
      <c r="C30" s="2309">
        <v>858</v>
      </c>
      <c r="D30" s="444">
        <v>213607</v>
      </c>
      <c r="E30" s="1458">
        <f t="shared" si="0"/>
        <v>0</v>
      </c>
      <c r="F30" s="444">
        <v>9017</v>
      </c>
      <c r="G30" s="1459">
        <f t="shared" si="1"/>
        <v>9875</v>
      </c>
      <c r="H30" s="1459">
        <f t="shared" si="2"/>
        <v>203732</v>
      </c>
      <c r="I30" s="444">
        <v>28340</v>
      </c>
      <c r="J30" s="444">
        <v>165334</v>
      </c>
      <c r="K30" s="1461">
        <f t="shared" si="4"/>
        <v>10058</v>
      </c>
      <c r="M30" s="1212">
        <f t="shared" si="3"/>
        <v>4.6044809176322476E-2</v>
      </c>
    </row>
    <row r="31" spans="1:13" x14ac:dyDescent="0.3">
      <c r="A31">
        <v>2009</v>
      </c>
      <c r="B31" s="444">
        <v>179732</v>
      </c>
      <c r="C31" s="2310">
        <v>1129</v>
      </c>
      <c r="D31" s="444">
        <v>177823</v>
      </c>
      <c r="E31" s="1458">
        <f t="shared" si="0"/>
        <v>780</v>
      </c>
      <c r="F31" s="444">
        <v>9731</v>
      </c>
      <c r="G31" s="1459">
        <f t="shared" si="1"/>
        <v>10860</v>
      </c>
      <c r="H31" s="1459">
        <f t="shared" si="2"/>
        <v>166963</v>
      </c>
      <c r="I31" s="444">
        <v>16034</v>
      </c>
      <c r="J31" s="444">
        <v>134937</v>
      </c>
      <c r="K31" s="1461">
        <f t="shared" si="4"/>
        <v>15992</v>
      </c>
      <c r="M31" s="1212">
        <f t="shared" si="3"/>
        <v>6.0423296908730779E-2</v>
      </c>
    </row>
    <row r="32" spans="1:13" x14ac:dyDescent="0.3">
      <c r="A32">
        <v>2010</v>
      </c>
      <c r="B32" s="444">
        <v>392193</v>
      </c>
      <c r="C32" s="2310">
        <v>1604</v>
      </c>
      <c r="D32" s="444">
        <v>386525</v>
      </c>
      <c r="E32" s="1458">
        <f t="shared" si="0"/>
        <v>4064</v>
      </c>
      <c r="F32" s="444">
        <v>26125</v>
      </c>
      <c r="G32" s="1459">
        <f t="shared" si="1"/>
        <v>27729</v>
      </c>
      <c r="H32" s="1459">
        <f t="shared" si="2"/>
        <v>358796</v>
      </c>
      <c r="I32" s="444">
        <v>35821</v>
      </c>
      <c r="J32" s="444">
        <v>291764</v>
      </c>
      <c r="K32" s="1461">
        <f t="shared" si="4"/>
        <v>31211</v>
      </c>
      <c r="M32" s="1212">
        <f t="shared" si="3"/>
        <v>7.0702434770635883E-2</v>
      </c>
    </row>
    <row r="33" spans="1:13" x14ac:dyDescent="0.3">
      <c r="A33">
        <v>2011</v>
      </c>
      <c r="B33" s="444">
        <v>187365</v>
      </c>
      <c r="C33" s="2310">
        <v>1569</v>
      </c>
      <c r="D33" s="444">
        <v>185796</v>
      </c>
      <c r="E33" s="1458">
        <f t="shared" si="0"/>
        <v>0</v>
      </c>
      <c r="F33" s="444">
        <v>12853</v>
      </c>
      <c r="G33" s="1459">
        <f t="shared" si="1"/>
        <v>14422</v>
      </c>
      <c r="H33" s="1459">
        <f t="shared" si="2"/>
        <v>171374</v>
      </c>
      <c r="I33" s="444">
        <v>18634</v>
      </c>
      <c r="J33" s="444">
        <v>111508</v>
      </c>
      <c r="K33" s="1461">
        <f t="shared" si="4"/>
        <v>41232</v>
      </c>
      <c r="M33" s="1212">
        <f t="shared" si="3"/>
        <v>7.6972753716008854E-2</v>
      </c>
    </row>
    <row r="34" spans="1:13" x14ac:dyDescent="0.3">
      <c r="A34">
        <v>2012</v>
      </c>
      <c r="B34" s="444">
        <v>521159</v>
      </c>
      <c r="C34" s="2310">
        <v>4595</v>
      </c>
      <c r="D34" s="444">
        <v>515673</v>
      </c>
      <c r="E34" s="1458">
        <f t="shared" si="0"/>
        <v>891</v>
      </c>
      <c r="F34" s="444">
        <v>45352</v>
      </c>
      <c r="G34" s="1459">
        <f t="shared" si="1"/>
        <v>49947</v>
      </c>
      <c r="H34" s="1459">
        <f t="shared" si="2"/>
        <v>465726</v>
      </c>
      <c r="I34" s="444">
        <v>43411</v>
      </c>
      <c r="J34" s="444">
        <v>326107</v>
      </c>
      <c r="K34" s="1461">
        <f t="shared" si="4"/>
        <v>96208</v>
      </c>
      <c r="M34" s="1212">
        <f t="shared" si="3"/>
        <v>9.5838314218885209E-2</v>
      </c>
    </row>
    <row r="35" spans="1:13" x14ac:dyDescent="0.3">
      <c r="A35">
        <v>2013</v>
      </c>
      <c r="B35" s="444">
        <v>186191</v>
      </c>
      <c r="C35" s="2309">
        <v>676</v>
      </c>
      <c r="D35" s="444">
        <v>185505</v>
      </c>
      <c r="E35" s="1458">
        <f t="shared" si="0"/>
        <v>10</v>
      </c>
      <c r="F35" s="444">
        <v>8046</v>
      </c>
      <c r="G35" s="1459">
        <f t="shared" si="1"/>
        <v>8722</v>
      </c>
      <c r="H35" s="1459">
        <f t="shared" si="2"/>
        <v>176783</v>
      </c>
      <c r="I35" s="444">
        <v>29229</v>
      </c>
      <c r="J35" s="444">
        <v>129993</v>
      </c>
      <c r="K35" s="1461">
        <f t="shared" si="4"/>
        <v>17561</v>
      </c>
      <c r="M35" s="1212">
        <f t="shared" si="3"/>
        <v>4.6844369491543629E-2</v>
      </c>
    </row>
    <row r="36" spans="1:13" x14ac:dyDescent="0.3">
      <c r="A36">
        <v>2014</v>
      </c>
      <c r="B36" s="444">
        <v>651146</v>
      </c>
      <c r="C36" s="2310">
        <v>1348</v>
      </c>
      <c r="D36" s="444">
        <v>614179</v>
      </c>
      <c r="E36" s="1458">
        <f t="shared" si="0"/>
        <v>35619</v>
      </c>
      <c r="F36" s="444">
        <v>30702</v>
      </c>
      <c r="G36" s="1459">
        <f t="shared" si="1"/>
        <v>32050</v>
      </c>
      <c r="H36" s="1459">
        <f t="shared" si="2"/>
        <v>582129</v>
      </c>
      <c r="I36" s="444">
        <v>99888</v>
      </c>
      <c r="J36" s="444">
        <v>490804</v>
      </c>
      <c r="K36" s="1461">
        <f t="shared" si="4"/>
        <v>-8563</v>
      </c>
      <c r="M36" s="1212">
        <f t="shared" si="3"/>
        <v>4.9220912053517953E-2</v>
      </c>
    </row>
    <row r="37" spans="1:13" x14ac:dyDescent="0.3">
      <c r="A37">
        <v>2015</v>
      </c>
      <c r="B37" s="444">
        <v>512455</v>
      </c>
      <c r="C37" s="2310">
        <v>1746</v>
      </c>
      <c r="D37" s="444">
        <v>510706</v>
      </c>
      <c r="E37" s="1458">
        <f t="shared" si="0"/>
        <v>3</v>
      </c>
      <c r="F37" s="444">
        <v>30095</v>
      </c>
      <c r="G37" s="1459">
        <f t="shared" si="1"/>
        <v>31841</v>
      </c>
      <c r="H37" s="1459">
        <f t="shared" si="2"/>
        <v>478865</v>
      </c>
      <c r="I37" s="444">
        <v>51533</v>
      </c>
      <c r="J37" s="444">
        <v>187055</v>
      </c>
      <c r="K37" s="1461">
        <f t="shared" si="4"/>
        <v>240277</v>
      </c>
      <c r="M37" s="1212">
        <f t="shared" si="3"/>
        <v>6.2134236176835042E-2</v>
      </c>
    </row>
    <row r="38" spans="1:13" x14ac:dyDescent="0.3">
      <c r="A38">
        <v>2016</v>
      </c>
      <c r="B38" s="444">
        <v>356606</v>
      </c>
      <c r="C38" s="2310">
        <v>1807</v>
      </c>
      <c r="D38" s="444">
        <v>342498</v>
      </c>
      <c r="E38" s="1458">
        <f t="shared" si="0"/>
        <v>12301</v>
      </c>
      <c r="F38" s="444">
        <v>16683</v>
      </c>
      <c r="G38" s="1459">
        <f t="shared" si="1"/>
        <v>18490</v>
      </c>
      <c r="H38" s="1459">
        <f t="shared" si="2"/>
        <v>324008</v>
      </c>
      <c r="I38" s="444">
        <v>73748</v>
      </c>
      <c r="J38" s="444">
        <v>216036</v>
      </c>
      <c r="K38" s="1461">
        <f t="shared" si="4"/>
        <v>34224</v>
      </c>
      <c r="M38" s="1212">
        <f t="shared" si="3"/>
        <v>5.1849940831057248E-2</v>
      </c>
    </row>
    <row r="39" spans="1:13" x14ac:dyDescent="0.3">
      <c r="A39">
        <v>2017</v>
      </c>
      <c r="B39" s="444">
        <v>88263</v>
      </c>
      <c r="C39" s="2309">
        <v>570</v>
      </c>
      <c r="D39" s="444">
        <v>87693</v>
      </c>
      <c r="E39" s="1458">
        <f t="shared" si="0"/>
        <v>0</v>
      </c>
      <c r="F39" s="444">
        <v>4480</v>
      </c>
      <c r="G39" s="1459">
        <f t="shared" si="1"/>
        <v>5050</v>
      </c>
      <c r="H39" s="1459">
        <f t="shared" si="2"/>
        <v>82643</v>
      </c>
      <c r="I39" s="444">
        <v>23854</v>
      </c>
      <c r="J39" s="444">
        <v>42299</v>
      </c>
      <c r="K39" s="1461">
        <f t="shared" si="4"/>
        <v>16490</v>
      </c>
      <c r="M39" s="1212">
        <f t="shared" si="3"/>
        <v>5.7215367707873062E-2</v>
      </c>
    </row>
    <row r="40" spans="1:13" x14ac:dyDescent="0.3">
      <c r="A40">
        <v>2018</v>
      </c>
      <c r="B40" s="444">
        <v>210915</v>
      </c>
      <c r="C40" s="2309">
        <v>151</v>
      </c>
      <c r="D40" s="444">
        <v>193816</v>
      </c>
      <c r="E40" s="1458">
        <f t="shared" si="0"/>
        <v>16948</v>
      </c>
      <c r="F40" s="444">
        <v>7724</v>
      </c>
      <c r="G40" s="1459">
        <f t="shared" si="1"/>
        <v>7875</v>
      </c>
      <c r="H40" s="1459">
        <f t="shared" si="2"/>
        <v>185941</v>
      </c>
      <c r="I40" s="444">
        <v>13962</v>
      </c>
      <c r="J40" s="444">
        <v>153637</v>
      </c>
      <c r="K40" s="1461">
        <f t="shared" si="4"/>
        <v>18342</v>
      </c>
      <c r="M40" s="1212">
        <f t="shared" si="3"/>
        <v>3.7337315980371238E-2</v>
      </c>
    </row>
    <row r="41" spans="1:13" x14ac:dyDescent="0.3">
      <c r="A41">
        <v>2019</v>
      </c>
      <c r="B41" s="444">
        <v>63222</v>
      </c>
      <c r="C41" s="2309">
        <v>41</v>
      </c>
      <c r="D41" s="444">
        <v>63046</v>
      </c>
      <c r="E41" s="1458">
        <f t="shared" si="0"/>
        <v>135</v>
      </c>
      <c r="F41" s="444">
        <v>1118</v>
      </c>
      <c r="G41" s="1459">
        <f t="shared" si="1"/>
        <v>1159</v>
      </c>
      <c r="H41" s="1459">
        <f t="shared" si="2"/>
        <v>61887</v>
      </c>
      <c r="I41" s="444">
        <v>8878</v>
      </c>
      <c r="J41" s="444">
        <v>49862</v>
      </c>
      <c r="K41" s="1461">
        <f t="shared" si="4"/>
        <v>3147</v>
      </c>
      <c r="M41" s="1212">
        <f t="shared" si="3"/>
        <v>1.8332226123817658E-2</v>
      </c>
    </row>
    <row r="42" spans="1:13" x14ac:dyDescent="0.3">
      <c r="A42">
        <v>2020</v>
      </c>
      <c r="B42" s="444">
        <v>345018</v>
      </c>
      <c r="C42" s="2310">
        <v>3279</v>
      </c>
      <c r="D42" s="444">
        <v>341739</v>
      </c>
      <c r="E42" s="1458">
        <f t="shared" si="0"/>
        <v>0</v>
      </c>
      <c r="F42" s="444">
        <v>15258</v>
      </c>
      <c r="G42" s="1459">
        <f t="shared" si="1"/>
        <v>18537</v>
      </c>
      <c r="H42" s="1459">
        <f t="shared" si="2"/>
        <v>323202</v>
      </c>
      <c r="I42" s="444">
        <v>43391</v>
      </c>
      <c r="J42" s="444">
        <v>226107</v>
      </c>
      <c r="K42" s="1461">
        <f t="shared" si="4"/>
        <v>53704</v>
      </c>
      <c r="M42" s="1212">
        <f t="shared" si="3"/>
        <v>5.3727631601829473E-2</v>
      </c>
    </row>
    <row r="43" spans="1:13" x14ac:dyDescent="0.3">
      <c r="A43">
        <v>2020</v>
      </c>
      <c r="B43" s="444">
        <v>152309</v>
      </c>
      <c r="C43" s="2309">
        <v>557</v>
      </c>
      <c r="D43" s="444">
        <v>151765</v>
      </c>
      <c r="E43" s="1458">
        <f t="shared" si="0"/>
        <v>-13</v>
      </c>
      <c r="F43" s="444">
        <v>9528</v>
      </c>
      <c r="G43" s="1459">
        <f t="shared" si="1"/>
        <v>10085</v>
      </c>
      <c r="H43" s="1459">
        <f t="shared" si="2"/>
        <v>141680</v>
      </c>
      <c r="I43" s="444">
        <v>30826</v>
      </c>
      <c r="J43" s="444">
        <v>76255</v>
      </c>
      <c r="K43" s="1461">
        <f t="shared" si="4"/>
        <v>34599</v>
      </c>
      <c r="M43" s="1212">
        <f t="shared" si="3"/>
        <v>6.621407795993671E-2</v>
      </c>
    </row>
    <row r="44" spans="1:13" x14ac:dyDescent="0.3">
      <c r="A44">
        <v>2021</v>
      </c>
      <c r="C44" s="2310">
        <v>1681</v>
      </c>
    </row>
    <row r="45" spans="1:13" x14ac:dyDescent="0.3">
      <c r="A45">
        <v>2022</v>
      </c>
      <c r="C45" s="2310">
        <v>1440</v>
      </c>
    </row>
    <row r="46" spans="1:13" x14ac:dyDescent="0.3">
      <c r="A46">
        <v>2023</v>
      </c>
    </row>
  </sheetData>
  <autoFilter ref="A1:K43" xr:uid="{D1AB504B-CF81-4FCB-BF2F-47E6CCD0BC7A}">
    <filterColumn colId="0">
      <filters>
        <filter val="1985"/>
        <filter val="1986"/>
        <filter val="1987"/>
        <filter val="1988"/>
        <filter val="1989"/>
        <filter val="1990"/>
        <filter val="1991"/>
        <filter val="1992"/>
        <filter val="1993"/>
        <filter val="1994"/>
        <filter val="1995"/>
        <filter val="1996"/>
        <filter val="1997"/>
        <filter val="1998"/>
        <filter val="1999"/>
        <filter val="2000"/>
        <filter val="2001"/>
        <filter val="2002"/>
        <filter val="2003"/>
        <filter val="2004"/>
        <filter val="2005"/>
        <filter val="2006"/>
        <filter val="2007"/>
        <filter val="2008"/>
        <filter val="2009"/>
        <filter val="2010"/>
        <filter val="2011"/>
        <filter val="2012"/>
        <filter val="2013"/>
        <filter val="2014"/>
        <filter val="2015"/>
        <filter val="2016"/>
        <filter val="2017"/>
        <filter val="2018"/>
        <filter val="2019"/>
        <filter val="2020"/>
        <filter val="2021"/>
      </filters>
    </filterColumn>
  </autoFilter>
  <conditionalFormatting sqref="M2:M43">
    <cfRule type="colorScale" priority="1">
      <colorScale>
        <cfvo type="min"/>
        <cfvo type="percentile" val="50"/>
        <cfvo type="max"/>
        <color rgb="FF63BE7B"/>
        <color rgb="FFFFEB84"/>
        <color rgb="FFF8696B"/>
      </colorScale>
    </cfRule>
  </conditionalFormatting>
  <pageMargins left="0.7" right="0.7" top="0.75" bottom="0.75" header="0.3" footer="0.3"/>
  <pageSetup orientation="portrait"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360C58-3715-4563-AB0D-E64205B82207}">
  <dimension ref="A1:K39"/>
  <sheetViews>
    <sheetView zoomScaleNormal="100" workbookViewId="0">
      <pane xSplit="1" ySplit="2" topLeftCell="B3" activePane="bottomRight" state="frozen"/>
      <selection pane="topRight" activeCell="B1" sqref="B1"/>
      <selection pane="bottomLeft" activeCell="A2" sqref="A2"/>
      <selection pane="bottomRight" activeCell="U27" sqref="U27"/>
    </sheetView>
  </sheetViews>
  <sheetFormatPr defaultRowHeight="14.4" x14ac:dyDescent="0.3"/>
  <cols>
    <col min="1" max="1" width="7.6640625" style="664" customWidth="1"/>
    <col min="2" max="2" width="10.109375" hidden="1" customWidth="1"/>
    <col min="3" max="3" width="10.44140625" hidden="1" customWidth="1"/>
    <col min="4" max="4" width="10.33203125" customWidth="1"/>
    <col min="5" max="5" width="7.44140625" hidden="1" customWidth="1"/>
    <col min="6" max="6" width="6.33203125" hidden="1" customWidth="1"/>
    <col min="7" max="7" width="5.44140625" hidden="1" customWidth="1"/>
    <col min="8" max="8" width="10.33203125" hidden="1" customWidth="1"/>
    <col min="9" max="11" width="10.33203125" customWidth="1"/>
  </cols>
  <sheetData>
    <row r="1" spans="1:11" ht="16.2" thickBot="1" x14ac:dyDescent="0.35">
      <c r="A1" s="1017"/>
      <c r="B1" s="514"/>
      <c r="C1" s="514"/>
      <c r="D1" s="2612" t="s">
        <v>643</v>
      </c>
      <c r="E1" s="2612"/>
      <c r="F1" s="2612"/>
      <c r="G1" s="2612"/>
      <c r="H1" s="2612"/>
      <c r="I1" s="2612"/>
      <c r="J1" s="2612"/>
      <c r="K1" s="2612"/>
    </row>
    <row r="2" spans="1:11" x14ac:dyDescent="0.3">
      <c r="A2" s="2144" t="s">
        <v>644</v>
      </c>
      <c r="B2" s="2145" t="s">
        <v>645</v>
      </c>
      <c r="C2" s="2145" t="s">
        <v>646</v>
      </c>
      <c r="D2" s="1051" t="s">
        <v>647</v>
      </c>
      <c r="E2" s="1051" t="s">
        <v>648</v>
      </c>
      <c r="F2" s="1051" t="s">
        <v>649</v>
      </c>
      <c r="G2" s="1051" t="s">
        <v>650</v>
      </c>
      <c r="H2" s="1051" t="s">
        <v>651</v>
      </c>
      <c r="I2" s="1051" t="s">
        <v>652</v>
      </c>
      <c r="J2" s="1051" t="s">
        <v>653</v>
      </c>
      <c r="K2" s="1053" t="s">
        <v>654</v>
      </c>
    </row>
    <row r="3" spans="1:11" x14ac:dyDescent="0.3">
      <c r="A3" s="854">
        <v>1986</v>
      </c>
      <c r="B3" s="701">
        <v>570881</v>
      </c>
      <c r="C3" s="701">
        <v>379891</v>
      </c>
      <c r="D3" s="1107">
        <v>58123</v>
      </c>
      <c r="E3" s="701">
        <v>130853</v>
      </c>
      <c r="F3" s="813">
        <v>77</v>
      </c>
      <c r="G3" s="813">
        <v>23</v>
      </c>
      <c r="H3" s="701">
        <v>1139848</v>
      </c>
      <c r="I3" s="701">
        <v>58123</v>
      </c>
      <c r="J3" s="701">
        <v>58123</v>
      </c>
      <c r="K3" s="481">
        <v>58123</v>
      </c>
    </row>
    <row r="4" spans="1:11" x14ac:dyDescent="0.3">
      <c r="A4" s="854">
        <v>1987</v>
      </c>
      <c r="B4" s="701">
        <v>547494</v>
      </c>
      <c r="C4" s="701">
        <v>303081</v>
      </c>
      <c r="D4" s="1107">
        <v>116993</v>
      </c>
      <c r="E4" s="701">
        <v>27635</v>
      </c>
      <c r="F4" s="813">
        <v>147</v>
      </c>
      <c r="G4" s="813">
        <v>20</v>
      </c>
      <c r="H4" s="701">
        <v>995370</v>
      </c>
      <c r="I4" s="701">
        <v>116993</v>
      </c>
      <c r="J4" s="701">
        <v>116993</v>
      </c>
      <c r="K4" s="481">
        <v>116993</v>
      </c>
    </row>
    <row r="5" spans="1:11" x14ac:dyDescent="0.3">
      <c r="A5" s="854">
        <v>1988</v>
      </c>
      <c r="B5" s="701">
        <v>494025</v>
      </c>
      <c r="C5" s="701">
        <v>279072</v>
      </c>
      <c r="D5" s="1107">
        <v>79714</v>
      </c>
      <c r="E5" s="701">
        <v>39620</v>
      </c>
      <c r="F5" s="813">
        <v>60</v>
      </c>
      <c r="G5" s="813">
        <v>6</v>
      </c>
      <c r="H5" s="701">
        <v>892497</v>
      </c>
      <c r="I5" s="701">
        <v>79714</v>
      </c>
      <c r="J5" s="701">
        <v>79714</v>
      </c>
      <c r="K5" s="481">
        <v>79714</v>
      </c>
    </row>
    <row r="6" spans="1:11" x14ac:dyDescent="0.3">
      <c r="A6" s="854">
        <v>1989</v>
      </c>
      <c r="B6" s="701">
        <v>416117</v>
      </c>
      <c r="C6" s="701">
        <v>287798</v>
      </c>
      <c r="D6" s="1107">
        <v>41884</v>
      </c>
      <c r="E6" s="701">
        <v>39281</v>
      </c>
      <c r="F6" s="813">
        <v>16</v>
      </c>
      <c r="G6" s="813">
        <v>12</v>
      </c>
      <c r="H6" s="701">
        <v>785108</v>
      </c>
      <c r="I6" s="701">
        <v>41884</v>
      </c>
      <c r="J6" s="701">
        <v>41884</v>
      </c>
      <c r="K6" s="481">
        <v>41884</v>
      </c>
    </row>
    <row r="7" spans="1:11" x14ac:dyDescent="0.3">
      <c r="A7" s="854">
        <v>1990</v>
      </c>
      <c r="B7" s="701">
        <v>340990</v>
      </c>
      <c r="C7" s="701">
        <v>183027</v>
      </c>
      <c r="D7" s="1107">
        <v>49581</v>
      </c>
      <c r="E7" s="701">
        <v>24845</v>
      </c>
      <c r="F7" s="813">
        <v>26</v>
      </c>
      <c r="G7" s="813">
        <v>0</v>
      </c>
      <c r="H7" s="701">
        <v>598469</v>
      </c>
      <c r="I7" s="701">
        <v>49581</v>
      </c>
      <c r="J7" s="701">
        <v>49581</v>
      </c>
      <c r="K7" s="481">
        <v>49581</v>
      </c>
    </row>
    <row r="8" spans="1:11" x14ac:dyDescent="0.3">
      <c r="A8" s="854">
        <v>1991</v>
      </c>
      <c r="B8" s="701">
        <v>274622</v>
      </c>
      <c r="C8" s="701">
        <v>274545</v>
      </c>
      <c r="D8" s="1107">
        <v>76481</v>
      </c>
      <c r="E8" s="701">
        <v>64057</v>
      </c>
      <c r="F8" s="813">
        <v>5</v>
      </c>
      <c r="G8" s="813">
        <v>550</v>
      </c>
      <c r="H8" s="701">
        <v>690260</v>
      </c>
      <c r="I8" s="701">
        <v>76481</v>
      </c>
      <c r="J8" s="701">
        <v>76481</v>
      </c>
      <c r="K8" s="481">
        <v>76481</v>
      </c>
    </row>
    <row r="9" spans="1:11" x14ac:dyDescent="0.3">
      <c r="A9" s="854">
        <v>1992</v>
      </c>
      <c r="B9" s="701">
        <v>256299</v>
      </c>
      <c r="C9" s="701">
        <v>314975</v>
      </c>
      <c r="D9" s="1107">
        <v>84992</v>
      </c>
      <c r="E9" s="701">
        <v>18126</v>
      </c>
      <c r="F9" s="813">
        <v>39</v>
      </c>
      <c r="G9" s="813">
        <v>24</v>
      </c>
      <c r="H9" s="701">
        <v>674455</v>
      </c>
      <c r="I9" s="701">
        <v>84992</v>
      </c>
      <c r="J9" s="701">
        <v>84992</v>
      </c>
      <c r="K9" s="481">
        <v>84992</v>
      </c>
    </row>
    <row r="10" spans="1:11" x14ac:dyDescent="0.3">
      <c r="A10" s="854">
        <v>1993</v>
      </c>
      <c r="B10" s="701">
        <v>277657</v>
      </c>
      <c r="C10" s="701">
        <v>188386</v>
      </c>
      <c r="D10" s="1107">
        <v>80178</v>
      </c>
      <c r="E10" s="701">
        <v>11732</v>
      </c>
      <c r="F10" s="813">
        <v>17</v>
      </c>
      <c r="G10" s="813">
        <v>15</v>
      </c>
      <c r="H10" s="701">
        <v>557985</v>
      </c>
      <c r="I10" s="701">
        <v>80178</v>
      </c>
      <c r="J10" s="701">
        <v>80178</v>
      </c>
      <c r="K10" s="481">
        <v>80178</v>
      </c>
    </row>
    <row r="11" spans="1:11" x14ac:dyDescent="0.3">
      <c r="A11" s="854">
        <v>1994</v>
      </c>
      <c r="B11" s="701">
        <v>244320</v>
      </c>
      <c r="C11" s="701">
        <v>163124</v>
      </c>
      <c r="D11" s="2149">
        <v>13154</v>
      </c>
      <c r="E11" s="953">
        <v>22794</v>
      </c>
      <c r="F11" s="952">
        <v>26</v>
      </c>
      <c r="G11" s="952">
        <v>5</v>
      </c>
      <c r="H11" s="953">
        <v>443423</v>
      </c>
      <c r="I11" s="2143">
        <v>12678</v>
      </c>
      <c r="J11" s="2143">
        <v>12678</v>
      </c>
      <c r="K11" s="2146">
        <v>12678</v>
      </c>
    </row>
    <row r="12" spans="1:11" x14ac:dyDescent="0.3">
      <c r="A12" s="854">
        <v>1995</v>
      </c>
      <c r="B12" s="701">
        <v>245250</v>
      </c>
      <c r="C12" s="701">
        <v>209071</v>
      </c>
      <c r="D12" s="2149">
        <v>9135</v>
      </c>
      <c r="E12" s="953">
        <v>12572</v>
      </c>
      <c r="F12" s="952">
        <v>30</v>
      </c>
      <c r="G12" s="952">
        <v>36</v>
      </c>
      <c r="H12" s="953">
        <v>476094</v>
      </c>
      <c r="I12" s="2143">
        <v>8774</v>
      </c>
      <c r="J12" s="2143">
        <v>8774</v>
      </c>
      <c r="K12" s="2146">
        <v>8774</v>
      </c>
    </row>
    <row r="13" spans="1:11" x14ac:dyDescent="0.3">
      <c r="A13" s="854">
        <v>1996</v>
      </c>
      <c r="B13" s="701">
        <v>299962</v>
      </c>
      <c r="C13" s="701">
        <v>212475</v>
      </c>
      <c r="D13" s="2149">
        <v>31093</v>
      </c>
      <c r="E13" s="953">
        <v>19077</v>
      </c>
      <c r="F13" s="952">
        <v>22</v>
      </c>
      <c r="G13" s="952">
        <v>1</v>
      </c>
      <c r="H13" s="953">
        <v>562630</v>
      </c>
      <c r="I13" s="2143">
        <v>30232</v>
      </c>
      <c r="J13" s="2143">
        <v>30232</v>
      </c>
      <c r="K13" s="2146">
        <v>30232</v>
      </c>
    </row>
    <row r="14" spans="1:11" x14ac:dyDescent="0.3">
      <c r="A14" s="854">
        <v>1997</v>
      </c>
      <c r="B14" s="701">
        <v>399784</v>
      </c>
      <c r="C14" s="701">
        <v>274536</v>
      </c>
      <c r="D14" s="2149">
        <v>48342</v>
      </c>
      <c r="E14" s="953">
        <v>27919</v>
      </c>
      <c r="F14" s="952">
        <v>47</v>
      </c>
      <c r="G14" s="952">
        <v>64</v>
      </c>
      <c r="H14" s="953">
        <v>750692</v>
      </c>
      <c r="I14" s="2143">
        <v>47008</v>
      </c>
      <c r="J14" s="2143">
        <v>47008</v>
      </c>
      <c r="K14" s="2146">
        <v>47008</v>
      </c>
    </row>
    <row r="15" spans="1:11" x14ac:dyDescent="0.3">
      <c r="A15" s="854">
        <v>1998</v>
      </c>
      <c r="B15" s="701">
        <v>290292</v>
      </c>
      <c r="C15" s="701">
        <v>197501</v>
      </c>
      <c r="D15" s="2149">
        <v>13613</v>
      </c>
      <c r="E15" s="953">
        <v>49488</v>
      </c>
      <c r="F15" s="952">
        <v>21</v>
      </c>
      <c r="G15" s="952">
        <v>13</v>
      </c>
      <c r="H15" s="953">
        <v>550928</v>
      </c>
      <c r="I15" s="2143">
        <v>13218</v>
      </c>
      <c r="J15" s="2143">
        <v>13218</v>
      </c>
      <c r="K15" s="2146">
        <v>13218</v>
      </c>
    </row>
    <row r="16" spans="1:11" x14ac:dyDescent="0.3">
      <c r="A16" s="854">
        <v>1999</v>
      </c>
      <c r="B16" s="701">
        <v>347486</v>
      </c>
      <c r="C16" s="701">
        <v>212118</v>
      </c>
      <c r="D16" s="2149">
        <v>18304</v>
      </c>
      <c r="E16" s="953">
        <v>45805</v>
      </c>
      <c r="F16" s="952">
        <v>43</v>
      </c>
      <c r="G16" s="952">
        <v>28</v>
      </c>
      <c r="H16" s="953">
        <v>623784</v>
      </c>
      <c r="I16" s="2143">
        <v>17877</v>
      </c>
      <c r="J16" s="2143">
        <v>17877</v>
      </c>
      <c r="K16" s="2146">
        <v>17877</v>
      </c>
    </row>
    <row r="17" spans="1:11" x14ac:dyDescent="0.3">
      <c r="A17" s="854">
        <v>2000</v>
      </c>
      <c r="B17" s="701">
        <v>501012</v>
      </c>
      <c r="C17" s="701">
        <v>282935</v>
      </c>
      <c r="D17" s="2149">
        <v>97541</v>
      </c>
      <c r="E17" s="953">
        <v>99660</v>
      </c>
      <c r="F17" s="952">
        <v>17</v>
      </c>
      <c r="G17" s="952">
        <v>0</v>
      </c>
      <c r="H17" s="953">
        <v>981165</v>
      </c>
      <c r="I17" s="2143">
        <v>93398</v>
      </c>
      <c r="J17" s="2143">
        <v>93398</v>
      </c>
      <c r="K17" s="2146">
        <v>93398</v>
      </c>
    </row>
    <row r="18" spans="1:11" x14ac:dyDescent="0.3">
      <c r="A18" s="854">
        <v>2001</v>
      </c>
      <c r="B18" s="701">
        <v>1037440</v>
      </c>
      <c r="C18" s="701">
        <v>676793</v>
      </c>
      <c r="D18" s="2149">
        <v>123416</v>
      </c>
      <c r="E18" s="953">
        <v>277934</v>
      </c>
      <c r="F18" s="952">
        <v>29</v>
      </c>
      <c r="G18" s="952">
        <v>-4</v>
      </c>
      <c r="H18" s="953">
        <v>2115608</v>
      </c>
      <c r="I18" s="2143">
        <v>114934</v>
      </c>
      <c r="J18" s="2143">
        <v>114934</v>
      </c>
      <c r="K18" s="2146">
        <v>114934</v>
      </c>
    </row>
    <row r="19" spans="1:11" x14ac:dyDescent="0.3">
      <c r="A19" s="854">
        <v>2002</v>
      </c>
      <c r="B19" s="701">
        <v>965356</v>
      </c>
      <c r="C19" s="701">
        <v>510680</v>
      </c>
      <c r="D19" s="2149">
        <v>51200</v>
      </c>
      <c r="E19" s="953">
        <v>100835</v>
      </c>
      <c r="F19" s="952">
        <v>72</v>
      </c>
      <c r="G19" s="952">
        <v>0</v>
      </c>
      <c r="H19" s="953">
        <v>1628143</v>
      </c>
      <c r="I19" s="2143">
        <v>49610</v>
      </c>
      <c r="J19" s="2143">
        <v>49610</v>
      </c>
      <c r="K19" s="2146">
        <v>49610</v>
      </c>
    </row>
    <row r="20" spans="1:11" x14ac:dyDescent="0.3">
      <c r="A20" s="854">
        <v>2003</v>
      </c>
      <c r="B20" s="701">
        <v>996660</v>
      </c>
      <c r="C20" s="701">
        <v>365821</v>
      </c>
      <c r="D20" s="1107">
        <v>39291</v>
      </c>
      <c r="E20" s="701">
        <v>133874</v>
      </c>
      <c r="F20" s="813">
        <v>411</v>
      </c>
      <c r="G20" s="813">
        <v>637</v>
      </c>
      <c r="H20" s="701">
        <v>1536694</v>
      </c>
      <c r="I20" s="701">
        <v>39291</v>
      </c>
      <c r="J20" s="701">
        <v>39291</v>
      </c>
      <c r="K20" s="481">
        <v>39291</v>
      </c>
    </row>
    <row r="21" spans="1:11" x14ac:dyDescent="0.3">
      <c r="A21" s="854">
        <v>2004</v>
      </c>
      <c r="B21" s="701">
        <v>906197</v>
      </c>
      <c r="C21" s="701">
        <v>313378</v>
      </c>
      <c r="D21" s="1107">
        <v>123291</v>
      </c>
      <c r="E21" s="701">
        <v>119851</v>
      </c>
      <c r="F21" s="813">
        <v>80</v>
      </c>
      <c r="G21" s="813">
        <v>1</v>
      </c>
      <c r="H21" s="701">
        <v>1462798</v>
      </c>
      <c r="I21" s="701">
        <v>123291</v>
      </c>
      <c r="J21" s="701">
        <v>123291</v>
      </c>
      <c r="K21" s="481">
        <v>123291</v>
      </c>
    </row>
    <row r="22" spans="1:11" x14ac:dyDescent="0.3">
      <c r="A22" s="854">
        <v>2005</v>
      </c>
      <c r="B22" s="701">
        <v>600415</v>
      </c>
      <c r="C22" s="701">
        <v>315650</v>
      </c>
      <c r="D22" s="1107">
        <v>72971</v>
      </c>
      <c r="E22" s="701">
        <v>88791</v>
      </c>
      <c r="F22" s="813">
        <v>139</v>
      </c>
      <c r="G22" s="813">
        <v>22</v>
      </c>
      <c r="H22" s="701">
        <v>1077988</v>
      </c>
      <c r="I22" s="701">
        <v>72971</v>
      </c>
      <c r="J22" s="701">
        <v>72971</v>
      </c>
      <c r="K22" s="481">
        <v>72971</v>
      </c>
    </row>
    <row r="23" spans="1:11" x14ac:dyDescent="0.3">
      <c r="A23" s="854">
        <v>2006</v>
      </c>
      <c r="B23" s="701">
        <v>526538</v>
      </c>
      <c r="C23" s="701">
        <v>339301</v>
      </c>
      <c r="D23" s="1107">
        <v>37066</v>
      </c>
      <c r="E23" s="701">
        <v>110054</v>
      </c>
      <c r="F23" s="813">
        <v>165</v>
      </c>
      <c r="G23" s="813">
        <v>6</v>
      </c>
      <c r="H23" s="701">
        <v>1013130</v>
      </c>
      <c r="I23" s="701">
        <v>37066</v>
      </c>
      <c r="J23" s="701">
        <v>37066</v>
      </c>
      <c r="K23" s="481">
        <v>37066</v>
      </c>
    </row>
    <row r="24" spans="1:11" x14ac:dyDescent="0.3">
      <c r="A24" s="854">
        <v>2007</v>
      </c>
      <c r="B24" s="701">
        <v>359867</v>
      </c>
      <c r="C24" s="701">
        <v>325450</v>
      </c>
      <c r="D24" s="1107">
        <v>24376</v>
      </c>
      <c r="E24" s="701">
        <v>100725</v>
      </c>
      <c r="F24" s="813">
        <v>142</v>
      </c>
      <c r="G24" s="813">
        <v>27</v>
      </c>
      <c r="H24" s="701">
        <v>810587</v>
      </c>
      <c r="I24" s="701">
        <v>24376</v>
      </c>
      <c r="J24" s="701">
        <v>24376</v>
      </c>
      <c r="K24" s="481">
        <v>24376</v>
      </c>
    </row>
    <row r="25" spans="1:11" x14ac:dyDescent="0.3">
      <c r="A25" s="854">
        <v>2008</v>
      </c>
      <c r="B25" s="701">
        <v>587428</v>
      </c>
      <c r="C25" s="701">
        <v>357845</v>
      </c>
      <c r="D25" s="1107">
        <v>213607</v>
      </c>
      <c r="E25" s="701">
        <v>146059</v>
      </c>
      <c r="F25" s="813">
        <v>75</v>
      </c>
      <c r="G25" s="813">
        <v>60</v>
      </c>
      <c r="H25" s="701">
        <v>1305074</v>
      </c>
      <c r="I25" s="701">
        <v>213607</v>
      </c>
      <c r="J25" s="701">
        <v>213607</v>
      </c>
      <c r="K25" s="481">
        <v>213607</v>
      </c>
    </row>
    <row r="26" spans="1:11" x14ac:dyDescent="0.3">
      <c r="A26" s="854">
        <v>2009</v>
      </c>
      <c r="B26" s="701">
        <v>699121</v>
      </c>
      <c r="C26" s="701">
        <v>604970</v>
      </c>
      <c r="D26" s="1107">
        <v>177823</v>
      </c>
      <c r="E26" s="701">
        <v>234669</v>
      </c>
      <c r="F26" s="813">
        <v>109</v>
      </c>
      <c r="G26" s="813">
        <v>95</v>
      </c>
      <c r="H26" s="701">
        <v>1716787</v>
      </c>
      <c r="I26" s="701">
        <v>177823</v>
      </c>
      <c r="J26" s="701">
        <v>177823</v>
      </c>
      <c r="K26" s="481">
        <v>177823</v>
      </c>
    </row>
    <row r="27" spans="1:11" x14ac:dyDescent="0.3">
      <c r="A27" s="854">
        <v>2010</v>
      </c>
      <c r="B27" s="701">
        <v>902439</v>
      </c>
      <c r="C27" s="701">
        <v>416603</v>
      </c>
      <c r="D27" s="1107">
        <v>386524</v>
      </c>
      <c r="E27" s="701">
        <v>127644</v>
      </c>
      <c r="F27" s="813">
        <v>124</v>
      </c>
      <c r="G27" s="813">
        <v>4</v>
      </c>
      <c r="H27" s="701">
        <v>1833338</v>
      </c>
      <c r="I27" s="701">
        <v>386525</v>
      </c>
      <c r="J27" s="701">
        <v>386525</v>
      </c>
      <c r="K27" s="481">
        <v>386525</v>
      </c>
    </row>
    <row r="28" spans="1:11" x14ac:dyDescent="0.3">
      <c r="A28" s="854">
        <v>2011</v>
      </c>
      <c r="B28" s="701">
        <v>863201</v>
      </c>
      <c r="C28" s="701">
        <v>369365</v>
      </c>
      <c r="D28" s="1107">
        <v>185796</v>
      </c>
      <c r="E28" s="701">
        <v>149883</v>
      </c>
      <c r="F28" s="813">
        <v>50</v>
      </c>
      <c r="G28" s="701">
        <v>3828</v>
      </c>
      <c r="H28" s="701">
        <v>1572123</v>
      </c>
      <c r="I28" s="701">
        <v>185796</v>
      </c>
      <c r="J28" s="701">
        <v>185796</v>
      </c>
      <c r="K28" s="481">
        <v>185796</v>
      </c>
    </row>
    <row r="29" spans="1:11" x14ac:dyDescent="0.3">
      <c r="A29" s="854">
        <v>2012</v>
      </c>
      <c r="B29" s="701">
        <v>733930</v>
      </c>
      <c r="C29" s="701">
        <v>235303</v>
      </c>
      <c r="D29" s="1107">
        <v>515673</v>
      </c>
      <c r="E29" s="701">
        <v>60023</v>
      </c>
      <c r="F29" s="813">
        <v>65</v>
      </c>
      <c r="G29" s="813">
        <v>1</v>
      </c>
      <c r="H29" s="701">
        <v>1544995</v>
      </c>
      <c r="I29" s="701">
        <v>515673</v>
      </c>
      <c r="J29" s="701">
        <v>515673</v>
      </c>
      <c r="K29" s="481">
        <v>515673</v>
      </c>
    </row>
    <row r="30" spans="1:11" x14ac:dyDescent="0.3">
      <c r="A30" s="854">
        <v>2013</v>
      </c>
      <c r="B30" s="701">
        <v>1327783</v>
      </c>
      <c r="C30" s="701">
        <v>240110</v>
      </c>
      <c r="D30" s="2149">
        <v>197826</v>
      </c>
      <c r="E30" s="701">
        <v>68651</v>
      </c>
      <c r="F30" s="813">
        <v>167</v>
      </c>
      <c r="G30" s="813">
        <v>520</v>
      </c>
      <c r="H30" s="701">
        <v>1835057</v>
      </c>
      <c r="I30" s="2143">
        <v>185505</v>
      </c>
      <c r="J30" s="2143">
        <v>185505</v>
      </c>
      <c r="K30" s="2146">
        <v>185505</v>
      </c>
    </row>
    <row r="31" spans="1:11" x14ac:dyDescent="0.3">
      <c r="A31" s="854">
        <v>2014</v>
      </c>
      <c r="B31" s="701">
        <v>1363284</v>
      </c>
      <c r="C31" s="701">
        <v>338533</v>
      </c>
      <c r="D31" s="2149">
        <v>656103</v>
      </c>
      <c r="E31" s="701">
        <v>302559</v>
      </c>
      <c r="F31" s="813">
        <v>122</v>
      </c>
      <c r="G31" s="813">
        <v>1</v>
      </c>
      <c r="H31" s="701">
        <v>2660602</v>
      </c>
      <c r="I31" s="2143">
        <v>614179</v>
      </c>
      <c r="J31" s="2143">
        <v>614179</v>
      </c>
      <c r="K31" s="2146">
        <v>614179</v>
      </c>
    </row>
    <row r="32" spans="1:11" x14ac:dyDescent="0.3">
      <c r="A32" s="854">
        <v>2015</v>
      </c>
      <c r="B32" s="701">
        <v>1497536</v>
      </c>
      <c r="C32" s="701">
        <v>276422</v>
      </c>
      <c r="D32" s="2149">
        <v>545196</v>
      </c>
      <c r="E32" s="701">
        <v>43128</v>
      </c>
      <c r="F32" s="813">
        <v>176</v>
      </c>
      <c r="G32" s="813">
        <v>55</v>
      </c>
      <c r="H32" s="701">
        <v>2362513</v>
      </c>
      <c r="I32" s="2143">
        <v>510706</v>
      </c>
      <c r="J32" s="2143">
        <v>510706</v>
      </c>
      <c r="K32" s="2146">
        <v>510706</v>
      </c>
    </row>
    <row r="33" spans="1:11" x14ac:dyDescent="0.3">
      <c r="A33" s="854">
        <v>2016</v>
      </c>
      <c r="B33" s="701">
        <v>799259</v>
      </c>
      <c r="C33" s="701">
        <v>194364</v>
      </c>
      <c r="D33" s="2149">
        <v>357863</v>
      </c>
      <c r="E33" s="701">
        <v>48249</v>
      </c>
      <c r="F33" s="813">
        <v>47</v>
      </c>
      <c r="G33" s="813">
        <v>3</v>
      </c>
      <c r="H33" s="701">
        <v>1399785</v>
      </c>
      <c r="I33" s="2143">
        <v>342498</v>
      </c>
      <c r="J33" s="2143">
        <v>342498</v>
      </c>
      <c r="K33" s="2146">
        <v>342498</v>
      </c>
    </row>
    <row r="34" spans="1:11" x14ac:dyDescent="0.3">
      <c r="A34" s="854">
        <v>2017</v>
      </c>
      <c r="B34" s="701">
        <v>574012</v>
      </c>
      <c r="C34" s="701">
        <v>121487</v>
      </c>
      <c r="D34" s="2149">
        <v>90027</v>
      </c>
      <c r="E34" s="701">
        <v>82327</v>
      </c>
      <c r="F34" s="813">
        <v>21</v>
      </c>
      <c r="G34" s="813">
        <v>42</v>
      </c>
      <c r="H34" s="701">
        <v>867916</v>
      </c>
      <c r="I34" s="2143">
        <v>87693</v>
      </c>
      <c r="J34" s="2143">
        <v>87693</v>
      </c>
      <c r="K34" s="2146">
        <v>87693</v>
      </c>
    </row>
    <row r="35" spans="1:11" x14ac:dyDescent="0.3">
      <c r="A35" s="854">
        <v>2018</v>
      </c>
      <c r="B35" s="701">
        <v>389228</v>
      </c>
      <c r="C35" s="701">
        <v>2634</v>
      </c>
      <c r="D35" s="2149">
        <v>204930</v>
      </c>
      <c r="E35" s="701">
        <v>50095</v>
      </c>
      <c r="F35" s="813">
        <v>180</v>
      </c>
      <c r="G35" s="813">
        <v>4</v>
      </c>
      <c r="H35" s="701">
        <v>647071</v>
      </c>
      <c r="I35" s="2143">
        <v>193816</v>
      </c>
      <c r="J35" s="2143">
        <v>193816</v>
      </c>
      <c r="K35" s="2146">
        <v>193816</v>
      </c>
    </row>
    <row r="36" spans="1:11" x14ac:dyDescent="0.3">
      <c r="A36" s="854">
        <v>2019</v>
      </c>
      <c r="B36" s="701">
        <v>463241</v>
      </c>
      <c r="C36" s="701">
        <v>79954</v>
      </c>
      <c r="D36" s="2149">
        <v>66296</v>
      </c>
      <c r="E36" s="701">
        <v>84486</v>
      </c>
      <c r="F36" s="813">
        <v>316</v>
      </c>
      <c r="G36" s="813">
        <v>104</v>
      </c>
      <c r="H36" s="701">
        <v>694397</v>
      </c>
      <c r="I36" s="2143">
        <v>63046</v>
      </c>
      <c r="J36" s="2143">
        <v>63046</v>
      </c>
      <c r="K36" s="2146">
        <v>63046</v>
      </c>
    </row>
    <row r="37" spans="1:11" x14ac:dyDescent="0.3">
      <c r="A37" s="854">
        <v>2020</v>
      </c>
      <c r="B37" s="701">
        <v>623274</v>
      </c>
      <c r="C37" s="701">
        <v>116699</v>
      </c>
      <c r="D37" s="2149">
        <v>357555</v>
      </c>
      <c r="E37" s="701">
        <v>149271</v>
      </c>
      <c r="F37" s="813">
        <v>193</v>
      </c>
      <c r="G37" s="813">
        <v>2</v>
      </c>
      <c r="H37" s="701">
        <v>1246994</v>
      </c>
      <c r="I37" s="2143">
        <v>341739</v>
      </c>
      <c r="J37" s="2143">
        <v>341739</v>
      </c>
      <c r="K37" s="2146">
        <v>341739</v>
      </c>
    </row>
    <row r="38" spans="1:11" x14ac:dyDescent="0.3">
      <c r="A38" s="854">
        <v>2021</v>
      </c>
      <c r="B38" s="701">
        <v>576771</v>
      </c>
      <c r="C38" s="701">
        <v>73560</v>
      </c>
      <c r="D38" s="2149">
        <v>161564</v>
      </c>
      <c r="E38" s="701">
        <v>267999</v>
      </c>
      <c r="F38" s="813">
        <v>342</v>
      </c>
      <c r="G38" s="813">
        <v>324</v>
      </c>
      <c r="H38" s="701">
        <v>1080560</v>
      </c>
      <c r="I38" s="2143">
        <v>151765</v>
      </c>
      <c r="J38" s="2143">
        <v>151765</v>
      </c>
      <c r="K38" s="2146">
        <v>151765</v>
      </c>
    </row>
    <row r="39" spans="1:11" ht="15" thickBot="1" x14ac:dyDescent="0.35">
      <c r="A39" s="943">
        <v>2022</v>
      </c>
      <c r="B39" s="718">
        <v>888533</v>
      </c>
      <c r="C39" s="718">
        <v>132022</v>
      </c>
      <c r="D39" s="2150">
        <v>696983</v>
      </c>
      <c r="E39" s="718">
        <v>184566</v>
      </c>
      <c r="F39" s="999">
        <v>299</v>
      </c>
      <c r="G39" s="999">
        <v>8</v>
      </c>
      <c r="H39" s="718">
        <v>1902411</v>
      </c>
      <c r="I39" s="2147">
        <v>663253</v>
      </c>
      <c r="J39" s="2147">
        <v>663253</v>
      </c>
      <c r="K39" s="2148">
        <v>663253</v>
      </c>
    </row>
  </sheetData>
  <mergeCells count="1">
    <mergeCell ref="D1:K1"/>
  </mergeCells>
  <pageMargins left="0.7" right="0.7" top="0.75" bottom="0.75" header="0.3" footer="0.3"/>
  <legacy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4537F-DE70-4AB1-91C4-EAA738ECA5E3}">
  <sheetPr codeName="Sheet11">
    <tabColor rgb="FFFFFF00"/>
  </sheetPr>
  <dimension ref="A1:DB72"/>
  <sheetViews>
    <sheetView tabSelected="1" zoomScaleNormal="100" workbookViewId="0">
      <pane xSplit="2" ySplit="1" topLeftCell="E34" activePane="bottomRight" state="frozen"/>
      <selection pane="topRight" activeCell="C15" sqref="C15"/>
      <selection pane="bottomLeft" activeCell="C15" sqref="C15"/>
      <selection pane="bottomRight" activeCell="U47" sqref="U47:U48"/>
    </sheetView>
  </sheetViews>
  <sheetFormatPr defaultColWidth="8.6640625" defaultRowHeight="14.4" x14ac:dyDescent="0.3"/>
  <cols>
    <col min="1" max="1" width="9.88671875" style="534" customWidth="1"/>
    <col min="2" max="2" width="14.33203125" style="534" hidden="1" customWidth="1"/>
    <col min="3" max="3" width="11.109375" style="1501" customWidth="1"/>
    <col min="4" max="4" width="10.33203125" style="1537" customWidth="1"/>
    <col min="5" max="5" width="9.88671875" style="1537" customWidth="1"/>
    <col min="6" max="6" width="12.109375" style="1537" customWidth="1"/>
    <col min="7" max="7" width="10.109375" style="1510" customWidth="1"/>
    <col min="8" max="8" width="9.33203125" style="534" customWidth="1"/>
    <col min="9" max="9" width="9.33203125" style="1510" customWidth="1"/>
    <col min="10" max="10" width="12.109375" style="534" hidden="1" customWidth="1"/>
    <col min="11" max="11" width="13.33203125" style="534" hidden="1" customWidth="1"/>
    <col min="12" max="12" width="10.109375" style="535" customWidth="1"/>
    <col min="13" max="13" width="8.6640625" style="1521" customWidth="1"/>
    <col min="14" max="14" width="14.6640625" style="534" hidden="1" customWidth="1"/>
    <col min="15" max="15" width="14.44140625" style="534" hidden="1" customWidth="1"/>
    <col min="16" max="16" width="12.33203125" style="1537" hidden="1" customWidth="1"/>
    <col min="17" max="20" width="12.33203125" style="534" hidden="1" customWidth="1"/>
    <col min="21" max="21" width="12.33203125" style="1510" customWidth="1"/>
    <col min="22" max="22" width="11.6640625" style="1534" customWidth="1"/>
    <col min="23" max="23" width="8.6640625" style="1501" customWidth="1"/>
    <col min="24" max="24" width="9.88671875" style="1501" customWidth="1"/>
    <col min="25" max="26" width="9.6640625" style="534" bestFit="1" customWidth="1"/>
    <col min="27" max="27" width="10.33203125" style="534" hidden="1" customWidth="1"/>
    <col min="28" max="28" width="10.6640625" style="534" customWidth="1"/>
    <col min="29" max="29" width="10.109375" style="1501" customWidth="1"/>
    <col min="30" max="30" width="12.109375" style="1510" customWidth="1"/>
    <col min="31" max="31" width="9.44140625" style="1501" bestFit="1" customWidth="1"/>
    <col min="32" max="32" width="6.44140625" style="1519" customWidth="1"/>
    <col min="33" max="33" width="5.6640625" style="534" customWidth="1"/>
    <col min="34" max="34" width="8.6640625" style="534" customWidth="1"/>
    <col min="35" max="35" width="9.44140625" style="1537" customWidth="1"/>
    <col min="36" max="37" width="14" style="534" hidden="1" customWidth="1"/>
    <col min="38" max="38" width="10.6640625" style="534" hidden="1" customWidth="1"/>
    <col min="39" max="39" width="9.88671875" style="534" hidden="1" customWidth="1"/>
    <col min="40" max="40" width="10.33203125" style="534" hidden="1" customWidth="1"/>
    <col min="41" max="41" width="10.44140625" style="534" hidden="1" customWidth="1"/>
    <col min="42" max="42" width="11.6640625" style="534" hidden="1" customWidth="1"/>
    <col min="43" max="43" width="12.6640625" style="534" hidden="1" customWidth="1"/>
    <col min="44" max="44" width="10.77734375" style="1501" customWidth="1"/>
    <col min="45" max="45" width="9.88671875" style="534" customWidth="1"/>
    <col min="46" max="46" width="9.44140625" style="534" customWidth="1"/>
    <col min="47" max="47" width="9.33203125" style="534" customWidth="1"/>
    <col min="48" max="48" width="11.33203125" style="534" hidden="1" customWidth="1"/>
    <col min="49" max="49" width="8.33203125" style="534" hidden="1" customWidth="1"/>
    <col min="50" max="50" width="10.44140625" style="534" hidden="1" customWidth="1"/>
    <col min="51" max="51" width="10.6640625" style="534" hidden="1" customWidth="1"/>
    <col min="52" max="52" width="10.6640625" style="1012" hidden="1" customWidth="1"/>
    <col min="53" max="54" width="10.6640625" style="534" hidden="1" customWidth="1"/>
    <col min="55" max="55" width="12.44140625" style="534" hidden="1" customWidth="1"/>
    <col min="56" max="56" width="13.5546875" style="534" hidden="1" customWidth="1"/>
    <col min="57" max="57" width="12" style="534" hidden="1" customWidth="1"/>
    <col min="58" max="58" width="10.33203125" style="534" customWidth="1"/>
    <col min="59" max="60" width="13.44140625" style="534" hidden="1" customWidth="1"/>
    <col min="61" max="61" width="16.6640625" style="534" bestFit="1" customWidth="1"/>
    <col min="62" max="62" width="2.44140625" style="534" hidden="1" customWidth="1"/>
    <col min="63" max="63" width="20.33203125" style="534" hidden="1" customWidth="1"/>
    <col min="64" max="64" width="11" style="534" hidden="1" customWidth="1"/>
    <col min="65" max="68" width="0" hidden="1" customWidth="1"/>
    <col min="69" max="69" width="7" customWidth="1"/>
    <col min="70" max="70" width="9.5546875" style="534" bestFit="1" customWidth="1"/>
    <col min="71" max="71" width="13.33203125" style="534" bestFit="1" customWidth="1"/>
    <col min="72" max="72" width="9.6640625" style="534" bestFit="1" customWidth="1"/>
    <col min="73" max="74" width="9.6640625" style="534" customWidth="1"/>
    <col min="75" max="75" width="10.88671875" style="534" customWidth="1"/>
    <col min="76" max="76" width="10.77734375" style="534" customWidth="1"/>
    <col min="77" max="77" width="3.5546875" style="534" customWidth="1"/>
    <col min="78" max="78" width="7.6640625" style="534" customWidth="1"/>
    <col min="79" max="79" width="9.33203125" style="534" customWidth="1"/>
    <col min="80" max="80" width="7.33203125" style="534" customWidth="1"/>
    <col min="81" max="82" width="10" style="534" customWidth="1"/>
    <col min="83" max="83" width="9.44140625" style="534" bestFit="1" customWidth="1"/>
    <col min="84" max="84" width="9.33203125" hidden="1" customWidth="1"/>
    <col min="85" max="85" width="11.5546875" hidden="1" customWidth="1"/>
    <col min="86" max="86" width="6.33203125" hidden="1" customWidth="1"/>
    <col min="87" max="87" width="6.33203125" style="664" hidden="1" customWidth="1"/>
    <col min="88" max="88" width="11.6640625" hidden="1" customWidth="1"/>
    <col min="89" max="89" width="7" hidden="1" customWidth="1"/>
    <col min="90" max="90" width="6.6640625" hidden="1" customWidth="1"/>
    <col min="91" max="91" width="8.33203125" style="534" hidden="1" customWidth="1"/>
    <col min="92" max="92" width="9.6640625" style="534" hidden="1" customWidth="1"/>
    <col min="93" max="105" width="8.6640625" style="534"/>
    <col min="106" max="106" width="9.33203125" style="534" bestFit="1" customWidth="1"/>
    <col min="107" max="107" width="11.109375" style="534" bestFit="1" customWidth="1"/>
    <col min="108" max="108" width="10.44140625" style="534" bestFit="1" customWidth="1"/>
    <col min="109" max="109" width="10.5546875" style="534" bestFit="1" customWidth="1"/>
    <col min="110" max="110" width="9" style="534" bestFit="1" customWidth="1"/>
    <col min="111" max="111" width="9.33203125" style="534" bestFit="1" customWidth="1"/>
    <col min="112" max="112" width="8.5546875" style="534" bestFit="1" customWidth="1"/>
    <col min="113" max="16384" width="8.6640625" style="534"/>
  </cols>
  <sheetData>
    <row r="1" spans="1:106" ht="67.2" thickBot="1" x14ac:dyDescent="0.35">
      <c r="A1" s="1313" t="s">
        <v>538</v>
      </c>
      <c r="B1" s="1320" t="s">
        <v>655</v>
      </c>
      <c r="C1" s="1498" t="s">
        <v>656</v>
      </c>
      <c r="D1" s="1535" t="s">
        <v>657</v>
      </c>
      <c r="E1" s="1535" t="s">
        <v>658</v>
      </c>
      <c r="F1" s="1535" t="s">
        <v>659</v>
      </c>
      <c r="G1" s="1505" t="s">
        <v>660</v>
      </c>
      <c r="H1" s="1321" t="s">
        <v>661</v>
      </c>
      <c r="I1" s="1505" t="s">
        <v>662</v>
      </c>
      <c r="J1" s="1324" t="s">
        <v>663</v>
      </c>
      <c r="K1" s="1324" t="s">
        <v>664</v>
      </c>
      <c r="L1" s="1322" t="s">
        <v>665</v>
      </c>
      <c r="M1" s="1528" t="s">
        <v>666</v>
      </c>
      <c r="N1" s="1323" t="s">
        <v>667</v>
      </c>
      <c r="O1" s="1323" t="s">
        <v>668</v>
      </c>
      <c r="P1" s="1542" t="s">
        <v>669</v>
      </c>
      <c r="Q1" s="1361" t="s">
        <v>670</v>
      </c>
      <c r="R1" s="1321" t="s">
        <v>671</v>
      </c>
      <c r="S1" s="1321" t="s">
        <v>672</v>
      </c>
      <c r="T1" s="1321" t="s">
        <v>673</v>
      </c>
      <c r="U1" s="1557" t="s">
        <v>674</v>
      </c>
      <c r="V1" s="1558" t="s">
        <v>675</v>
      </c>
      <c r="W1" s="1502" t="s">
        <v>676</v>
      </c>
      <c r="X1" s="1502" t="s">
        <v>677</v>
      </c>
      <c r="Y1" s="1321" t="s">
        <v>678</v>
      </c>
      <c r="Z1" s="1321" t="s">
        <v>679</v>
      </c>
      <c r="AA1" s="1385" t="s">
        <v>680</v>
      </c>
      <c r="AB1" s="1627" t="s">
        <v>1323</v>
      </c>
      <c r="AC1" s="1628" t="s">
        <v>681</v>
      </c>
      <c r="AD1" s="2210" t="s">
        <v>682</v>
      </c>
      <c r="AE1" s="2211" t="s">
        <v>683</v>
      </c>
      <c r="AF1" s="2207" t="s">
        <v>684</v>
      </c>
      <c r="AG1" s="1321" t="s">
        <v>685</v>
      </c>
      <c r="AH1" s="1502" t="s">
        <v>686</v>
      </c>
      <c r="AI1" s="1535" t="s">
        <v>1327</v>
      </c>
      <c r="AJ1" s="2297" t="s">
        <v>687</v>
      </c>
      <c r="AK1" s="1324" t="s">
        <v>688</v>
      </c>
      <c r="AL1" s="1324" t="s">
        <v>689</v>
      </c>
      <c r="AM1" s="1324" t="s">
        <v>690</v>
      </c>
      <c r="AN1" s="1324" t="s">
        <v>691</v>
      </c>
      <c r="AO1" s="1324" t="s">
        <v>692</v>
      </c>
      <c r="AP1" s="1324" t="s">
        <v>1324</v>
      </c>
      <c r="AQ1" s="1561" t="s">
        <v>693</v>
      </c>
      <c r="AR1" s="1502" t="s">
        <v>694</v>
      </c>
      <c r="AS1" s="1426" t="s">
        <v>695</v>
      </c>
      <c r="AT1" s="1321" t="s">
        <v>696</v>
      </c>
      <c r="AU1" s="2297" t="s">
        <v>697</v>
      </c>
      <c r="AV1" s="1321" t="s">
        <v>698</v>
      </c>
      <c r="AW1" s="1321" t="s">
        <v>699</v>
      </c>
      <c r="AX1" s="1324" t="s">
        <v>700</v>
      </c>
      <c r="AY1" s="1325" t="s">
        <v>701</v>
      </c>
      <c r="AZ1" s="1325" t="s">
        <v>702</v>
      </c>
      <c r="BA1" s="1325" t="s">
        <v>703</v>
      </c>
      <c r="BB1" s="1325" t="s">
        <v>704</v>
      </c>
      <c r="BC1" s="1321" t="s">
        <v>705</v>
      </c>
      <c r="BD1" s="1321" t="s">
        <v>706</v>
      </c>
      <c r="BE1" s="2297" t="s">
        <v>707</v>
      </c>
      <c r="BF1" s="1324" t="s">
        <v>708</v>
      </c>
      <c r="BG1" s="1324" t="s">
        <v>709</v>
      </c>
      <c r="BH1" s="1324" t="s">
        <v>710</v>
      </c>
      <c r="BI1" s="1324" t="s">
        <v>711</v>
      </c>
      <c r="BJ1" s="1359"/>
      <c r="BK1" s="1325" t="s">
        <v>712</v>
      </c>
      <c r="BL1" s="1325" t="s">
        <v>713</v>
      </c>
      <c r="BM1" s="1360"/>
      <c r="BN1" s="1360"/>
      <c r="BO1" s="1360"/>
      <c r="BP1" s="1360"/>
      <c r="BQ1" s="2070" t="s">
        <v>714</v>
      </c>
      <c r="BR1" s="1314" t="s">
        <v>715</v>
      </c>
      <c r="BS1" s="1314" t="s">
        <v>716</v>
      </c>
      <c r="BT1" s="1314" t="s">
        <v>717</v>
      </c>
      <c r="BU1" s="1314" t="s">
        <v>718</v>
      </c>
      <c r="BV1" s="1314" t="s">
        <v>719</v>
      </c>
      <c r="BW1" s="1518" t="s">
        <v>720</v>
      </c>
      <c r="BX1" s="2223" t="s">
        <v>721</v>
      </c>
      <c r="BY1" s="1455"/>
      <c r="BZ1" s="1465" t="s">
        <v>722</v>
      </c>
      <c r="CA1" s="1466" t="s">
        <v>723</v>
      </c>
      <c r="CB1" s="1466" t="s">
        <v>724</v>
      </c>
      <c r="CC1" s="1466" t="s">
        <v>725</v>
      </c>
      <c r="CD1" s="1466" t="s">
        <v>726</v>
      </c>
      <c r="CE1" s="1466" t="s">
        <v>727</v>
      </c>
      <c r="CF1" s="1653" t="s">
        <v>728</v>
      </c>
      <c r="CG1" s="1664" t="s">
        <v>729</v>
      </c>
      <c r="CH1" s="1659" t="s">
        <v>730</v>
      </c>
      <c r="CI1" s="1474" t="s">
        <v>731</v>
      </c>
      <c r="CJ1" s="1465" t="s">
        <v>732</v>
      </c>
      <c r="CK1" s="1467" t="s">
        <v>731</v>
      </c>
      <c r="CL1" s="1652"/>
      <c r="CM1" s="1180" t="s">
        <v>733</v>
      </c>
      <c r="CN1" s="1181" t="s">
        <v>734</v>
      </c>
    </row>
    <row r="2" spans="1:106" x14ac:dyDescent="0.3">
      <c r="A2" s="1340">
        <v>1977</v>
      </c>
      <c r="B2" s="1330">
        <f>D2</f>
        <v>99829</v>
      </c>
      <c r="C2" s="1499">
        <f t="shared" ref="C2:C48" si="0">E2+AI2</f>
        <v>103901.607273</v>
      </c>
      <c r="D2" s="1327">
        <v>99829</v>
      </c>
      <c r="E2" s="1327">
        <f t="shared" ref="E2:E9" si="1">D2*VLOOKUP(A2,BON_Count_Adjustment,5)+VLOOKUP(A2,BON_Count_Adjustment,4)</f>
        <v>103901.607273</v>
      </c>
      <c r="F2" s="1327">
        <v>458</v>
      </c>
      <c r="G2" s="1506">
        <v>90261</v>
      </c>
      <c r="H2" s="1351">
        <v>25648</v>
      </c>
      <c r="I2" s="1506">
        <f t="shared" ref="I2:I17" si="2">MAX(H2*1.12,L2)</f>
        <v>28725.760000000002</v>
      </c>
      <c r="J2" s="1327">
        <v>21973</v>
      </c>
      <c r="K2" s="1327">
        <v>21973</v>
      </c>
      <c r="L2" s="1333">
        <f t="shared" ref="L2:L22" si="3">K2*1.132</f>
        <v>24873.435999999998</v>
      </c>
      <c r="M2" s="1527"/>
      <c r="N2" s="1328" t="str">
        <f>IF(L2-H2*1.12&gt;0,L2-H2*1.12,"")</f>
        <v/>
      </c>
      <c r="O2" s="1430">
        <f t="shared" ref="O2:O47" si="4">G2/(E2-AQ2-F2)</f>
        <v>0.87256237847342721</v>
      </c>
      <c r="P2" s="1341">
        <f t="shared" ref="P2:P48" si="5">I2/G2</f>
        <v>0.31825217978972092</v>
      </c>
      <c r="Q2" s="1383">
        <f t="shared" ref="Q2:Q48" si="6">J2/G2</f>
        <v>0.2434384728731124</v>
      </c>
      <c r="R2" s="1335">
        <f t="shared" ref="R2:R48" si="7">L2/G2</f>
        <v>0.27557235129236324</v>
      </c>
      <c r="S2" s="1352"/>
      <c r="T2" s="1352"/>
      <c r="U2" s="1559">
        <f t="shared" ref="U2:U9" si="8">MIN(ROUND(P2,2),ROUND(1-V2,2))</f>
        <v>0.32</v>
      </c>
      <c r="V2" s="1560">
        <f t="shared" ref="V2:V9" si="9">MAX(1-P2,M2/G2)</f>
        <v>0.68174782021027913</v>
      </c>
      <c r="W2" s="1520"/>
      <c r="X2" s="1520"/>
      <c r="Y2" s="1327">
        <f>(Total_Sox__Mouth____24_hour-Total_Sockeye__Snake)*OK_Stock_Comp_______Best</f>
        <v>33101.954327359999</v>
      </c>
      <c r="Z2" s="1327">
        <f>(Total_Sox__Mouth____24_hour-Total_Sockeye__Snake)*Ok_Stock_Comp__Wells_RI</f>
        <v>28506.198082384417</v>
      </c>
      <c r="AA2" s="1333"/>
      <c r="AB2" s="1625"/>
      <c r="AC2" s="1626">
        <f>(WEN_Sox_at_Mouth__BEST)-(WEN_Sox_at_Mouth__BEST*WEN_H_O)</f>
        <v>70341.652945640002</v>
      </c>
      <c r="AD2" s="2212">
        <f>OK_Sox_at_Mouth__RRH_RI</f>
        <v>33101.954327359999</v>
      </c>
      <c r="AE2" s="2213">
        <f>(Total_Sox__Mouth____24_hour)-(Estimated_Okanagan_Sockeye_Returns)-(Total_Sockeye__Snake)</f>
        <v>70341.652945640002</v>
      </c>
      <c r="AF2" s="2208">
        <f>((Total_Sox__Mouth____24_hour)-(Total_Sockeye__Snake)-(Total_Sockeye_Harvest_Below_Wells))*(1-OK_Stock_Comp_______Best)-((Total_Sockeye__RockI___24_hr)*(1-OK_Stock_Comp_______Best))</f>
        <v>8964.1729456399917</v>
      </c>
      <c r="AG2" s="1353">
        <v>0</v>
      </c>
      <c r="AH2" s="1619"/>
      <c r="AI2" s="1331"/>
      <c r="AJ2" s="2306"/>
      <c r="AK2" s="1331"/>
      <c r="AL2" s="1331"/>
      <c r="AM2" s="1331"/>
      <c r="AN2" s="1331"/>
      <c r="AO2" s="1402"/>
      <c r="AP2" s="1402"/>
      <c r="AQ2" s="1331"/>
      <c r="AR2" s="1512"/>
      <c r="AS2" s="1427"/>
      <c r="AT2" s="1332"/>
      <c r="AU2" s="2306"/>
      <c r="AV2" s="1327">
        <f t="shared" ref="AV2:AV47" si="10">AT2+I2</f>
        <v>28725.760000000002</v>
      </c>
      <c r="AW2" s="1327">
        <f t="shared" ref="AW2:AW47" si="11">L2+AU2</f>
        <v>24873.435999999998</v>
      </c>
      <c r="AX2" s="1354">
        <f>AU2/AW2</f>
        <v>0</v>
      </c>
      <c r="AY2" s="1329">
        <f t="shared" ref="AY2:AY48" si="12">($E2*$U2-$I2-($AQ2-$AO2)*$U2)/($E2*$U2)</f>
        <v>0.13602876455860929</v>
      </c>
      <c r="AZ2" s="1329">
        <f t="shared" ref="AZ2:AZ48" si="13">($E2*$U2-$L2-$AQ2*$U2)/($E2*$U2)</f>
        <v>0.25189331002583187</v>
      </c>
      <c r="BA2" s="1327">
        <f t="shared" ref="BA2:BA47" si="14">AY2*AV2</f>
        <v>3907.5296438071168</v>
      </c>
      <c r="BB2" s="1355">
        <f>AW2*AZ2</f>
        <v>6265.4521257556871</v>
      </c>
      <c r="BC2" s="1327">
        <f t="shared" ref="BC2:BC47" si="15">I2+AT2+BA2</f>
        <v>32633.289643807118</v>
      </c>
      <c r="BD2" s="1327">
        <f t="shared" ref="BD2:BD47" si="16">L2+AU2+BB2</f>
        <v>31138.888125755686</v>
      </c>
      <c r="BE2" s="2298"/>
      <c r="BF2" s="1331"/>
      <c r="BG2" s="1331"/>
      <c r="BH2" s="1348">
        <f>(Total_Sockeye__Wells___24_hour+OK_Sox_Harvest_Below_Wells)/Estimated_Okanagan_Sockeye_Returns</f>
        <v>0.75141895714118534</v>
      </c>
      <c r="BI2" s="1348">
        <f>(Total_Sockeye__Wells___24_hour+OK_Sox_Harvest_Below_Wells)/((Total_Sox__Mouth____24_hour-Total_Sockeye__Snake)*OK_Stock_Comp_______Best)</f>
        <v>0.75141895714118534</v>
      </c>
      <c r="BJ2" s="1356"/>
      <c r="BK2" s="1357"/>
      <c r="BL2" s="1357"/>
      <c r="BM2" s="1358"/>
      <c r="BN2" s="1358"/>
      <c r="BO2" s="1358"/>
      <c r="BP2" s="1358"/>
      <c r="BQ2" s="2071">
        <v>1</v>
      </c>
      <c r="BR2" s="1327"/>
      <c r="BS2" s="1327"/>
      <c r="BT2" s="1327"/>
      <c r="BU2" s="1327"/>
      <c r="BV2" s="1327"/>
      <c r="BW2" s="2224">
        <f t="shared" ref="BW2:BW16" si="17">AC2*BU2</f>
        <v>0</v>
      </c>
      <c r="BX2" s="2213"/>
      <c r="BY2" s="1456"/>
      <c r="BZ2" s="1499">
        <f t="shared" ref="BZ2:BZ48" si="18">E2</f>
        <v>103901.607273</v>
      </c>
      <c r="CA2" s="1503">
        <f t="shared" ref="CA2:CA9" si="19">AI2</f>
        <v>0</v>
      </c>
      <c r="CB2" s="1503">
        <f t="shared" ref="CB2:CB47" si="20">F2</f>
        <v>458</v>
      </c>
      <c r="CC2" s="1520">
        <v>0.32</v>
      </c>
      <c r="CD2" s="1520">
        <f t="shared" ref="CD2:CD9" si="21">1-BV2</f>
        <v>1</v>
      </c>
      <c r="CE2" s="1520">
        <f>1</f>
        <v>1</v>
      </c>
      <c r="CF2" s="1657">
        <f t="shared" ref="CF2:CF9" si="22">(BZ2+CA2-CB2)*CC2*CD2*CE2</f>
        <v>33101.954327359999</v>
      </c>
      <c r="CG2" s="1654">
        <f>CF2</f>
        <v>33101.954327359999</v>
      </c>
      <c r="CH2" s="1660">
        <f t="shared" ref="CH2:CH9" si="23">$CG2-$CF2</f>
        <v>0</v>
      </c>
      <c r="CI2" s="1658">
        <f t="shared" ref="CI2:CI9" si="24">CH2/CF2</f>
        <v>0</v>
      </c>
      <c r="CJ2" s="1672">
        <f t="shared" ref="CJ2:CJ9" si="25">$CG2-$BW2</f>
        <v>33101.954327359999</v>
      </c>
      <c r="CK2" s="1673" t="e">
        <f t="shared" ref="CK2:CK9" si="26">CJ2/BW2</f>
        <v>#DIV/0!</v>
      </c>
      <c r="CM2" s="1013">
        <f t="shared" ref="CM2:CM47" si="27">SUM(Z2,-BX2)</f>
        <v>28506.198082384417</v>
      </c>
      <c r="CN2" s="1032">
        <f>(BW2-CM2)/CM2</f>
        <v>-1</v>
      </c>
    </row>
    <row r="3" spans="1:106" x14ac:dyDescent="0.3">
      <c r="A3" s="1342">
        <v>1978</v>
      </c>
      <c r="B3" s="1336">
        <f>D3</f>
        <v>18436</v>
      </c>
      <c r="C3" s="1468">
        <f t="shared" si="0"/>
        <v>18965.000231999999</v>
      </c>
      <c r="D3" s="1316">
        <v>18436</v>
      </c>
      <c r="E3" s="1316">
        <f t="shared" si="1"/>
        <v>18965.000231999999</v>
      </c>
      <c r="F3" s="1316">
        <v>123</v>
      </c>
      <c r="G3" s="1507">
        <v>14936</v>
      </c>
      <c r="H3" s="1346">
        <v>8349</v>
      </c>
      <c r="I3" s="1507">
        <f t="shared" si="2"/>
        <v>9350.880000000001</v>
      </c>
      <c r="J3" s="1316">
        <v>7644</v>
      </c>
      <c r="K3" s="1316">
        <v>7644</v>
      </c>
      <c r="L3" s="1315">
        <f t="shared" si="3"/>
        <v>8653.0079999999998</v>
      </c>
      <c r="M3" s="1525"/>
      <c r="N3" s="1380" t="str">
        <f t="shared" ref="N3:N48" si="28">IF(L3-H3*1.12&gt;0,L3-H3*1.12,"")</f>
        <v/>
      </c>
      <c r="O3" s="1430">
        <f t="shared" si="4"/>
        <v>0.79269715614553982</v>
      </c>
      <c r="P3" s="1339">
        <f t="shared" si="5"/>
        <v>0.6260632029994645</v>
      </c>
      <c r="Q3" s="1334">
        <f t="shared" si="6"/>
        <v>0.51178361006963047</v>
      </c>
      <c r="R3" s="1335">
        <f t="shared" si="7"/>
        <v>0.57933904659882163</v>
      </c>
      <c r="S3" s="1317"/>
      <c r="T3" s="1317"/>
      <c r="U3" s="1559">
        <f t="shared" si="8"/>
        <v>0.63</v>
      </c>
      <c r="V3" s="1560">
        <f t="shared" si="9"/>
        <v>0.3739367970005355</v>
      </c>
      <c r="W3" s="1470"/>
      <c r="X3" s="1470"/>
      <c r="Y3" s="1316">
        <f>(C3-F3)*U3</f>
        <v>11870.46014616</v>
      </c>
      <c r="Z3" s="1316">
        <f>(C3-F3)*R3</f>
        <v>10915.906450421655</v>
      </c>
      <c r="AA3" s="1315"/>
      <c r="AB3" s="1621"/>
      <c r="AC3" s="1622">
        <f t="shared" ref="AC3:AC47" si="29">AE3-AE3*AG3</f>
        <v>6971.5400858399989</v>
      </c>
      <c r="AD3" s="2214">
        <f t="shared" ref="AD3:AD9" si="30">Y3</f>
        <v>11870.46014616</v>
      </c>
      <c r="AE3" s="2215">
        <f t="shared" ref="AE3:AE47" si="31">C3-AD3-F3</f>
        <v>6971.5400858399989</v>
      </c>
      <c r="AF3" s="2208">
        <f t="shared" ref="AF3:AF9" si="32">(C3-F3-AR3)*(1-U3)-(G3*(1-U3))</f>
        <v>1445.2200858399992</v>
      </c>
      <c r="AG3" s="1347">
        <v>0</v>
      </c>
      <c r="AH3" s="1347"/>
      <c r="AI3" s="1337"/>
      <c r="AJ3" s="2307"/>
      <c r="AK3" s="1337"/>
      <c r="AL3" s="1337"/>
      <c r="AM3" s="1337"/>
      <c r="AN3" s="1337"/>
      <c r="AO3" s="1403"/>
      <c r="AP3" s="1403"/>
      <c r="AQ3" s="1337"/>
      <c r="AR3" s="1513"/>
      <c r="AS3" s="1428"/>
      <c r="AT3" s="1338"/>
      <c r="AU3" s="2307"/>
      <c r="AV3" s="1316">
        <f t="shared" si="10"/>
        <v>9350.880000000001</v>
      </c>
      <c r="AW3" s="1316">
        <f t="shared" si="11"/>
        <v>8653.0079999999998</v>
      </c>
      <c r="AX3" s="1348">
        <f>AU3/AW3</f>
        <v>0</v>
      </c>
      <c r="AY3" s="1335">
        <f t="shared" si="12"/>
        <v>0.21736533165855915</v>
      </c>
      <c r="AZ3" s="1335">
        <f t="shared" si="13"/>
        <v>0.27577468150207962</v>
      </c>
      <c r="BA3" s="1316">
        <f t="shared" si="14"/>
        <v>2032.5571324993878</v>
      </c>
      <c r="BB3" s="1349">
        <f>AW3*AZ3</f>
        <v>2386.2805252349467</v>
      </c>
      <c r="BC3" s="1316">
        <f t="shared" si="15"/>
        <v>11383.437132499388</v>
      </c>
      <c r="BD3" s="1316">
        <f t="shared" si="16"/>
        <v>11039.288525234946</v>
      </c>
      <c r="BE3" s="2299"/>
      <c r="BF3" s="1337"/>
      <c r="BG3" s="1337"/>
      <c r="BH3" s="1348">
        <f>IF((L3+AU3)/AD3&gt;1,1,(L3+AU3)/AD3)</f>
        <v>0.72895303917929244</v>
      </c>
      <c r="BI3" s="1348">
        <f t="shared" ref="BI3:BI48" si="33">(K3+AU3)/D3</f>
        <v>0.414623562594923</v>
      </c>
      <c r="BJ3" s="1344"/>
      <c r="BK3" s="1326"/>
      <c r="BL3" s="1326"/>
      <c r="BM3" s="1345"/>
      <c r="BN3" s="1345"/>
      <c r="BO3" s="1345"/>
      <c r="BP3" s="1345"/>
      <c r="BQ3" s="2071">
        <v>1</v>
      </c>
      <c r="BR3" s="1316"/>
      <c r="BS3" s="1316"/>
      <c r="BT3" s="1316"/>
      <c r="BU3" s="1316"/>
      <c r="BV3" s="1316"/>
      <c r="BW3" s="2224">
        <f t="shared" si="17"/>
        <v>0</v>
      </c>
      <c r="BX3" s="2215"/>
      <c r="BY3" s="1456"/>
      <c r="BZ3" s="1468">
        <f t="shared" si="18"/>
        <v>18965.000231999999</v>
      </c>
      <c r="CA3" s="1469">
        <f t="shared" si="19"/>
        <v>0</v>
      </c>
      <c r="CB3" s="1469">
        <f t="shared" si="20"/>
        <v>123</v>
      </c>
      <c r="CC3" s="1470">
        <v>0.63</v>
      </c>
      <c r="CD3" s="1470">
        <f t="shared" si="21"/>
        <v>1</v>
      </c>
      <c r="CE3" s="1470">
        <f>1</f>
        <v>1</v>
      </c>
      <c r="CF3" s="1665">
        <f t="shared" si="22"/>
        <v>11870.46014616</v>
      </c>
      <c r="CG3" s="1655">
        <f t="shared" ref="CG3:CG9" si="34">CF3</f>
        <v>11870.46014616</v>
      </c>
      <c r="CH3" s="1661">
        <f t="shared" si="23"/>
        <v>0</v>
      </c>
      <c r="CI3" s="1547">
        <f t="shared" si="24"/>
        <v>0</v>
      </c>
      <c r="CJ3" s="1674">
        <f t="shared" si="25"/>
        <v>11870.46014616</v>
      </c>
      <c r="CK3" s="1675" t="e">
        <f t="shared" si="26"/>
        <v>#DIV/0!</v>
      </c>
      <c r="CM3" s="1013">
        <f t="shared" si="27"/>
        <v>10915.906450421655</v>
      </c>
      <c r="CN3" s="1032">
        <f>(BW3-CM3)/CM3</f>
        <v>-1</v>
      </c>
    </row>
    <row r="4" spans="1:106" x14ac:dyDescent="0.3">
      <c r="A4" s="1342">
        <v>1979</v>
      </c>
      <c r="B4" s="1336">
        <f>D4</f>
        <v>52628</v>
      </c>
      <c r="C4" s="1468">
        <f t="shared" si="0"/>
        <v>54645.617335999996</v>
      </c>
      <c r="D4" s="1316">
        <v>52628</v>
      </c>
      <c r="E4" s="1316">
        <f t="shared" si="1"/>
        <v>54645.617335999996</v>
      </c>
      <c r="F4" s="1316">
        <v>25</v>
      </c>
      <c r="G4" s="1507">
        <v>50583</v>
      </c>
      <c r="H4" s="1346">
        <v>28945</v>
      </c>
      <c r="I4" s="1507">
        <f t="shared" si="2"/>
        <v>32418.400000000001</v>
      </c>
      <c r="J4" s="1316">
        <v>26655</v>
      </c>
      <c r="K4" s="1316">
        <v>26655</v>
      </c>
      <c r="L4" s="1315">
        <f t="shared" si="3"/>
        <v>30173.459999999995</v>
      </c>
      <c r="M4" s="1525"/>
      <c r="N4" s="1380" t="str">
        <f t="shared" si="28"/>
        <v/>
      </c>
      <c r="O4" s="1430">
        <f t="shared" si="4"/>
        <v>0.9260788776669715</v>
      </c>
      <c r="P4" s="1339">
        <f t="shared" si="5"/>
        <v>0.64089516240634203</v>
      </c>
      <c r="Q4" s="1334">
        <f t="shared" si="6"/>
        <v>0.52695569657790164</v>
      </c>
      <c r="R4" s="1335">
        <f t="shared" si="7"/>
        <v>0.59651384852618461</v>
      </c>
      <c r="S4" s="1317"/>
      <c r="T4" s="1317"/>
      <c r="U4" s="1559">
        <f t="shared" si="8"/>
        <v>0.64</v>
      </c>
      <c r="V4" s="1560">
        <f t="shared" si="9"/>
        <v>0.35910483759365797</v>
      </c>
      <c r="W4" s="1470"/>
      <c r="X4" s="1470"/>
      <c r="Y4" s="1316">
        <f>(C4-F4)*U4</f>
        <v>34957.195095039999</v>
      </c>
      <c r="Z4" s="1316">
        <f>(C4-F4)*R4</f>
        <v>32581.954655973394</v>
      </c>
      <c r="AA4" s="1315"/>
      <c r="AB4" s="1621"/>
      <c r="AC4" s="1622">
        <f t="shared" si="29"/>
        <v>19663.422240959997</v>
      </c>
      <c r="AD4" s="2214">
        <f t="shared" si="30"/>
        <v>34957.195095039999</v>
      </c>
      <c r="AE4" s="2215">
        <f t="shared" si="31"/>
        <v>19663.422240959997</v>
      </c>
      <c r="AF4" s="2208">
        <f t="shared" si="32"/>
        <v>1453.542240959996</v>
      </c>
      <c r="AG4" s="1347">
        <v>0</v>
      </c>
      <c r="AH4" s="1347"/>
      <c r="AI4" s="1337"/>
      <c r="AJ4" s="2307"/>
      <c r="AK4" s="1337"/>
      <c r="AL4" s="1337"/>
      <c r="AM4" s="1337"/>
      <c r="AN4" s="1337"/>
      <c r="AO4" s="1403"/>
      <c r="AP4" s="1403"/>
      <c r="AQ4" s="1337"/>
      <c r="AR4" s="1513"/>
      <c r="AS4" s="1428"/>
      <c r="AT4" s="1338"/>
      <c r="AU4" s="2307"/>
      <c r="AV4" s="1316">
        <f t="shared" si="10"/>
        <v>32418.400000000001</v>
      </c>
      <c r="AW4" s="1316">
        <f t="shared" si="11"/>
        <v>30173.459999999995</v>
      </c>
      <c r="AX4" s="1348">
        <f>AU4/AW4</f>
        <v>0</v>
      </c>
      <c r="AY4" s="1335">
        <f t="shared" si="12"/>
        <v>7.3050091308423964E-2</v>
      </c>
      <c r="AZ4" s="1335">
        <f t="shared" si="13"/>
        <v>0.13724039459353587</v>
      </c>
      <c r="BA4" s="1316">
        <f t="shared" si="14"/>
        <v>2368.1670800730117</v>
      </c>
      <c r="BB4" s="1349">
        <f>AW4*AZ4</f>
        <v>4141.0175566522703</v>
      </c>
      <c r="BC4" s="1316">
        <f t="shared" si="15"/>
        <v>34786.567080073015</v>
      </c>
      <c r="BD4" s="1316">
        <f t="shared" si="16"/>
        <v>34314.477556652266</v>
      </c>
      <c r="BE4" s="2299"/>
      <c r="BF4" s="1337"/>
      <c r="BG4" s="1337"/>
      <c r="BH4" s="1348">
        <f t="shared" ref="BH4:BH48" si="35">IF((L4+AU4)/AD4&gt;1,1,(L4+AU4)/AD4)</f>
        <v>0.86315449274364819</v>
      </c>
      <c r="BI4" s="1348">
        <f t="shared" si="33"/>
        <v>0.50647944060196093</v>
      </c>
      <c r="BJ4" s="1344"/>
      <c r="BK4" s="1326"/>
      <c r="BL4" s="1326"/>
      <c r="BM4" s="1345"/>
      <c r="BN4" s="1345"/>
      <c r="BO4" s="1345"/>
      <c r="BP4" s="1345"/>
      <c r="BQ4" s="2071">
        <v>1</v>
      </c>
      <c r="BR4" s="1316"/>
      <c r="BS4" s="1316"/>
      <c r="BT4" s="1316"/>
      <c r="BU4" s="1316"/>
      <c r="BV4" s="1316"/>
      <c r="BW4" s="1935">
        <f t="shared" si="17"/>
        <v>0</v>
      </c>
      <c r="BX4" s="2215"/>
      <c r="BY4" s="1456"/>
      <c r="BZ4" s="1468">
        <f t="shared" si="18"/>
        <v>54645.617335999996</v>
      </c>
      <c r="CA4" s="1469">
        <f t="shared" si="19"/>
        <v>0</v>
      </c>
      <c r="CB4" s="1469">
        <f t="shared" si="20"/>
        <v>25</v>
      </c>
      <c r="CC4" s="1470">
        <v>0.64</v>
      </c>
      <c r="CD4" s="1470">
        <f t="shared" si="21"/>
        <v>1</v>
      </c>
      <c r="CE4" s="1470">
        <f>1</f>
        <v>1</v>
      </c>
      <c r="CF4" s="1665">
        <f t="shared" si="22"/>
        <v>34957.195095039999</v>
      </c>
      <c r="CG4" s="1655">
        <f t="shared" si="34"/>
        <v>34957.195095039999</v>
      </c>
      <c r="CH4" s="1661">
        <f t="shared" si="23"/>
        <v>0</v>
      </c>
      <c r="CI4" s="1547">
        <f t="shared" si="24"/>
        <v>0</v>
      </c>
      <c r="CJ4" s="1674">
        <f t="shared" si="25"/>
        <v>34957.195095039999</v>
      </c>
      <c r="CK4" s="1675" t="e">
        <f t="shared" si="26"/>
        <v>#DIV/0!</v>
      </c>
      <c r="CM4" s="1013">
        <f t="shared" si="27"/>
        <v>32581.954655973394</v>
      </c>
      <c r="CN4" s="1032">
        <f>(BW4-CM4)/CM4</f>
        <v>-1</v>
      </c>
    </row>
    <row r="5" spans="1:106" x14ac:dyDescent="0.3">
      <c r="A5" s="1342">
        <v>1980</v>
      </c>
      <c r="B5" s="1336">
        <v>58886</v>
      </c>
      <c r="C5" s="1468">
        <f t="shared" si="0"/>
        <v>61175.897733999991</v>
      </c>
      <c r="D5" s="1316">
        <v>58882</v>
      </c>
      <c r="E5" s="1316">
        <f t="shared" si="1"/>
        <v>61171.897733999991</v>
      </c>
      <c r="F5" s="1316">
        <v>107</v>
      </c>
      <c r="G5" s="1507">
        <v>52657</v>
      </c>
      <c r="H5" s="1346">
        <v>29906</v>
      </c>
      <c r="I5" s="1507">
        <f t="shared" si="2"/>
        <v>33494.720000000001</v>
      </c>
      <c r="J5" s="1316">
        <v>26573</v>
      </c>
      <c r="K5" s="1316">
        <v>26573</v>
      </c>
      <c r="L5" s="1315">
        <f t="shared" si="3"/>
        <v>30080.635999999999</v>
      </c>
      <c r="M5" s="1525"/>
      <c r="N5" s="1380" t="str">
        <f t="shared" si="28"/>
        <v/>
      </c>
      <c r="O5" s="1430">
        <f t="shared" si="4"/>
        <v>0.87133005323977353</v>
      </c>
      <c r="P5" s="1339">
        <f t="shared" si="5"/>
        <v>0.63609244734793102</v>
      </c>
      <c r="Q5" s="1334">
        <f t="shared" si="6"/>
        <v>0.50464325730672088</v>
      </c>
      <c r="R5" s="1335">
        <f t="shared" si="7"/>
        <v>0.57125616727120798</v>
      </c>
      <c r="S5" s="1317"/>
      <c r="T5" s="1317"/>
      <c r="U5" s="1559">
        <f t="shared" si="8"/>
        <v>0.64</v>
      </c>
      <c r="V5" s="1560">
        <f t="shared" si="9"/>
        <v>0.36390755265206898</v>
      </c>
      <c r="W5" s="1470"/>
      <c r="X5" s="1470"/>
      <c r="Y5" s="1316">
        <f>(C5-F5)*U5</f>
        <v>39084.094549759997</v>
      </c>
      <c r="Z5" s="1316">
        <f>(C5-F5)*R5</f>
        <v>34885.984459002189</v>
      </c>
      <c r="AA5" s="1315"/>
      <c r="AB5" s="1621"/>
      <c r="AC5" s="1622">
        <f t="shared" si="29"/>
        <v>21984.803184239994</v>
      </c>
      <c r="AD5" s="2214">
        <f t="shared" si="30"/>
        <v>39084.094549759997</v>
      </c>
      <c r="AE5" s="2215">
        <f t="shared" si="31"/>
        <v>21984.803184239994</v>
      </c>
      <c r="AF5" s="2208">
        <f t="shared" si="32"/>
        <v>2799.3231842399946</v>
      </c>
      <c r="AG5" s="1347">
        <v>0</v>
      </c>
      <c r="AH5" s="1347"/>
      <c r="AI5" s="1316">
        <v>4</v>
      </c>
      <c r="AJ5" s="2299">
        <v>636</v>
      </c>
      <c r="AK5" s="1316"/>
      <c r="AL5" s="1316"/>
      <c r="AM5" s="1316"/>
      <c r="AN5" s="1316"/>
      <c r="AO5" s="1316"/>
      <c r="AP5" s="1316"/>
      <c r="AQ5" s="1316">
        <f t="shared" ref="AQ5:AQ47" si="36">SUM(-AI5,AJ5,AP5)</f>
        <v>632</v>
      </c>
      <c r="AR5" s="1469">
        <f t="shared" ref="AR5:AR47" si="37">AJ5+AP5</f>
        <v>636</v>
      </c>
      <c r="AS5" s="1429">
        <f t="shared" ref="AS5:AS48" si="38">(AJ5+AP5)*(1-P5)</f>
        <v>231.44520348671588</v>
      </c>
      <c r="AT5" s="1316">
        <f t="shared" ref="AT5:AT48" si="39">(AR5-AO5)*U5</f>
        <v>407.04</v>
      </c>
      <c r="AU5" s="2299">
        <f t="shared" ref="AU5:AU48" si="40">AR5*U5</f>
        <v>407.04</v>
      </c>
      <c r="AV5" s="1316">
        <f t="shared" si="10"/>
        <v>33901.760000000002</v>
      </c>
      <c r="AW5" s="1316">
        <f t="shared" si="11"/>
        <v>30487.675999999999</v>
      </c>
      <c r="AX5" s="1348">
        <f t="shared" ref="AX5:AX46" si="41">AU5/AW5</f>
        <v>1.3350968437213779E-2</v>
      </c>
      <c r="AY5" s="1335">
        <f t="shared" si="12"/>
        <v>0.13412037288226714</v>
      </c>
      <c r="AZ5" s="1335">
        <f t="shared" si="13"/>
        <v>0.2213255512011838</v>
      </c>
      <c r="BA5" s="1316">
        <f t="shared" si="14"/>
        <v>4546.9166925651289</v>
      </c>
      <c r="BB5" s="1349">
        <f t="shared" ref="BB5:BB47" si="42">AW5*AZ5</f>
        <v>6747.7016955431027</v>
      </c>
      <c r="BC5" s="1316">
        <f t="shared" si="15"/>
        <v>38448.676692565132</v>
      </c>
      <c r="BD5" s="1316">
        <f t="shared" si="16"/>
        <v>37235.377695543102</v>
      </c>
      <c r="BE5" s="2299"/>
      <c r="BF5" s="1316">
        <f t="shared" ref="BF5:BF48" si="43">AD5-AW5</f>
        <v>8596.4185497599974</v>
      </c>
      <c r="BG5" s="1348">
        <f t="shared" ref="BG5:BG48" si="44">BF5/AD5</f>
        <v>0.21994672382176972</v>
      </c>
      <c r="BH5" s="1348">
        <f t="shared" si="35"/>
        <v>0.78005327617823028</v>
      </c>
      <c r="BI5" s="1348">
        <f t="shared" si="33"/>
        <v>0.45820522400733671</v>
      </c>
      <c r="BJ5" s="1344"/>
      <c r="BK5" s="1316">
        <f t="shared" ref="BK5:BK46" si="45">L5+AU5+BF5</f>
        <v>39084.094549759997</v>
      </c>
      <c r="BL5" s="1344" t="b">
        <f t="shared" ref="BL5:BL46" si="46">BK5=AD5</f>
        <v>1</v>
      </c>
      <c r="BM5" s="1345"/>
      <c r="BN5" s="1345"/>
      <c r="BO5" s="1345"/>
      <c r="BP5" s="1345"/>
      <c r="BQ5" s="2071">
        <v>1</v>
      </c>
      <c r="BR5" s="1316"/>
      <c r="BS5" s="1316"/>
      <c r="BT5" s="1316"/>
      <c r="BU5" s="1316"/>
      <c r="BV5" s="1316"/>
      <c r="BW5" s="1935">
        <f t="shared" si="17"/>
        <v>0</v>
      </c>
      <c r="BX5" s="2215"/>
      <c r="BY5" s="1456"/>
      <c r="BZ5" s="1468">
        <f t="shared" si="18"/>
        <v>61171.897733999991</v>
      </c>
      <c r="CA5" s="1469">
        <f t="shared" si="19"/>
        <v>4</v>
      </c>
      <c r="CB5" s="1469">
        <f t="shared" si="20"/>
        <v>107</v>
      </c>
      <c r="CC5" s="1470">
        <v>0.64</v>
      </c>
      <c r="CD5" s="1470">
        <f t="shared" si="21"/>
        <v>1</v>
      </c>
      <c r="CE5" s="1470">
        <f>1</f>
        <v>1</v>
      </c>
      <c r="CF5" s="1665">
        <f t="shared" si="22"/>
        <v>39084.094549759997</v>
      </c>
      <c r="CG5" s="1655">
        <f t="shared" si="34"/>
        <v>39084.094549759997</v>
      </c>
      <c r="CH5" s="1661">
        <f t="shared" si="23"/>
        <v>0</v>
      </c>
      <c r="CI5" s="1547">
        <f t="shared" si="24"/>
        <v>0</v>
      </c>
      <c r="CJ5" s="1674">
        <f t="shared" si="25"/>
        <v>39084.094549759997</v>
      </c>
      <c r="CK5" s="1675" t="e">
        <f t="shared" si="26"/>
        <v>#DIV/0!</v>
      </c>
      <c r="CM5" s="1013">
        <f t="shared" si="27"/>
        <v>34885.984459002189</v>
      </c>
      <c r="CN5" s="1014" t="e">
        <f t="shared" ref="CN5:CN47" si="47">(BW5-CM5)/BW5</f>
        <v>#DIV/0!</v>
      </c>
    </row>
    <row r="6" spans="1:106" x14ac:dyDescent="0.3">
      <c r="A6" s="1342">
        <v>1981</v>
      </c>
      <c r="B6" s="1336">
        <v>56037</v>
      </c>
      <c r="C6" s="1468">
        <f t="shared" si="0"/>
        <v>58203.034968999993</v>
      </c>
      <c r="D6" s="1316">
        <v>56037</v>
      </c>
      <c r="E6" s="1316">
        <f t="shared" si="1"/>
        <v>58203.034968999993</v>
      </c>
      <c r="F6" s="1316">
        <v>236</v>
      </c>
      <c r="G6" s="1507">
        <v>47139</v>
      </c>
      <c r="H6" s="1346">
        <v>30649</v>
      </c>
      <c r="I6" s="1507">
        <f t="shared" si="2"/>
        <v>34326.880000000005</v>
      </c>
      <c r="J6" s="1316">
        <v>28234</v>
      </c>
      <c r="K6" s="1316">
        <v>28234</v>
      </c>
      <c r="L6" s="1315">
        <f t="shared" si="3"/>
        <v>31960.887999999995</v>
      </c>
      <c r="M6" s="1525"/>
      <c r="N6" s="1380" t="str">
        <f t="shared" si="28"/>
        <v/>
      </c>
      <c r="O6" s="1430">
        <f t="shared" si="4"/>
        <v>0.83490915345486749</v>
      </c>
      <c r="P6" s="1339">
        <f t="shared" si="5"/>
        <v>0.72820551984556325</v>
      </c>
      <c r="Q6" s="1334">
        <f t="shared" si="6"/>
        <v>0.59895203546956877</v>
      </c>
      <c r="R6" s="1335">
        <f t="shared" si="7"/>
        <v>0.67801370415155171</v>
      </c>
      <c r="S6" s="1317"/>
      <c r="T6" s="1317"/>
      <c r="U6" s="1559">
        <f t="shared" si="8"/>
        <v>0.73</v>
      </c>
      <c r="V6" s="1560">
        <f t="shared" si="9"/>
        <v>0.27179448015443675</v>
      </c>
      <c r="W6" s="1470"/>
      <c r="X6" s="1470"/>
      <c r="Y6" s="1316">
        <f t="shared" ref="Y6:Y46" si="48">(C6-F6)*U6</f>
        <v>42315.935527369991</v>
      </c>
      <c r="Z6" s="1316">
        <f t="shared" ref="Z6:Z46" si="49">(C6-F6)*R6</f>
        <v>39302.444098014217</v>
      </c>
      <c r="AA6" s="1315"/>
      <c r="AB6" s="1621"/>
      <c r="AC6" s="1622">
        <f t="shared" si="29"/>
        <v>15651.099441630002</v>
      </c>
      <c r="AD6" s="2214">
        <f t="shared" si="30"/>
        <v>42315.935527369991</v>
      </c>
      <c r="AE6" s="2215">
        <f t="shared" si="31"/>
        <v>15651.099441630002</v>
      </c>
      <c r="AF6" s="2208">
        <f t="shared" si="32"/>
        <v>2516.6794416299981</v>
      </c>
      <c r="AG6" s="1347">
        <v>0</v>
      </c>
      <c r="AH6" s="1347"/>
      <c r="AI6" s="1316">
        <v>0</v>
      </c>
      <c r="AJ6" s="2299">
        <v>1507</v>
      </c>
      <c r="AK6" s="1316"/>
      <c r="AL6" s="1316"/>
      <c r="AM6" s="1316"/>
      <c r="AN6" s="1316"/>
      <c r="AO6" s="1316"/>
      <c r="AP6" s="1316"/>
      <c r="AQ6" s="1316">
        <f t="shared" si="36"/>
        <v>1507</v>
      </c>
      <c r="AR6" s="1469">
        <f t="shared" si="37"/>
        <v>1507</v>
      </c>
      <c r="AS6" s="1429">
        <f t="shared" si="38"/>
        <v>409.59428159273619</v>
      </c>
      <c r="AT6" s="1316">
        <f t="shared" si="39"/>
        <v>1100.1099999999999</v>
      </c>
      <c r="AU6" s="2299">
        <f t="shared" si="40"/>
        <v>1100.1099999999999</v>
      </c>
      <c r="AV6" s="1316">
        <f t="shared" si="10"/>
        <v>35426.990000000005</v>
      </c>
      <c r="AW6" s="1316">
        <f t="shared" si="11"/>
        <v>33060.997999999992</v>
      </c>
      <c r="AX6" s="1350">
        <f t="shared" si="41"/>
        <v>3.3275160054152028E-2</v>
      </c>
      <c r="AY6" s="1335">
        <f t="shared" si="12"/>
        <v>0.16619256515542064</v>
      </c>
      <c r="AZ6" s="1335">
        <f t="shared" si="13"/>
        <v>0.22187840582048426</v>
      </c>
      <c r="BA6" s="1316">
        <f t="shared" si="14"/>
        <v>5887.7023438354363</v>
      </c>
      <c r="BB6" s="1316">
        <f t="shared" si="42"/>
        <v>7335.5215310742169</v>
      </c>
      <c r="BC6" s="1316">
        <f t="shared" si="15"/>
        <v>41314.692343835442</v>
      </c>
      <c r="BD6" s="1316">
        <f t="shared" si="16"/>
        <v>40396.519531074213</v>
      </c>
      <c r="BE6" s="2299"/>
      <c r="BF6" s="1316">
        <f t="shared" si="43"/>
        <v>9254.9375273699989</v>
      </c>
      <c r="BG6" s="1348">
        <f t="shared" si="44"/>
        <v>0.21871045534096475</v>
      </c>
      <c r="BH6" s="1348">
        <f t="shared" si="35"/>
        <v>0.78128954465903522</v>
      </c>
      <c r="BI6" s="1348">
        <f t="shared" si="33"/>
        <v>0.52347752377893175</v>
      </c>
      <c r="BJ6" s="1344"/>
      <c r="BK6" s="1316">
        <f t="shared" si="45"/>
        <v>42315.935527369991</v>
      </c>
      <c r="BL6" s="1344" t="b">
        <f t="shared" si="46"/>
        <v>1</v>
      </c>
      <c r="BM6" s="1345"/>
      <c r="BN6" s="1345"/>
      <c r="BO6" s="1345"/>
      <c r="BP6" s="1345"/>
      <c r="BQ6" s="2071">
        <v>1</v>
      </c>
      <c r="BR6" s="1316"/>
      <c r="BS6" s="1316"/>
      <c r="BT6" s="1316"/>
      <c r="BU6" s="1316"/>
      <c r="BV6" s="1316"/>
      <c r="BW6" s="1935">
        <f t="shared" si="17"/>
        <v>0</v>
      </c>
      <c r="BX6" s="2215"/>
      <c r="BY6" s="1456"/>
      <c r="BZ6" s="1468">
        <f t="shared" si="18"/>
        <v>58203.034968999993</v>
      </c>
      <c r="CA6" s="1469">
        <f t="shared" si="19"/>
        <v>0</v>
      </c>
      <c r="CB6" s="1469">
        <f t="shared" si="20"/>
        <v>236</v>
      </c>
      <c r="CC6" s="1470">
        <v>0.73</v>
      </c>
      <c r="CD6" s="1470">
        <f t="shared" si="21"/>
        <v>1</v>
      </c>
      <c r="CE6" s="1470">
        <f>1</f>
        <v>1</v>
      </c>
      <c r="CF6" s="1665">
        <f t="shared" si="22"/>
        <v>42315.935527369991</v>
      </c>
      <c r="CG6" s="1655">
        <f t="shared" si="34"/>
        <v>42315.935527369991</v>
      </c>
      <c r="CH6" s="1661">
        <f t="shared" si="23"/>
        <v>0</v>
      </c>
      <c r="CI6" s="1547">
        <f t="shared" si="24"/>
        <v>0</v>
      </c>
      <c r="CJ6" s="1674">
        <f t="shared" si="25"/>
        <v>42315.935527369991</v>
      </c>
      <c r="CK6" s="1675" t="e">
        <f t="shared" si="26"/>
        <v>#DIV/0!</v>
      </c>
      <c r="CM6" s="1013">
        <f t="shared" si="27"/>
        <v>39302.444098014217</v>
      </c>
      <c r="CN6" s="1014" t="e">
        <f t="shared" si="47"/>
        <v>#DIV/0!</v>
      </c>
    </row>
    <row r="7" spans="1:106" x14ac:dyDescent="0.3">
      <c r="A7" s="1342">
        <v>1982</v>
      </c>
      <c r="B7" s="1336">
        <v>50319</v>
      </c>
      <c r="C7" s="1468">
        <f t="shared" si="0"/>
        <v>52231.736702999995</v>
      </c>
      <c r="D7" s="1316">
        <v>50219</v>
      </c>
      <c r="E7" s="1316">
        <f t="shared" si="1"/>
        <v>52131.736702999995</v>
      </c>
      <c r="F7" s="1316">
        <v>257</v>
      </c>
      <c r="G7" s="1507">
        <v>41111</v>
      </c>
      <c r="H7" s="1346">
        <v>17379</v>
      </c>
      <c r="I7" s="1507">
        <f t="shared" si="2"/>
        <v>21513.659999999996</v>
      </c>
      <c r="J7" s="1316">
        <v>19005</v>
      </c>
      <c r="K7" s="1316">
        <v>19005</v>
      </c>
      <c r="L7" s="1315">
        <f t="shared" si="3"/>
        <v>21513.659999999996</v>
      </c>
      <c r="M7" s="1525"/>
      <c r="N7" s="1380">
        <f t="shared" si="28"/>
        <v>2049.179999999993</v>
      </c>
      <c r="O7" s="1430">
        <f t="shared" si="4"/>
        <v>0.80295334795327467</v>
      </c>
      <c r="P7" s="1339">
        <f t="shared" si="5"/>
        <v>0.52330665758556094</v>
      </c>
      <c r="Q7" s="1334">
        <f t="shared" si="6"/>
        <v>0.46228503320279246</v>
      </c>
      <c r="R7" s="1335">
        <f t="shared" si="7"/>
        <v>0.52330665758556094</v>
      </c>
      <c r="S7" s="1317"/>
      <c r="T7" s="1317"/>
      <c r="U7" s="1559">
        <f t="shared" si="8"/>
        <v>0.52</v>
      </c>
      <c r="V7" s="1560">
        <f t="shared" si="9"/>
        <v>0.47669334241443906</v>
      </c>
      <c r="W7" s="1470"/>
      <c r="X7" s="1470"/>
      <c r="Y7" s="1316">
        <f t="shared" si="48"/>
        <v>27026.863085559999</v>
      </c>
      <c r="Z7" s="1316">
        <f t="shared" si="49"/>
        <v>27198.725742936505</v>
      </c>
      <c r="AA7" s="1315"/>
      <c r="AB7" s="1621"/>
      <c r="AC7" s="1622">
        <f t="shared" si="29"/>
        <v>24947.873617439996</v>
      </c>
      <c r="AD7" s="2214">
        <f t="shared" si="30"/>
        <v>27026.863085559999</v>
      </c>
      <c r="AE7" s="2215">
        <f t="shared" si="31"/>
        <v>24947.873617439996</v>
      </c>
      <c r="AF7" s="2208">
        <f t="shared" si="32"/>
        <v>4842.5936174399976</v>
      </c>
      <c r="AG7" s="1347">
        <v>0</v>
      </c>
      <c r="AH7" s="1347"/>
      <c r="AI7" s="1316">
        <v>100</v>
      </c>
      <c r="AJ7" s="2299">
        <v>775</v>
      </c>
      <c r="AK7" s="1316"/>
      <c r="AL7" s="1316"/>
      <c r="AM7" s="1316"/>
      <c r="AN7" s="1316"/>
      <c r="AO7" s="1316"/>
      <c r="AP7" s="1316"/>
      <c r="AQ7" s="1316">
        <f t="shared" si="36"/>
        <v>675</v>
      </c>
      <c r="AR7" s="1469">
        <f t="shared" si="37"/>
        <v>775</v>
      </c>
      <c r="AS7" s="1429">
        <f t="shared" si="38"/>
        <v>369.43734037119026</v>
      </c>
      <c r="AT7" s="1316">
        <f t="shared" si="39"/>
        <v>403</v>
      </c>
      <c r="AU7" s="2299">
        <f t="shared" si="40"/>
        <v>403</v>
      </c>
      <c r="AV7" s="1316">
        <f t="shared" si="10"/>
        <v>21916.659999999996</v>
      </c>
      <c r="AW7" s="1316">
        <f t="shared" si="11"/>
        <v>21916.659999999996</v>
      </c>
      <c r="AX7" s="1350">
        <f t="shared" si="41"/>
        <v>1.8387838292878572E-2</v>
      </c>
      <c r="AY7" s="1335">
        <f t="shared" si="12"/>
        <v>0.19343905006519013</v>
      </c>
      <c r="AZ7" s="1335">
        <f t="shared" si="13"/>
        <v>0.19343905006519013</v>
      </c>
      <c r="BA7" s="1316">
        <f t="shared" si="14"/>
        <v>4239.5378910017489</v>
      </c>
      <c r="BB7" s="1316">
        <f t="shared" si="42"/>
        <v>4239.5378910017489</v>
      </c>
      <c r="BC7" s="1316">
        <f t="shared" si="15"/>
        <v>26156.197891001746</v>
      </c>
      <c r="BD7" s="1316">
        <f t="shared" si="16"/>
        <v>26156.197891001746</v>
      </c>
      <c r="BE7" s="2299"/>
      <c r="BF7" s="1316">
        <f t="shared" si="43"/>
        <v>5110.2030855600024</v>
      </c>
      <c r="BG7" s="1348">
        <f t="shared" si="44"/>
        <v>0.18907866108554414</v>
      </c>
      <c r="BH7" s="1348">
        <f t="shared" si="35"/>
        <v>0.81092133891445584</v>
      </c>
      <c r="BI7" s="1348">
        <f t="shared" si="33"/>
        <v>0.38646727334275871</v>
      </c>
      <c r="BJ7" s="1344"/>
      <c r="BK7" s="1316">
        <f t="shared" si="45"/>
        <v>27026.863085559999</v>
      </c>
      <c r="BL7" s="1344" t="b">
        <f t="shared" si="46"/>
        <v>1</v>
      </c>
      <c r="BM7" s="1345"/>
      <c r="BN7" s="1345"/>
      <c r="BO7" s="1345"/>
      <c r="BP7" s="1345"/>
      <c r="BQ7" s="2071">
        <v>1</v>
      </c>
      <c r="BR7" s="1316"/>
      <c r="BS7" s="1316"/>
      <c r="BT7" s="1316"/>
      <c r="BU7" s="1316"/>
      <c r="BV7" s="1316"/>
      <c r="BW7" s="1935">
        <f t="shared" si="17"/>
        <v>0</v>
      </c>
      <c r="BX7" s="2215"/>
      <c r="BY7" s="1456"/>
      <c r="BZ7" s="1468">
        <f t="shared" si="18"/>
        <v>52131.736702999995</v>
      </c>
      <c r="CA7" s="1469">
        <f t="shared" si="19"/>
        <v>100</v>
      </c>
      <c r="CB7" s="1469">
        <f t="shared" si="20"/>
        <v>257</v>
      </c>
      <c r="CC7" s="1470">
        <v>0.52</v>
      </c>
      <c r="CD7" s="1470">
        <f t="shared" si="21"/>
        <v>1</v>
      </c>
      <c r="CE7" s="1470">
        <f>1</f>
        <v>1</v>
      </c>
      <c r="CF7" s="1665">
        <f t="shared" si="22"/>
        <v>27026.863085559999</v>
      </c>
      <c r="CG7" s="1655">
        <f t="shared" si="34"/>
        <v>27026.863085559999</v>
      </c>
      <c r="CH7" s="1661">
        <f t="shared" si="23"/>
        <v>0</v>
      </c>
      <c r="CI7" s="1547">
        <f t="shared" si="24"/>
        <v>0</v>
      </c>
      <c r="CJ7" s="1674">
        <f t="shared" si="25"/>
        <v>27026.863085559999</v>
      </c>
      <c r="CK7" s="1675" t="e">
        <f t="shared" si="26"/>
        <v>#DIV/0!</v>
      </c>
      <c r="CM7" s="1013">
        <f t="shared" si="27"/>
        <v>27198.725742936505</v>
      </c>
      <c r="CN7" s="1014" t="e">
        <f t="shared" si="47"/>
        <v>#DIV/0!</v>
      </c>
    </row>
    <row r="8" spans="1:106" x14ac:dyDescent="0.3">
      <c r="A8" s="1342">
        <v>1983</v>
      </c>
      <c r="B8" s="1336">
        <v>100610</v>
      </c>
      <c r="C8" s="1468">
        <f t="shared" si="0"/>
        <v>104712.996099</v>
      </c>
      <c r="D8" s="1316">
        <v>100527</v>
      </c>
      <c r="E8" s="1316">
        <f t="shared" si="1"/>
        <v>104629.996099</v>
      </c>
      <c r="F8" s="1316">
        <v>241</v>
      </c>
      <c r="G8" s="1507">
        <v>86424</v>
      </c>
      <c r="H8" s="1346">
        <v>26079</v>
      </c>
      <c r="I8" s="1507">
        <f t="shared" si="2"/>
        <v>31611.1</v>
      </c>
      <c r="J8" s="1316">
        <v>27925</v>
      </c>
      <c r="K8" s="1316">
        <v>27925</v>
      </c>
      <c r="L8" s="1315">
        <f t="shared" si="3"/>
        <v>31611.1</v>
      </c>
      <c r="M8" s="1525"/>
      <c r="N8" s="1380">
        <f t="shared" si="28"/>
        <v>2402.6199999999953</v>
      </c>
      <c r="O8" s="1430">
        <f t="shared" si="4"/>
        <v>0.85464239919662199</v>
      </c>
      <c r="P8" s="1339">
        <f t="shared" si="5"/>
        <v>0.36576761084883824</v>
      </c>
      <c r="Q8" s="1334">
        <f t="shared" si="6"/>
        <v>0.32311626400074056</v>
      </c>
      <c r="R8" s="1335">
        <f t="shared" si="7"/>
        <v>0.36576761084883824</v>
      </c>
      <c r="S8" s="1317"/>
      <c r="T8" s="1317"/>
      <c r="U8" s="1559">
        <f t="shared" si="8"/>
        <v>0.37</v>
      </c>
      <c r="V8" s="1560">
        <f t="shared" si="9"/>
        <v>0.63423238915116176</v>
      </c>
      <c r="W8" s="1470"/>
      <c r="X8" s="1470"/>
      <c r="Y8" s="1316">
        <f t="shared" si="48"/>
        <v>38654.638556630001</v>
      </c>
      <c r="Z8" s="1316">
        <f t="shared" si="49"/>
        <v>38212.472413740375</v>
      </c>
      <c r="AA8" s="1315"/>
      <c r="AB8" s="1621"/>
      <c r="AC8" s="1622">
        <f t="shared" si="29"/>
        <v>65817.357542369995</v>
      </c>
      <c r="AD8" s="2214">
        <f t="shared" si="30"/>
        <v>38654.638556630001</v>
      </c>
      <c r="AE8" s="2215">
        <f t="shared" si="31"/>
        <v>65817.357542369995</v>
      </c>
      <c r="AF8" s="2208">
        <f t="shared" si="32"/>
        <v>9260.367542369997</v>
      </c>
      <c r="AG8" s="1347">
        <v>0</v>
      </c>
      <c r="AH8" s="1347"/>
      <c r="AI8" s="1316">
        <v>83</v>
      </c>
      <c r="AJ8" s="2299">
        <v>3349</v>
      </c>
      <c r="AK8" s="1316"/>
      <c r="AL8" s="1316"/>
      <c r="AM8" s="1316"/>
      <c r="AN8" s="1316"/>
      <c r="AO8" s="1316"/>
      <c r="AP8" s="1316"/>
      <c r="AQ8" s="1316">
        <f t="shared" si="36"/>
        <v>3266</v>
      </c>
      <c r="AR8" s="1469">
        <f t="shared" si="37"/>
        <v>3349</v>
      </c>
      <c r="AS8" s="1429">
        <f t="shared" si="38"/>
        <v>2124.0442712672407</v>
      </c>
      <c r="AT8" s="1316">
        <f t="shared" si="39"/>
        <v>1239.1299999999999</v>
      </c>
      <c r="AU8" s="2299">
        <f t="shared" si="40"/>
        <v>1239.1299999999999</v>
      </c>
      <c r="AV8" s="1316">
        <f t="shared" si="10"/>
        <v>32850.229999999996</v>
      </c>
      <c r="AW8" s="1316">
        <f t="shared" si="11"/>
        <v>32850.229999999996</v>
      </c>
      <c r="AX8" s="1350">
        <f t="shared" si="41"/>
        <v>3.7720588257677344E-2</v>
      </c>
      <c r="AY8" s="1335">
        <f t="shared" si="12"/>
        <v>0.15223732473929469</v>
      </c>
      <c r="AZ8" s="1335">
        <f t="shared" si="13"/>
        <v>0.15223732473929469</v>
      </c>
      <c r="BA8" s="1316">
        <f t="shared" si="14"/>
        <v>5001.0311322705202</v>
      </c>
      <c r="BB8" s="1316">
        <f t="shared" si="42"/>
        <v>5001.0311322705202</v>
      </c>
      <c r="BC8" s="1316">
        <f t="shared" si="15"/>
        <v>37851.26113227052</v>
      </c>
      <c r="BD8" s="1316">
        <f t="shared" si="16"/>
        <v>37851.26113227052</v>
      </c>
      <c r="BE8" s="2299"/>
      <c r="BF8" s="1316">
        <f t="shared" si="43"/>
        <v>5804.4085566300055</v>
      </c>
      <c r="BG8" s="1348">
        <f t="shared" si="44"/>
        <v>0.15016072516436554</v>
      </c>
      <c r="BH8" s="1348">
        <f t="shared" si="35"/>
        <v>0.84983927483563448</v>
      </c>
      <c r="BI8" s="1348">
        <f t="shared" si="33"/>
        <v>0.29011240761188539</v>
      </c>
      <c r="BJ8" s="1344"/>
      <c r="BK8" s="1316">
        <f t="shared" si="45"/>
        <v>38654.638556630001</v>
      </c>
      <c r="BL8" s="1344" t="b">
        <f t="shared" si="46"/>
        <v>1</v>
      </c>
      <c r="BM8" s="1345"/>
      <c r="BN8" s="1345"/>
      <c r="BO8" s="1345"/>
      <c r="BP8" s="1345"/>
      <c r="BQ8" s="2071">
        <v>1</v>
      </c>
      <c r="BR8" s="1316"/>
      <c r="BS8" s="1316"/>
      <c r="BT8" s="1316"/>
      <c r="BU8" s="1316"/>
      <c r="BV8" s="1316"/>
      <c r="BW8" s="1935">
        <f t="shared" si="17"/>
        <v>0</v>
      </c>
      <c r="BX8" s="2215"/>
      <c r="BY8" s="1456"/>
      <c r="BZ8" s="1468">
        <f t="shared" si="18"/>
        <v>104629.996099</v>
      </c>
      <c r="CA8" s="1469">
        <f t="shared" si="19"/>
        <v>83</v>
      </c>
      <c r="CB8" s="1469">
        <f t="shared" si="20"/>
        <v>241</v>
      </c>
      <c r="CC8" s="1470">
        <v>0.37</v>
      </c>
      <c r="CD8" s="1470">
        <f t="shared" si="21"/>
        <v>1</v>
      </c>
      <c r="CE8" s="1470">
        <f>1</f>
        <v>1</v>
      </c>
      <c r="CF8" s="1665">
        <f t="shared" si="22"/>
        <v>38654.638556630001</v>
      </c>
      <c r="CG8" s="1655">
        <f t="shared" si="34"/>
        <v>38654.638556630001</v>
      </c>
      <c r="CH8" s="1661">
        <f t="shared" si="23"/>
        <v>0</v>
      </c>
      <c r="CI8" s="1547">
        <f t="shared" si="24"/>
        <v>0</v>
      </c>
      <c r="CJ8" s="1674">
        <f t="shared" si="25"/>
        <v>38654.638556630001</v>
      </c>
      <c r="CK8" s="1675" t="e">
        <f t="shared" si="26"/>
        <v>#DIV/0!</v>
      </c>
      <c r="CM8" s="1013">
        <f t="shared" si="27"/>
        <v>38212.472413740375</v>
      </c>
      <c r="CN8" s="1014" t="e">
        <f t="shared" si="47"/>
        <v>#DIV/0!</v>
      </c>
    </row>
    <row r="9" spans="1:106" x14ac:dyDescent="0.3">
      <c r="A9" s="1342">
        <v>1984</v>
      </c>
      <c r="B9" s="1336">
        <v>161890</v>
      </c>
      <c r="C9" s="1468">
        <f t="shared" si="0"/>
        <v>168257.70376499998</v>
      </c>
      <c r="D9" s="1316">
        <v>152545</v>
      </c>
      <c r="E9" s="1316">
        <f t="shared" si="1"/>
        <v>158912.70376499998</v>
      </c>
      <c r="F9" s="1316">
        <v>149</v>
      </c>
      <c r="G9" s="1507">
        <v>109092</v>
      </c>
      <c r="H9" s="1346">
        <v>73290</v>
      </c>
      <c r="I9" s="1507">
        <f t="shared" si="2"/>
        <v>91753.127999999997</v>
      </c>
      <c r="J9" s="1316">
        <v>81054</v>
      </c>
      <c r="K9" s="1316">
        <v>81054</v>
      </c>
      <c r="L9" s="1315">
        <f t="shared" si="3"/>
        <v>91753.127999999997</v>
      </c>
      <c r="M9" s="1525"/>
      <c r="N9" s="1380">
        <f t="shared" si="28"/>
        <v>9668.3279999999941</v>
      </c>
      <c r="O9" s="1430">
        <f t="shared" si="4"/>
        <v>0.76026165190016559</v>
      </c>
      <c r="P9" s="1339">
        <f t="shared" si="5"/>
        <v>0.84106192938070612</v>
      </c>
      <c r="Q9" s="1334">
        <f t="shared" si="6"/>
        <v>0.74298757012429872</v>
      </c>
      <c r="R9" s="1335">
        <f t="shared" si="7"/>
        <v>0.84106192938070612</v>
      </c>
      <c r="S9" s="1317"/>
      <c r="T9" s="1317"/>
      <c r="U9" s="1559">
        <f t="shared" si="8"/>
        <v>0.84</v>
      </c>
      <c r="V9" s="1560">
        <f t="shared" si="9"/>
        <v>0.15893807061929388</v>
      </c>
      <c r="W9" s="1470"/>
      <c r="X9" s="1470"/>
      <c r="Y9" s="1316">
        <f t="shared" si="48"/>
        <v>141211.31116259997</v>
      </c>
      <c r="Z9" s="1316">
        <f t="shared" si="49"/>
        <v>141389.83073428046</v>
      </c>
      <c r="AA9" s="1315"/>
      <c r="AB9" s="1621"/>
      <c r="AC9" s="1622">
        <f t="shared" si="29"/>
        <v>26897.39260240001</v>
      </c>
      <c r="AD9" s="2214">
        <f t="shared" si="30"/>
        <v>141211.31116259997</v>
      </c>
      <c r="AE9" s="2215">
        <f t="shared" si="31"/>
        <v>26897.39260240001</v>
      </c>
      <c r="AF9" s="2208">
        <f t="shared" si="32"/>
        <v>5504.1126023999968</v>
      </c>
      <c r="AG9" s="1347">
        <v>0</v>
      </c>
      <c r="AH9" s="1347"/>
      <c r="AI9" s="1316">
        <v>9345</v>
      </c>
      <c r="AJ9" s="2299">
        <v>24616</v>
      </c>
      <c r="AK9" s="1316"/>
      <c r="AL9" s="1316"/>
      <c r="AM9" s="1316"/>
      <c r="AN9" s="1316"/>
      <c r="AO9" s="1316"/>
      <c r="AP9" s="1316"/>
      <c r="AQ9" s="1316">
        <f t="shared" si="36"/>
        <v>15271</v>
      </c>
      <c r="AR9" s="1469">
        <f t="shared" si="37"/>
        <v>24616</v>
      </c>
      <c r="AS9" s="1429">
        <f t="shared" si="38"/>
        <v>3912.4195463645383</v>
      </c>
      <c r="AT9" s="1316">
        <f t="shared" si="39"/>
        <v>20677.439999999999</v>
      </c>
      <c r="AU9" s="2299">
        <f t="shared" si="40"/>
        <v>20677.439999999999</v>
      </c>
      <c r="AV9" s="1316">
        <f t="shared" si="10"/>
        <v>112430.568</v>
      </c>
      <c r="AW9" s="1316">
        <f t="shared" si="11"/>
        <v>112430.568</v>
      </c>
      <c r="AX9" s="1350">
        <f t="shared" si="41"/>
        <v>0.18391297284916322</v>
      </c>
      <c r="AY9" s="1335">
        <f t="shared" si="12"/>
        <v>0.2165452393924015</v>
      </c>
      <c r="AZ9" s="1335">
        <f t="shared" si="13"/>
        <v>0.2165452393924015</v>
      </c>
      <c r="BA9" s="1316">
        <f t="shared" si="14"/>
        <v>24346.304262583675</v>
      </c>
      <c r="BB9" s="1316">
        <f t="shared" si="42"/>
        <v>24346.304262583675</v>
      </c>
      <c r="BC9" s="1316">
        <f t="shared" si="15"/>
        <v>136776.87226258367</v>
      </c>
      <c r="BD9" s="1316">
        <f t="shared" si="16"/>
        <v>136776.87226258367</v>
      </c>
      <c r="BE9" s="2299"/>
      <c r="BF9" s="1316">
        <f t="shared" si="43"/>
        <v>28780.743162599974</v>
      </c>
      <c r="BG9" s="1348">
        <f t="shared" si="44"/>
        <v>0.20381329884728525</v>
      </c>
      <c r="BH9" s="1348">
        <f t="shared" si="35"/>
        <v>0.79618670115271473</v>
      </c>
      <c r="BI9" s="1348">
        <f t="shared" si="33"/>
        <v>0.66689462125930055</v>
      </c>
      <c r="BJ9" s="1344"/>
      <c r="BK9" s="1316">
        <f t="shared" si="45"/>
        <v>141211.31116259997</v>
      </c>
      <c r="BL9" s="1344" t="b">
        <f t="shared" si="46"/>
        <v>1</v>
      </c>
      <c r="BM9" s="1345"/>
      <c r="BN9" s="1345"/>
      <c r="BO9" s="1345"/>
      <c r="BP9" s="1345"/>
      <c r="BQ9" s="2071">
        <v>1</v>
      </c>
      <c r="BR9" s="1316"/>
      <c r="BS9" s="1316"/>
      <c r="BT9" s="1316"/>
      <c r="BU9" s="1316"/>
      <c r="BV9" s="1316"/>
      <c r="BW9" s="1935">
        <f t="shared" si="17"/>
        <v>0</v>
      </c>
      <c r="BX9" s="2215"/>
      <c r="BY9" s="1456"/>
      <c r="BZ9" s="1468">
        <f t="shared" si="18"/>
        <v>158912.70376499998</v>
      </c>
      <c r="CA9" s="1469">
        <f t="shared" si="19"/>
        <v>9345</v>
      </c>
      <c r="CB9" s="1469">
        <f t="shared" si="20"/>
        <v>149</v>
      </c>
      <c r="CC9" s="1470">
        <v>0.84</v>
      </c>
      <c r="CD9" s="1470">
        <f t="shared" si="21"/>
        <v>1</v>
      </c>
      <c r="CE9" s="1470">
        <f>1</f>
        <v>1</v>
      </c>
      <c r="CF9" s="1665">
        <f t="shared" si="22"/>
        <v>141211.31116259997</v>
      </c>
      <c r="CG9" s="1655">
        <f t="shared" si="34"/>
        <v>141211.31116259997</v>
      </c>
      <c r="CH9" s="1661">
        <f t="shared" si="23"/>
        <v>0</v>
      </c>
      <c r="CI9" s="1547">
        <f t="shared" si="24"/>
        <v>0</v>
      </c>
      <c r="CJ9" s="1674">
        <f t="shared" si="25"/>
        <v>141211.31116259997</v>
      </c>
      <c r="CK9" s="1675" t="e">
        <f t="shared" si="26"/>
        <v>#DIV/0!</v>
      </c>
      <c r="CM9" s="1013">
        <f t="shared" si="27"/>
        <v>141389.83073428046</v>
      </c>
      <c r="CN9" s="1014" t="e">
        <f t="shared" si="47"/>
        <v>#DIV/0!</v>
      </c>
    </row>
    <row r="10" spans="1:106" x14ac:dyDescent="0.3">
      <c r="A10" s="1342">
        <v>1985</v>
      </c>
      <c r="B10" s="1336">
        <v>200758</v>
      </c>
      <c r="C10" s="1468">
        <f t="shared" si="0"/>
        <v>205521</v>
      </c>
      <c r="D10" s="1536">
        <v>166340</v>
      </c>
      <c r="E10" s="1536">
        <f t="shared" ref="E10:E19" si="50">ROUND(D10*VLOOKUP(A10,BON_Count_Adjustment,5)+VLOOKUP(A10,BON_Count_Adjustment,4),0)</f>
        <v>173308</v>
      </c>
      <c r="F10" s="1536">
        <v>59</v>
      </c>
      <c r="G10" s="1507">
        <v>103200</v>
      </c>
      <c r="H10" s="1346">
        <v>54077</v>
      </c>
      <c r="I10" s="1507">
        <f t="shared" si="2"/>
        <v>60566.240000000005</v>
      </c>
      <c r="J10" s="1316">
        <v>52989</v>
      </c>
      <c r="K10" s="1316">
        <v>52989</v>
      </c>
      <c r="L10" s="1315">
        <f t="shared" si="3"/>
        <v>59983.547999999995</v>
      </c>
      <c r="M10" s="1525"/>
      <c r="N10" s="1380" t="str">
        <f t="shared" si="28"/>
        <v/>
      </c>
      <c r="O10" s="1430">
        <f t="shared" si="4"/>
        <v>0.66369547182188271</v>
      </c>
      <c r="P10" s="1543">
        <f t="shared" si="5"/>
        <v>0.58688217054263569</v>
      </c>
      <c r="Q10" s="1334">
        <f t="shared" si="6"/>
        <v>0.51345930232558135</v>
      </c>
      <c r="R10" s="1335">
        <f t="shared" si="7"/>
        <v>0.58123593023255804</v>
      </c>
      <c r="S10" s="1317"/>
      <c r="T10" s="1317">
        <v>0.51892511237550554</v>
      </c>
      <c r="U10" s="1559">
        <f t="shared" ref="U10:U19" si="51">MIN(ROUND(P10,2),ROUND(1-V10,2))</f>
        <v>0.59</v>
      </c>
      <c r="V10" s="1560">
        <f t="shared" ref="V10:V19" si="52">MAX(1-P10,M10/G10)</f>
        <v>0.41311782945736431</v>
      </c>
      <c r="W10" s="1529">
        <f>G10*V10</f>
        <v>42633.759999999995</v>
      </c>
      <c r="X10" s="1531">
        <f>(E10-F10-AQ10-G10)/E10</f>
        <v>0.30173448427077804</v>
      </c>
      <c r="Y10" s="1316">
        <f t="shared" si="48"/>
        <v>121222.57999999999</v>
      </c>
      <c r="Z10" s="1316">
        <f t="shared" si="49"/>
        <v>119421.89669744184</v>
      </c>
      <c r="AA10" s="1315"/>
      <c r="AB10" s="1621"/>
      <c r="AC10" s="1622">
        <f t="shared" si="29"/>
        <v>84239</v>
      </c>
      <c r="AD10" s="2214">
        <f>ROUND(Y10,0)</f>
        <v>121223</v>
      </c>
      <c r="AE10" s="2215">
        <f t="shared" si="31"/>
        <v>84239</v>
      </c>
      <c r="AF10" s="2208">
        <f>(E10-F10-AR10)*X10</f>
        <v>37197.827220901519</v>
      </c>
      <c r="AG10" s="1347">
        <v>0</v>
      </c>
      <c r="AH10" s="1347"/>
      <c r="AI10" s="1536">
        <v>32213</v>
      </c>
      <c r="AJ10" s="2299">
        <v>49969</v>
      </c>
      <c r="AK10" s="1316"/>
      <c r="AL10" s="1316"/>
      <c r="AM10" s="1316"/>
      <c r="AN10" s="1316"/>
      <c r="AO10" s="1316"/>
      <c r="AP10" s="1316"/>
      <c r="AQ10" s="1562">
        <f t="shared" si="36"/>
        <v>17756</v>
      </c>
      <c r="AR10" s="1469">
        <f t="shared" si="37"/>
        <v>49969</v>
      </c>
      <c r="AS10" s="1429">
        <f t="shared" si="38"/>
        <v>20643.084820155036</v>
      </c>
      <c r="AT10" s="1316">
        <f t="shared" si="39"/>
        <v>29481.71</v>
      </c>
      <c r="AU10" s="2299">
        <f t="shared" si="40"/>
        <v>29481.71</v>
      </c>
      <c r="AV10" s="1316">
        <f t="shared" si="10"/>
        <v>90047.950000000012</v>
      </c>
      <c r="AW10" s="1316">
        <f t="shared" si="11"/>
        <v>89465.258000000002</v>
      </c>
      <c r="AX10" s="1350">
        <f t="shared" si="41"/>
        <v>0.32953249852585231</v>
      </c>
      <c r="AY10" s="1335">
        <f t="shared" si="12"/>
        <v>0.30522166277496354</v>
      </c>
      <c r="AZ10" s="1335">
        <f t="shared" si="13"/>
        <v>0.31092026618231955</v>
      </c>
      <c r="BA10" s="1316">
        <f t="shared" si="14"/>
        <v>27484.58502847678</v>
      </c>
      <c r="BB10" s="1316">
        <f t="shared" si="42"/>
        <v>27816.561831429895</v>
      </c>
      <c r="BC10" s="1316">
        <f t="shared" si="15"/>
        <v>117532.53502847679</v>
      </c>
      <c r="BD10" s="1316">
        <f t="shared" si="16"/>
        <v>117281.81983142989</v>
      </c>
      <c r="BE10" s="2299"/>
      <c r="BF10" s="1316">
        <f t="shared" si="43"/>
        <v>31757.741999999998</v>
      </c>
      <c r="BG10" s="1348">
        <f t="shared" si="44"/>
        <v>0.26197785898715586</v>
      </c>
      <c r="BH10" s="1348">
        <f t="shared" si="35"/>
        <v>0.73802214101284414</v>
      </c>
      <c r="BI10" s="1348">
        <f t="shared" si="33"/>
        <v>0.49579602019959113</v>
      </c>
      <c r="BJ10" s="1344"/>
      <c r="BK10" s="1316">
        <f t="shared" si="45"/>
        <v>121223</v>
      </c>
      <c r="BL10" s="1344" t="b">
        <f t="shared" si="46"/>
        <v>1</v>
      </c>
      <c r="BM10" s="1345"/>
      <c r="BN10" s="1345"/>
      <c r="BO10" s="1345"/>
      <c r="BP10" s="1345"/>
      <c r="BQ10" s="2071">
        <v>1</v>
      </c>
      <c r="BR10" s="1316"/>
      <c r="BS10" s="1316"/>
      <c r="BT10" s="1938"/>
      <c r="BU10" s="1938"/>
      <c r="BV10" s="1316"/>
      <c r="BW10" s="1935">
        <f t="shared" si="17"/>
        <v>0</v>
      </c>
      <c r="BX10" s="2215"/>
      <c r="BY10" s="1456"/>
      <c r="BZ10" s="1468">
        <f t="shared" si="18"/>
        <v>173308</v>
      </c>
      <c r="CA10" s="1469">
        <f>AI10</f>
        <v>32213</v>
      </c>
      <c r="CB10" s="1469">
        <f t="shared" si="20"/>
        <v>59</v>
      </c>
      <c r="CC10" s="1470">
        <f t="shared" ref="CC10:CC48" si="53">U10</f>
        <v>0.59</v>
      </c>
      <c r="CD10" s="1470">
        <f>1-BV10</f>
        <v>1</v>
      </c>
      <c r="CE10" s="1470">
        <f>1</f>
        <v>1</v>
      </c>
      <c r="CF10" s="1665">
        <f t="shared" ref="CF10:CF28" si="54">(BZ10+CA10-CB10)*CC10*CD10*CE10</f>
        <v>121222.57999999999</v>
      </c>
      <c r="CG10" s="1666">
        <v>121223</v>
      </c>
      <c r="CH10" s="1661">
        <f>$CG10-$CF10</f>
        <v>0.42000000001280569</v>
      </c>
      <c r="CI10" s="1547">
        <f>CH10/CF10</f>
        <v>3.4647010483756884E-6</v>
      </c>
      <c r="CJ10" s="1674">
        <f>$CG10-$BW10</f>
        <v>121223</v>
      </c>
      <c r="CK10" s="1675" t="e">
        <f>CJ10/BW10</f>
        <v>#DIV/0!</v>
      </c>
      <c r="CL10" s="1668"/>
      <c r="CM10" s="1013">
        <f t="shared" si="27"/>
        <v>119421.89669744184</v>
      </c>
      <c r="CN10" s="1014" t="e">
        <f t="shared" si="47"/>
        <v>#DIV/0!</v>
      </c>
    </row>
    <row r="11" spans="1:106" x14ac:dyDescent="0.3">
      <c r="A11" s="1342">
        <v>1986</v>
      </c>
      <c r="B11" s="1336">
        <v>59963</v>
      </c>
      <c r="C11" s="1468">
        <f t="shared" si="0"/>
        <v>62220</v>
      </c>
      <c r="D11" s="1536">
        <v>58123</v>
      </c>
      <c r="E11" s="1536">
        <f t="shared" si="50"/>
        <v>60380</v>
      </c>
      <c r="F11" s="1536">
        <v>24</v>
      </c>
      <c r="G11" s="1507">
        <v>49788</v>
      </c>
      <c r="H11" s="1346">
        <v>32908</v>
      </c>
      <c r="I11" s="1507">
        <f t="shared" si="2"/>
        <v>39380.015999999996</v>
      </c>
      <c r="J11" s="1316">
        <v>34788</v>
      </c>
      <c r="K11" s="1316">
        <v>34788</v>
      </c>
      <c r="L11" s="1315">
        <f t="shared" si="3"/>
        <v>39380.015999999996</v>
      </c>
      <c r="M11" s="1525"/>
      <c r="N11" s="1380">
        <f t="shared" si="28"/>
        <v>2523.0559999999896</v>
      </c>
      <c r="O11" s="1430">
        <f t="shared" si="4"/>
        <v>0.89669332180678629</v>
      </c>
      <c r="P11" s="1543">
        <f t="shared" si="5"/>
        <v>0.79095396481079772</v>
      </c>
      <c r="Q11" s="1334">
        <f t="shared" si="6"/>
        <v>0.69872258375512175</v>
      </c>
      <c r="R11" s="1335">
        <f t="shared" si="7"/>
        <v>0.79095396481079772</v>
      </c>
      <c r="S11" s="1317"/>
      <c r="T11" s="1317">
        <v>0.6732987535805528</v>
      </c>
      <c r="U11" s="1559">
        <f t="shared" si="51"/>
        <v>0.79</v>
      </c>
      <c r="V11" s="1560">
        <f t="shared" si="52"/>
        <v>0.20904603518920228</v>
      </c>
      <c r="W11" s="1529">
        <f>G11*V11</f>
        <v>10407.984000000004</v>
      </c>
      <c r="X11" s="1531">
        <f>(E11-F11-AQ11-G11)/E11</f>
        <v>9.4998343822457768E-2</v>
      </c>
      <c r="Y11" s="1316">
        <f t="shared" si="48"/>
        <v>49134.840000000004</v>
      </c>
      <c r="Z11" s="1316">
        <f t="shared" si="49"/>
        <v>49194.172795372375</v>
      </c>
      <c r="AA11" s="1315"/>
      <c r="AB11" s="1621"/>
      <c r="AC11" s="1622">
        <f t="shared" si="29"/>
        <v>13061</v>
      </c>
      <c r="AD11" s="2214">
        <f t="shared" ref="AD11:AD48" si="55">ROUND(Y11,0)</f>
        <v>49135</v>
      </c>
      <c r="AE11" s="2215">
        <f t="shared" si="31"/>
        <v>13061</v>
      </c>
      <c r="AF11" s="2208">
        <f>(E11-F11-AR11)*X11</f>
        <v>5099.8910897648229</v>
      </c>
      <c r="AG11" s="1347">
        <v>0</v>
      </c>
      <c r="AH11" s="1347"/>
      <c r="AI11" s="1536">
        <v>1840</v>
      </c>
      <c r="AJ11" s="2299">
        <v>6672</v>
      </c>
      <c r="AK11" s="1316"/>
      <c r="AL11" s="1316"/>
      <c r="AM11" s="1316"/>
      <c r="AN11" s="1316"/>
      <c r="AO11" s="1316"/>
      <c r="AP11" s="1316"/>
      <c r="AQ11" s="1562">
        <f t="shared" si="36"/>
        <v>4832</v>
      </c>
      <c r="AR11" s="1469">
        <f t="shared" si="37"/>
        <v>6672</v>
      </c>
      <c r="AS11" s="1429">
        <f t="shared" si="38"/>
        <v>1394.7551467823575</v>
      </c>
      <c r="AT11" s="1316">
        <f t="shared" si="39"/>
        <v>5270.88</v>
      </c>
      <c r="AU11" s="2299">
        <f t="shared" si="40"/>
        <v>5270.88</v>
      </c>
      <c r="AV11" s="1316">
        <f t="shared" si="10"/>
        <v>44650.895999999993</v>
      </c>
      <c r="AW11" s="1316">
        <f t="shared" si="11"/>
        <v>44650.895999999993</v>
      </c>
      <c r="AX11" s="1350">
        <f t="shared" si="41"/>
        <v>0.1180464553275706</v>
      </c>
      <c r="AY11" s="1335">
        <f t="shared" si="12"/>
        <v>9.4400107337076308E-2</v>
      </c>
      <c r="AZ11" s="1335">
        <f t="shared" si="13"/>
        <v>9.4400107337076308E-2</v>
      </c>
      <c r="BA11" s="1316">
        <f t="shared" si="14"/>
        <v>4215.0493750966307</v>
      </c>
      <c r="BB11" s="1316">
        <f t="shared" si="42"/>
        <v>4215.0493750966307</v>
      </c>
      <c r="BC11" s="1316">
        <f t="shared" si="15"/>
        <v>48865.94537509662</v>
      </c>
      <c r="BD11" s="1316">
        <f t="shared" si="16"/>
        <v>48865.94537509662</v>
      </c>
      <c r="BE11" s="2299"/>
      <c r="BF11" s="1316">
        <f t="shared" si="43"/>
        <v>4484.1040000000066</v>
      </c>
      <c r="BG11" s="1348">
        <f t="shared" si="44"/>
        <v>9.1260893456802827E-2</v>
      </c>
      <c r="BH11" s="1348">
        <f t="shared" si="35"/>
        <v>0.90873910654319723</v>
      </c>
      <c r="BI11" s="1348">
        <f t="shared" si="33"/>
        <v>0.68920874696763756</v>
      </c>
      <c r="BJ11" s="1344"/>
      <c r="BK11" s="1316">
        <f t="shared" si="45"/>
        <v>49135</v>
      </c>
      <c r="BL11" s="1344" t="b">
        <f t="shared" si="46"/>
        <v>1</v>
      </c>
      <c r="BM11" s="1345"/>
      <c r="BN11" s="1345"/>
      <c r="BO11" s="1345"/>
      <c r="BP11" s="1345"/>
      <c r="BQ11" s="2071">
        <v>1</v>
      </c>
      <c r="BR11" s="1316"/>
      <c r="BS11" s="1316"/>
      <c r="BT11" s="1938"/>
      <c r="BU11" s="1938"/>
      <c r="BV11" s="1316"/>
      <c r="BW11" s="1935">
        <f t="shared" si="17"/>
        <v>0</v>
      </c>
      <c r="BX11" s="2215"/>
      <c r="BY11" s="1456"/>
      <c r="BZ11" s="1468">
        <f t="shared" si="18"/>
        <v>60380</v>
      </c>
      <c r="CA11" s="1469">
        <f t="shared" ref="CA11:CA32" si="56">AI11</f>
        <v>1840</v>
      </c>
      <c r="CB11" s="1469">
        <f t="shared" si="20"/>
        <v>24</v>
      </c>
      <c r="CC11" s="1470">
        <f t="shared" si="53"/>
        <v>0.79</v>
      </c>
      <c r="CD11" s="1470">
        <f t="shared" ref="CD11:CD46" si="57">1-BV11</f>
        <v>1</v>
      </c>
      <c r="CE11" s="1470">
        <f>1</f>
        <v>1</v>
      </c>
      <c r="CF11" s="1665">
        <f t="shared" si="54"/>
        <v>49134.840000000004</v>
      </c>
      <c r="CG11" s="1666">
        <v>49135</v>
      </c>
      <c r="CH11" s="1661">
        <f t="shared" ref="CH11:CH46" si="58">$CG11-$CF11</f>
        <v>0.1599999999962165</v>
      </c>
      <c r="CI11" s="1547">
        <f t="shared" ref="CI11:CI46" si="59">CH11/CF11</f>
        <v>3.2563451920514341E-6</v>
      </c>
      <c r="CJ11" s="1674">
        <f t="shared" ref="CJ11:CJ46" si="60">$CG11-$BW11</f>
        <v>49135</v>
      </c>
      <c r="CK11" s="1675" t="e">
        <f t="shared" ref="CK11:CK46" si="61">CJ11/BW11</f>
        <v>#DIV/0!</v>
      </c>
      <c r="CL11" s="1668"/>
      <c r="CM11" s="1013">
        <f t="shared" si="27"/>
        <v>49194.172795372375</v>
      </c>
      <c r="CN11" s="1014" t="e">
        <f t="shared" si="47"/>
        <v>#DIV/0!</v>
      </c>
    </row>
    <row r="12" spans="1:106" x14ac:dyDescent="0.3">
      <c r="A12" s="1342">
        <v>1987</v>
      </c>
      <c r="B12" s="1336">
        <v>145546</v>
      </c>
      <c r="C12" s="1468">
        <f t="shared" si="0"/>
        <v>150366</v>
      </c>
      <c r="D12" s="1536">
        <v>116993</v>
      </c>
      <c r="E12" s="1536">
        <f t="shared" si="50"/>
        <v>121813</v>
      </c>
      <c r="F12" s="1536">
        <v>55</v>
      </c>
      <c r="G12" s="1507">
        <v>69868</v>
      </c>
      <c r="H12" s="1346">
        <v>41115</v>
      </c>
      <c r="I12" s="1507">
        <f t="shared" si="2"/>
        <v>46048.800000000003</v>
      </c>
      <c r="J12" s="1316">
        <v>40120</v>
      </c>
      <c r="K12" s="1316">
        <v>40120</v>
      </c>
      <c r="L12" s="1315">
        <f t="shared" si="3"/>
        <v>45415.839999999997</v>
      </c>
      <c r="M12" s="1525"/>
      <c r="N12" s="1380" t="str">
        <f t="shared" si="28"/>
        <v/>
      </c>
      <c r="O12" s="1430">
        <f t="shared" si="4"/>
        <v>0.63085660626089157</v>
      </c>
      <c r="P12" s="1543">
        <f t="shared" si="5"/>
        <v>0.6590828419304976</v>
      </c>
      <c r="Q12" s="1334">
        <f t="shared" si="6"/>
        <v>0.57422568271597874</v>
      </c>
      <c r="R12" s="1335">
        <f t="shared" si="7"/>
        <v>0.6500234728344878</v>
      </c>
      <c r="S12" s="1317">
        <v>0.44000000000000006</v>
      </c>
      <c r="T12" s="1317">
        <v>0.58252145252856702</v>
      </c>
      <c r="U12" s="1559">
        <f t="shared" si="51"/>
        <v>0.66</v>
      </c>
      <c r="V12" s="1560">
        <f t="shared" si="52"/>
        <v>0.3409171580695024</v>
      </c>
      <c r="W12" s="1529">
        <f>G12*V12</f>
        <v>23819.199999999993</v>
      </c>
      <c r="X12" s="1531">
        <f>(E12-F12-AQ12-G12)/E12</f>
        <v>0.33562099283327723</v>
      </c>
      <c r="Y12" s="1316">
        <f t="shared" si="48"/>
        <v>99205.260000000009</v>
      </c>
      <c r="Z12" s="1316">
        <f t="shared" si="49"/>
        <v>97705.678225224692</v>
      </c>
      <c r="AA12" s="1315">
        <f t="shared" ref="AA12:AA18" si="62">S12*D12</f>
        <v>51476.920000000006</v>
      </c>
      <c r="AB12" s="1621"/>
      <c r="AC12" s="1622">
        <f t="shared" si="29"/>
        <v>51106</v>
      </c>
      <c r="AD12" s="2214">
        <f t="shared" si="55"/>
        <v>99205</v>
      </c>
      <c r="AE12" s="2215">
        <f t="shared" si="31"/>
        <v>51106</v>
      </c>
      <c r="AF12" s="2208">
        <f t="shared" ref="AF12:AF47" si="63">(E12-F12-AR12)*X12*V12</f>
        <v>9405.0092684481351</v>
      </c>
      <c r="AG12" s="1347">
        <v>0</v>
      </c>
      <c r="AH12" s="1347"/>
      <c r="AI12" s="1536">
        <v>28553</v>
      </c>
      <c r="AJ12" s="2299">
        <v>39560</v>
      </c>
      <c r="AK12" s="1316"/>
      <c r="AL12" s="1316"/>
      <c r="AM12" s="1316"/>
      <c r="AN12" s="1316"/>
      <c r="AO12" s="1316"/>
      <c r="AP12" s="1316"/>
      <c r="AQ12" s="1562">
        <f t="shared" si="36"/>
        <v>11007</v>
      </c>
      <c r="AR12" s="1469">
        <f t="shared" si="37"/>
        <v>39560</v>
      </c>
      <c r="AS12" s="1429">
        <f t="shared" si="38"/>
        <v>13486.682773229515</v>
      </c>
      <c r="AT12" s="1316">
        <f t="shared" si="39"/>
        <v>26109.600000000002</v>
      </c>
      <c r="AU12" s="2299">
        <f t="shared" si="40"/>
        <v>26109.600000000002</v>
      </c>
      <c r="AV12" s="1316">
        <f t="shared" si="10"/>
        <v>72158.400000000009</v>
      </c>
      <c r="AW12" s="1316">
        <f t="shared" si="11"/>
        <v>71525.440000000002</v>
      </c>
      <c r="AX12" s="1350">
        <f t="shared" si="41"/>
        <v>0.36503934823749423</v>
      </c>
      <c r="AY12" s="1335">
        <f t="shared" si="12"/>
        <v>0.33686955340637625</v>
      </c>
      <c r="AZ12" s="1335">
        <f t="shared" si="13"/>
        <v>0.34474252511736203</v>
      </c>
      <c r="BA12" s="1316">
        <f t="shared" si="14"/>
        <v>24307.967982518665</v>
      </c>
      <c r="BB12" s="1316">
        <f t="shared" si="42"/>
        <v>24657.860795730372</v>
      </c>
      <c r="BC12" s="1316">
        <f t="shared" si="15"/>
        <v>96466.36798251867</v>
      </c>
      <c r="BD12" s="1316">
        <f t="shared" si="16"/>
        <v>96183.300795730378</v>
      </c>
      <c r="BE12" s="2299"/>
      <c r="BF12" s="1316">
        <f t="shared" si="43"/>
        <v>27679.559999999998</v>
      </c>
      <c r="BG12" s="1348">
        <f t="shared" si="44"/>
        <v>0.27901375938712764</v>
      </c>
      <c r="BH12" s="1348">
        <f t="shared" si="35"/>
        <v>0.72098624061287231</v>
      </c>
      <c r="BI12" s="1348">
        <f t="shared" si="33"/>
        <v>0.56609882642551268</v>
      </c>
      <c r="BJ12" s="1344"/>
      <c r="BK12" s="1316">
        <f t="shared" si="45"/>
        <v>99205</v>
      </c>
      <c r="BL12" s="1344" t="b">
        <f t="shared" si="46"/>
        <v>1</v>
      </c>
      <c r="BM12" s="1345"/>
      <c r="BN12" s="1345"/>
      <c r="BO12" s="1345"/>
      <c r="BP12" s="1345"/>
      <c r="BQ12" s="2071">
        <v>1</v>
      </c>
      <c r="BR12" s="1316"/>
      <c r="BS12" s="1316"/>
      <c r="BT12" s="1938"/>
      <c r="BU12" s="1938"/>
      <c r="BV12" s="1316"/>
      <c r="BW12" s="1935">
        <f t="shared" si="17"/>
        <v>0</v>
      </c>
      <c r="BX12" s="2215"/>
      <c r="BY12" s="1456"/>
      <c r="BZ12" s="1468">
        <f t="shared" si="18"/>
        <v>121813</v>
      </c>
      <c r="CA12" s="1469">
        <f t="shared" si="56"/>
        <v>28553</v>
      </c>
      <c r="CB12" s="1469">
        <f t="shared" si="20"/>
        <v>55</v>
      </c>
      <c r="CC12" s="1470">
        <f t="shared" si="53"/>
        <v>0.66</v>
      </c>
      <c r="CD12" s="1470">
        <f t="shared" si="57"/>
        <v>1</v>
      </c>
      <c r="CE12" s="1470">
        <f>1</f>
        <v>1</v>
      </c>
      <c r="CF12" s="1665">
        <f t="shared" si="54"/>
        <v>99205.260000000009</v>
      </c>
      <c r="CG12" s="1666">
        <v>99205</v>
      </c>
      <c r="CH12" s="1661">
        <f t="shared" si="58"/>
        <v>-0.26000000000931323</v>
      </c>
      <c r="CI12" s="1547">
        <f t="shared" si="59"/>
        <v>-2.6208287746971602E-6</v>
      </c>
      <c r="CJ12" s="1674">
        <f t="shared" si="60"/>
        <v>99205</v>
      </c>
      <c r="CK12" s="1675" t="e">
        <f t="shared" si="61"/>
        <v>#DIV/0!</v>
      </c>
      <c r="CL12" s="1668"/>
      <c r="CM12" s="1013">
        <f t="shared" si="27"/>
        <v>97705.678225224692</v>
      </c>
      <c r="CN12" s="1014" t="e">
        <f t="shared" si="47"/>
        <v>#DIV/0!</v>
      </c>
    </row>
    <row r="13" spans="1:106" x14ac:dyDescent="0.3">
      <c r="A13" s="1342">
        <v>1988</v>
      </c>
      <c r="B13" s="1336">
        <v>99780</v>
      </c>
      <c r="C13" s="1468">
        <f t="shared" si="0"/>
        <v>100543</v>
      </c>
      <c r="D13" s="1536">
        <v>79714</v>
      </c>
      <c r="E13" s="1536">
        <f t="shared" si="50"/>
        <v>82911</v>
      </c>
      <c r="F13" s="1536">
        <v>45</v>
      </c>
      <c r="G13" s="1507">
        <v>49177</v>
      </c>
      <c r="H13" s="1346">
        <v>34089</v>
      </c>
      <c r="I13" s="1507">
        <f t="shared" si="2"/>
        <v>38463.095999999998</v>
      </c>
      <c r="J13" s="1316">
        <v>33978</v>
      </c>
      <c r="K13" s="1316">
        <v>33978</v>
      </c>
      <c r="L13" s="1315">
        <f t="shared" si="3"/>
        <v>38463.095999999998</v>
      </c>
      <c r="M13" s="1525"/>
      <c r="N13" s="1380">
        <f t="shared" si="28"/>
        <v>283.41599999999744</v>
      </c>
      <c r="O13" s="1430">
        <f t="shared" si="4"/>
        <v>0.70750129481498536</v>
      </c>
      <c r="P13" s="1543">
        <f t="shared" si="5"/>
        <v>0.78213587652764505</v>
      </c>
      <c r="Q13" s="1334">
        <f t="shared" si="6"/>
        <v>0.69093275311629421</v>
      </c>
      <c r="R13" s="1335">
        <f t="shared" si="7"/>
        <v>0.78213587652764505</v>
      </c>
      <c r="S13" s="1317">
        <v>0.69</v>
      </c>
      <c r="T13" s="1317">
        <v>0.69249582195410264</v>
      </c>
      <c r="U13" s="1559">
        <f t="shared" si="51"/>
        <v>0.78</v>
      </c>
      <c r="V13" s="1560">
        <f t="shared" si="52"/>
        <v>0.21786412347235495</v>
      </c>
      <c r="W13" s="1529">
        <f>G13*V13</f>
        <v>10713.904</v>
      </c>
      <c r="X13" s="1531">
        <f>(E13-F13-AQ13-G13)/E13</f>
        <v>0.24521474834461049</v>
      </c>
      <c r="Y13" s="1316">
        <f t="shared" si="48"/>
        <v>78388.44</v>
      </c>
      <c r="Z13" s="1316">
        <f t="shared" si="49"/>
        <v>78603.091319275278</v>
      </c>
      <c r="AA13" s="1315">
        <f t="shared" si="62"/>
        <v>55002.659999999996</v>
      </c>
      <c r="AB13" s="1621"/>
      <c r="AC13" s="1622">
        <f t="shared" si="29"/>
        <v>22110</v>
      </c>
      <c r="AD13" s="2214">
        <f t="shared" si="55"/>
        <v>78388</v>
      </c>
      <c r="AE13" s="2215">
        <f t="shared" si="31"/>
        <v>22110</v>
      </c>
      <c r="AF13" s="2208">
        <f t="shared" si="63"/>
        <v>2771.3972894207054</v>
      </c>
      <c r="AG13" s="1347">
        <v>0</v>
      </c>
      <c r="AH13" s="1347"/>
      <c r="AI13" s="1536">
        <v>17632</v>
      </c>
      <c r="AJ13" s="2299">
        <v>30990</v>
      </c>
      <c r="AK13" s="1316"/>
      <c r="AL13" s="1316"/>
      <c r="AM13" s="1316"/>
      <c r="AN13" s="1316"/>
      <c r="AO13" s="1316"/>
      <c r="AP13" s="1316"/>
      <c r="AQ13" s="1562">
        <f t="shared" si="36"/>
        <v>13358</v>
      </c>
      <c r="AR13" s="1469">
        <f t="shared" si="37"/>
        <v>30990</v>
      </c>
      <c r="AS13" s="1429">
        <f t="shared" si="38"/>
        <v>6751.60918640828</v>
      </c>
      <c r="AT13" s="1316">
        <f t="shared" si="39"/>
        <v>24172.2</v>
      </c>
      <c r="AU13" s="2299">
        <f t="shared" si="40"/>
        <v>24172.2</v>
      </c>
      <c r="AV13" s="1316">
        <f t="shared" si="10"/>
        <v>62635.296000000002</v>
      </c>
      <c r="AW13" s="1316">
        <f t="shared" si="11"/>
        <v>62635.296000000002</v>
      </c>
      <c r="AX13" s="1350">
        <f t="shared" si="41"/>
        <v>0.38591978554711387</v>
      </c>
      <c r="AY13" s="1335">
        <f t="shared" si="12"/>
        <v>0.2441333292511062</v>
      </c>
      <c r="AZ13" s="1335">
        <f t="shared" si="13"/>
        <v>0.2441333292511062</v>
      </c>
      <c r="BA13" s="1316">
        <f t="shared" si="14"/>
        <v>15291.363341108496</v>
      </c>
      <c r="BB13" s="1316">
        <f t="shared" si="42"/>
        <v>15291.363341108496</v>
      </c>
      <c r="BC13" s="1316">
        <f t="shared" si="15"/>
        <v>77926.65934110849</v>
      </c>
      <c r="BD13" s="1316">
        <f t="shared" si="16"/>
        <v>77926.65934110849</v>
      </c>
      <c r="BE13" s="2299"/>
      <c r="BF13" s="1316">
        <f t="shared" si="43"/>
        <v>15752.703999999998</v>
      </c>
      <c r="BG13" s="1348">
        <f t="shared" si="44"/>
        <v>0.20095810583252535</v>
      </c>
      <c r="BH13" s="1348">
        <f t="shared" si="35"/>
        <v>0.79904189416747462</v>
      </c>
      <c r="BI13" s="1348">
        <f t="shared" si="33"/>
        <v>0.72948541034197256</v>
      </c>
      <c r="BJ13" s="1344"/>
      <c r="BK13" s="1316">
        <f t="shared" si="45"/>
        <v>78388</v>
      </c>
      <c r="BL13" s="1344" t="b">
        <f t="shared" si="46"/>
        <v>1</v>
      </c>
      <c r="BM13" s="1345"/>
      <c r="BN13" s="1345"/>
      <c r="BO13" s="1345"/>
      <c r="BP13" s="1345"/>
      <c r="BQ13" s="2071">
        <v>1</v>
      </c>
      <c r="BR13" s="1316"/>
      <c r="BS13" s="1316"/>
      <c r="BT13" s="1938"/>
      <c r="BU13" s="1938"/>
      <c r="BV13" s="1316"/>
      <c r="BW13" s="1935">
        <f t="shared" si="17"/>
        <v>0</v>
      </c>
      <c r="BX13" s="2215"/>
      <c r="BY13" s="1456"/>
      <c r="BZ13" s="1468">
        <f t="shared" si="18"/>
        <v>82911</v>
      </c>
      <c r="CA13" s="1469">
        <f t="shared" si="56"/>
        <v>17632</v>
      </c>
      <c r="CB13" s="1469">
        <f t="shared" si="20"/>
        <v>45</v>
      </c>
      <c r="CC13" s="1470">
        <f t="shared" si="53"/>
        <v>0.78</v>
      </c>
      <c r="CD13" s="1470">
        <f t="shared" si="57"/>
        <v>1</v>
      </c>
      <c r="CE13" s="1470">
        <f>1</f>
        <v>1</v>
      </c>
      <c r="CF13" s="1665">
        <f t="shared" si="54"/>
        <v>78388.44</v>
      </c>
      <c r="CG13" s="1666">
        <v>78388</v>
      </c>
      <c r="CH13" s="1661">
        <f t="shared" si="58"/>
        <v>-0.44000000000232831</v>
      </c>
      <c r="CI13" s="1547">
        <f t="shared" si="59"/>
        <v>-5.6130725398072505E-6</v>
      </c>
      <c r="CJ13" s="1674">
        <f t="shared" si="60"/>
        <v>78388</v>
      </c>
      <c r="CK13" s="1675" t="e">
        <f t="shared" si="61"/>
        <v>#DIV/0!</v>
      </c>
      <c r="CL13" s="1668"/>
      <c r="CM13" s="1013">
        <f t="shared" si="27"/>
        <v>78603.091319275278</v>
      </c>
      <c r="CN13" s="1014" t="e">
        <f t="shared" si="47"/>
        <v>#DIV/0!</v>
      </c>
      <c r="CZ13" s="1066"/>
      <c r="DA13" s="1077"/>
      <c r="DB13" s="1077"/>
    </row>
    <row r="14" spans="1:106" x14ac:dyDescent="0.3">
      <c r="A14" s="1342">
        <v>1989</v>
      </c>
      <c r="B14" s="1336">
        <v>47478</v>
      </c>
      <c r="C14" s="1468">
        <f t="shared" si="0"/>
        <v>43470</v>
      </c>
      <c r="D14" s="1536">
        <v>41884</v>
      </c>
      <c r="E14" s="1538">
        <f t="shared" si="50"/>
        <v>43434</v>
      </c>
      <c r="F14" s="1538">
        <v>4</v>
      </c>
      <c r="G14" s="1508">
        <v>37360</v>
      </c>
      <c r="H14" s="1346">
        <v>16175</v>
      </c>
      <c r="I14" s="1507">
        <f t="shared" si="2"/>
        <v>18116</v>
      </c>
      <c r="J14" s="1316">
        <v>15976</v>
      </c>
      <c r="K14" s="1316">
        <v>15976</v>
      </c>
      <c r="L14" s="1315">
        <f t="shared" si="3"/>
        <v>18084.831999999999</v>
      </c>
      <c r="M14" s="1526">
        <v>21802</v>
      </c>
      <c r="N14" s="1380" t="str">
        <f t="shared" si="28"/>
        <v/>
      </c>
      <c r="O14" s="1430">
        <f t="shared" si="4"/>
        <v>0.90398761130468452</v>
      </c>
      <c r="P14" s="1815">
        <f t="shared" si="5"/>
        <v>0.48490364025695931</v>
      </c>
      <c r="Q14" s="1334">
        <f t="shared" si="6"/>
        <v>0.42762312633832977</v>
      </c>
      <c r="R14" s="1335">
        <f t="shared" si="7"/>
        <v>0.48406937901498925</v>
      </c>
      <c r="S14" s="1317">
        <v>0.41499999999999992</v>
      </c>
      <c r="T14" s="1317">
        <v>0.42991308091816688</v>
      </c>
      <c r="U14" s="1816">
        <f t="shared" si="51"/>
        <v>0.42</v>
      </c>
      <c r="V14" s="1560">
        <f t="shared" si="52"/>
        <v>0.58356531049250537</v>
      </c>
      <c r="W14" s="1532">
        <f>G14*V14</f>
        <v>21802</v>
      </c>
      <c r="X14" s="1533">
        <f t="shared" ref="X14:X48" si="64">(E14-F14-AJ14-G14)/E14</f>
        <v>9.0528157664502465E-2</v>
      </c>
      <c r="Y14" s="1316">
        <f t="shared" si="48"/>
        <v>18255.719999999998</v>
      </c>
      <c r="Z14" s="1316">
        <f t="shared" si="49"/>
        <v>21040.559628265524</v>
      </c>
      <c r="AA14" s="1315">
        <f t="shared" si="62"/>
        <v>17381.859999999997</v>
      </c>
      <c r="AB14" s="1468">
        <f t="shared" ref="AB14:AB47" si="65">M14+AF14+AS14</f>
        <v>25084.694901989671</v>
      </c>
      <c r="AC14" s="1622">
        <f t="shared" si="29"/>
        <v>25210</v>
      </c>
      <c r="AD14" s="2214">
        <f t="shared" si="55"/>
        <v>18256</v>
      </c>
      <c r="AE14" s="2216">
        <f t="shared" si="31"/>
        <v>25210</v>
      </c>
      <c r="AF14" s="2208">
        <f t="shared" si="63"/>
        <v>2181.4188848590479</v>
      </c>
      <c r="AG14" s="1347">
        <v>0</v>
      </c>
      <c r="AH14" s="1530">
        <f t="shared" ref="AH14:AH48" si="66">G14*V14-M14</f>
        <v>0</v>
      </c>
      <c r="AI14" s="1536">
        <v>36</v>
      </c>
      <c r="AJ14" s="2299">
        <v>2138</v>
      </c>
      <c r="AK14" s="1316"/>
      <c r="AL14" s="1316"/>
      <c r="AM14" s="1316"/>
      <c r="AN14" s="1316"/>
      <c r="AO14" s="1316"/>
      <c r="AP14" s="1316"/>
      <c r="AQ14" s="1562">
        <f t="shared" si="36"/>
        <v>2102</v>
      </c>
      <c r="AR14" s="1469">
        <f t="shared" si="37"/>
        <v>2138</v>
      </c>
      <c r="AS14" s="1429">
        <f t="shared" si="38"/>
        <v>1101.2760171306211</v>
      </c>
      <c r="AT14" s="1316">
        <f t="shared" si="39"/>
        <v>897.95999999999992</v>
      </c>
      <c r="AU14" s="2299">
        <f t="shared" si="40"/>
        <v>897.95999999999992</v>
      </c>
      <c r="AV14" s="1316">
        <f t="shared" si="10"/>
        <v>19013.96</v>
      </c>
      <c r="AW14" s="1316">
        <f t="shared" si="11"/>
        <v>18982.791999999998</v>
      </c>
      <c r="AX14" s="1350">
        <f t="shared" si="41"/>
        <v>4.7303895022397131E-2</v>
      </c>
      <c r="AY14" s="1335">
        <f t="shared" si="12"/>
        <v>-4.1472886064680574E-2</v>
      </c>
      <c r="AZ14" s="1335">
        <f t="shared" si="13"/>
        <v>-3.9764327704650937E-2</v>
      </c>
      <c r="BA14" s="1316">
        <f t="shared" si="14"/>
        <v>-788.56379671839386</v>
      </c>
      <c r="BB14" s="1316">
        <f t="shared" si="42"/>
        <v>-754.83796183722609</v>
      </c>
      <c r="BC14" s="1316">
        <f t="shared" si="15"/>
        <v>18225.396203281605</v>
      </c>
      <c r="BD14" s="1316">
        <f t="shared" si="16"/>
        <v>18227.95403816277</v>
      </c>
      <c r="BE14" s="2299"/>
      <c r="BF14" s="1316">
        <f t="shared" si="43"/>
        <v>-726.79199999999764</v>
      </c>
      <c r="BG14" s="1348">
        <f t="shared" si="44"/>
        <v>-3.9811130587204077E-2</v>
      </c>
      <c r="BH14" s="1348">
        <f t="shared" si="35"/>
        <v>1</v>
      </c>
      <c r="BI14" s="1348">
        <f t="shared" si="33"/>
        <v>0.40287365103619516</v>
      </c>
      <c r="BJ14" s="1344"/>
      <c r="BK14" s="1316">
        <f t="shared" si="45"/>
        <v>18256</v>
      </c>
      <c r="BL14" s="1344" t="b">
        <f t="shared" si="46"/>
        <v>1</v>
      </c>
      <c r="BM14" s="1345"/>
      <c r="BN14" s="1345"/>
      <c r="BO14" s="1345"/>
      <c r="BP14" s="1345"/>
      <c r="BQ14" s="2071">
        <v>1</v>
      </c>
      <c r="BR14" s="1316"/>
      <c r="BS14" s="1316"/>
      <c r="BT14" s="1938"/>
      <c r="BU14" s="1938"/>
      <c r="BV14" s="1316"/>
      <c r="BW14" s="1935">
        <f t="shared" si="17"/>
        <v>0</v>
      </c>
      <c r="BX14" s="2215"/>
      <c r="BY14" s="1456"/>
      <c r="BZ14" s="1468">
        <f t="shared" si="18"/>
        <v>43434</v>
      </c>
      <c r="CA14" s="1469">
        <f t="shared" si="56"/>
        <v>36</v>
      </c>
      <c r="CB14" s="1469">
        <f t="shared" si="20"/>
        <v>4</v>
      </c>
      <c r="CC14" s="1470">
        <f t="shared" si="53"/>
        <v>0.42</v>
      </c>
      <c r="CD14" s="1470">
        <f t="shared" si="57"/>
        <v>1</v>
      </c>
      <c r="CE14" s="1470">
        <f>1</f>
        <v>1</v>
      </c>
      <c r="CF14" s="1665">
        <f t="shared" si="54"/>
        <v>18255.719999999998</v>
      </c>
      <c r="CG14" s="1666">
        <v>18256</v>
      </c>
      <c r="CH14" s="1661">
        <f t="shared" si="58"/>
        <v>0.28000000000247383</v>
      </c>
      <c r="CI14" s="1547">
        <f t="shared" si="59"/>
        <v>1.5337658553180805E-5</v>
      </c>
      <c r="CJ14" s="1674">
        <f t="shared" si="60"/>
        <v>18256</v>
      </c>
      <c r="CK14" s="1675" t="e">
        <f t="shared" si="61"/>
        <v>#DIV/0!</v>
      </c>
      <c r="CL14" s="1668"/>
      <c r="CM14" s="1013">
        <f t="shared" si="27"/>
        <v>21040.559628265524</v>
      </c>
      <c r="CN14" s="1014" t="e">
        <f t="shared" si="47"/>
        <v>#DIV/0!</v>
      </c>
      <c r="CZ14" s="1066"/>
      <c r="DA14" s="1077"/>
      <c r="DB14" s="1077"/>
    </row>
    <row r="15" spans="1:106" s="1494" customFormat="1" x14ac:dyDescent="0.3">
      <c r="A15" s="1477">
        <v>1990</v>
      </c>
      <c r="B15" s="1478">
        <v>49754</v>
      </c>
      <c r="C15" s="1468">
        <f t="shared" si="0"/>
        <v>51639</v>
      </c>
      <c r="D15" s="1536">
        <v>49581</v>
      </c>
      <c r="E15" s="1536">
        <f t="shared" si="50"/>
        <v>51466</v>
      </c>
      <c r="F15" s="1536">
        <v>1</v>
      </c>
      <c r="G15" s="1507">
        <v>44143</v>
      </c>
      <c r="H15" s="1480">
        <v>9296</v>
      </c>
      <c r="I15" s="1507">
        <f t="shared" si="2"/>
        <v>10411.52</v>
      </c>
      <c r="J15" s="1479">
        <v>7609</v>
      </c>
      <c r="K15" s="1479">
        <v>7609</v>
      </c>
      <c r="L15" s="1485">
        <f t="shared" si="3"/>
        <v>8613.387999999999</v>
      </c>
      <c r="M15" s="1525">
        <v>27325</v>
      </c>
      <c r="N15" s="1481" t="str">
        <f t="shared" si="28"/>
        <v/>
      </c>
      <c r="O15" s="1430">
        <f t="shared" si="4"/>
        <v>0.90231388741261598</v>
      </c>
      <c r="P15" s="1543">
        <f t="shared" si="5"/>
        <v>0.2358589130779512</v>
      </c>
      <c r="Q15" s="1482">
        <f t="shared" si="6"/>
        <v>0.17237161044786262</v>
      </c>
      <c r="R15" s="1483">
        <f t="shared" si="7"/>
        <v>0.19512466302698048</v>
      </c>
      <c r="S15" s="1484">
        <v>0.25</v>
      </c>
      <c r="T15" s="1484">
        <v>0.18606498026300422</v>
      </c>
      <c r="U15" s="1559">
        <f t="shared" si="51"/>
        <v>0.24</v>
      </c>
      <c r="V15" s="1560">
        <f t="shared" si="52"/>
        <v>0.76414108692204885</v>
      </c>
      <c r="W15" s="1529">
        <f t="shared" ref="W15:W48" si="67">G15*V15</f>
        <v>33731.480000000003</v>
      </c>
      <c r="X15" s="1531">
        <f t="shared" si="64"/>
        <v>8.9495977927175216E-2</v>
      </c>
      <c r="Y15" s="1479">
        <f t="shared" si="48"/>
        <v>12393.119999999999</v>
      </c>
      <c r="Z15" s="1479">
        <f t="shared" si="49"/>
        <v>10075.847349387217</v>
      </c>
      <c r="AA15" s="1485">
        <f t="shared" si="62"/>
        <v>12395.25</v>
      </c>
      <c r="AB15" s="1468">
        <f t="shared" si="65"/>
        <v>32734.232054637076</v>
      </c>
      <c r="AC15" s="1622">
        <f t="shared" si="29"/>
        <v>39245</v>
      </c>
      <c r="AD15" s="2214">
        <f t="shared" si="55"/>
        <v>12393</v>
      </c>
      <c r="AE15" s="2215">
        <f t="shared" si="31"/>
        <v>39245</v>
      </c>
      <c r="AF15" s="2208">
        <f t="shared" si="63"/>
        <v>3333.8248625567908</v>
      </c>
      <c r="AG15" s="1486">
        <v>0</v>
      </c>
      <c r="AH15" s="1530">
        <f t="shared" si="66"/>
        <v>6406.4800000000032</v>
      </c>
      <c r="AI15" s="1536">
        <v>173</v>
      </c>
      <c r="AJ15" s="2299">
        <v>2716</v>
      </c>
      <c r="AK15" s="1479"/>
      <c r="AL15" s="1479"/>
      <c r="AM15" s="1479"/>
      <c r="AN15" s="1479"/>
      <c r="AO15" s="1479"/>
      <c r="AP15" s="1479"/>
      <c r="AQ15" s="1562">
        <f t="shared" si="36"/>
        <v>2543</v>
      </c>
      <c r="AR15" s="1469">
        <f t="shared" si="37"/>
        <v>2716</v>
      </c>
      <c r="AS15" s="1487">
        <f t="shared" si="38"/>
        <v>2075.4071920802849</v>
      </c>
      <c r="AT15" s="1479">
        <f t="shared" si="39"/>
        <v>651.84</v>
      </c>
      <c r="AU15" s="2299">
        <f t="shared" si="40"/>
        <v>651.84</v>
      </c>
      <c r="AV15" s="1479">
        <f t="shared" si="10"/>
        <v>11063.36</v>
      </c>
      <c r="AW15" s="1479">
        <f t="shared" si="11"/>
        <v>9265.2279999999992</v>
      </c>
      <c r="AX15" s="1488">
        <f t="shared" si="41"/>
        <v>7.035336853016462E-2</v>
      </c>
      <c r="AY15" s="1483">
        <f t="shared" si="12"/>
        <v>0.10767626523659631</v>
      </c>
      <c r="AZ15" s="1483">
        <f t="shared" si="13"/>
        <v>0.25325230896773288</v>
      </c>
      <c r="BA15" s="1479">
        <f t="shared" si="14"/>
        <v>1191.2612857679501</v>
      </c>
      <c r="BB15" s="1479">
        <f t="shared" si="42"/>
        <v>2346.4403841124895</v>
      </c>
      <c r="BC15" s="1479">
        <f t="shared" si="15"/>
        <v>12254.621285767951</v>
      </c>
      <c r="BD15" s="1479">
        <f t="shared" si="16"/>
        <v>11611.668384112489</v>
      </c>
      <c r="BE15" s="2299"/>
      <c r="BF15" s="1479">
        <f t="shared" si="43"/>
        <v>3127.7720000000008</v>
      </c>
      <c r="BG15" s="1489">
        <f t="shared" si="44"/>
        <v>0.25238215121439528</v>
      </c>
      <c r="BH15" s="1348">
        <f t="shared" si="35"/>
        <v>0.74761784878560467</v>
      </c>
      <c r="BI15" s="1489">
        <f t="shared" si="33"/>
        <v>0.16661301708315684</v>
      </c>
      <c r="BJ15" s="1490"/>
      <c r="BK15" s="1479">
        <f t="shared" si="45"/>
        <v>12393</v>
      </c>
      <c r="BL15" s="1490" t="b">
        <f t="shared" si="46"/>
        <v>1</v>
      </c>
      <c r="BM15" s="1491"/>
      <c r="BN15" s="1491"/>
      <c r="BO15" s="1491"/>
      <c r="BP15" s="1491"/>
      <c r="BQ15" s="2071">
        <v>1</v>
      </c>
      <c r="BR15" s="1479"/>
      <c r="BS15" s="1479"/>
      <c r="BT15" s="1938"/>
      <c r="BU15" s="1938"/>
      <c r="BV15" s="1479"/>
      <c r="BW15" s="1935">
        <f t="shared" si="17"/>
        <v>0</v>
      </c>
      <c r="BX15" s="2215"/>
      <c r="BY15" s="1456"/>
      <c r="BZ15" s="1468">
        <f t="shared" si="18"/>
        <v>51466</v>
      </c>
      <c r="CA15" s="1469">
        <f t="shared" si="56"/>
        <v>173</v>
      </c>
      <c r="CB15" s="1469">
        <f t="shared" si="20"/>
        <v>1</v>
      </c>
      <c r="CC15" s="1470">
        <f t="shared" si="53"/>
        <v>0.24</v>
      </c>
      <c r="CD15" s="1470">
        <f t="shared" si="57"/>
        <v>1</v>
      </c>
      <c r="CE15" s="1470">
        <f>1</f>
        <v>1</v>
      </c>
      <c r="CF15" s="1665">
        <f t="shared" si="54"/>
        <v>12393.119999999999</v>
      </c>
      <c r="CG15" s="1666">
        <v>12393</v>
      </c>
      <c r="CH15" s="1661">
        <f t="shared" si="58"/>
        <v>-0.11999999999898137</v>
      </c>
      <c r="CI15" s="1548">
        <f t="shared" si="59"/>
        <v>-9.6827917424330098E-6</v>
      </c>
      <c r="CJ15" s="1674">
        <f t="shared" si="60"/>
        <v>12393</v>
      </c>
      <c r="CK15" s="1675" t="e">
        <f t="shared" si="61"/>
        <v>#DIV/0!</v>
      </c>
      <c r="CL15" s="1669"/>
      <c r="CM15" s="1492">
        <f t="shared" si="27"/>
        <v>10075.847349387217</v>
      </c>
      <c r="CN15" s="1493" t="e">
        <f t="shared" si="47"/>
        <v>#DIV/0!</v>
      </c>
      <c r="CZ15" s="1495"/>
      <c r="DA15" s="1496"/>
      <c r="DB15" s="1496"/>
    </row>
    <row r="16" spans="1:106" ht="15" thickBot="1" x14ac:dyDescent="0.35">
      <c r="A16" s="1342">
        <v>1991</v>
      </c>
      <c r="B16" s="1336">
        <v>76484</v>
      </c>
      <c r="C16" s="1468">
        <f t="shared" si="0"/>
        <v>79540</v>
      </c>
      <c r="D16" s="1536">
        <v>76481</v>
      </c>
      <c r="E16" s="1536">
        <f t="shared" si="50"/>
        <v>79537</v>
      </c>
      <c r="F16" s="1536">
        <v>10</v>
      </c>
      <c r="G16" s="1507">
        <v>62119</v>
      </c>
      <c r="H16" s="1346">
        <v>27440</v>
      </c>
      <c r="I16" s="1507">
        <f t="shared" si="2"/>
        <v>31118.679999999997</v>
      </c>
      <c r="J16" s="1316">
        <v>27490</v>
      </c>
      <c r="K16" s="1316">
        <v>27490</v>
      </c>
      <c r="L16" s="1315">
        <f t="shared" si="3"/>
        <v>31118.679999999997</v>
      </c>
      <c r="M16" s="1525">
        <v>26689</v>
      </c>
      <c r="N16" s="1380">
        <f t="shared" si="28"/>
        <v>385.87999999999374</v>
      </c>
      <c r="O16" s="1430">
        <f t="shared" si="4"/>
        <v>0.81457926277554127</v>
      </c>
      <c r="P16" s="1543">
        <f t="shared" si="5"/>
        <v>0.50095268758350897</v>
      </c>
      <c r="Q16" s="1334">
        <f t="shared" si="6"/>
        <v>0.44253770987942498</v>
      </c>
      <c r="R16" s="1335">
        <f t="shared" si="7"/>
        <v>0.50095268758350897</v>
      </c>
      <c r="S16" s="1317">
        <v>0.53000000000000014</v>
      </c>
      <c r="T16" s="1317">
        <v>0.44221024692351002</v>
      </c>
      <c r="U16" s="1559">
        <f t="shared" si="51"/>
        <v>0.5</v>
      </c>
      <c r="V16" s="1809">
        <f>MIN(1-P16,M16/G16)</f>
        <v>0.42964310436420416</v>
      </c>
      <c r="W16" s="1529">
        <f t="shared" si="67"/>
        <v>26689</v>
      </c>
      <c r="X16" s="1531">
        <f t="shared" si="64"/>
        <v>0.17774117706224776</v>
      </c>
      <c r="Y16" s="1316">
        <f t="shared" si="48"/>
        <v>39765</v>
      </c>
      <c r="Z16" s="1316">
        <f t="shared" si="49"/>
        <v>39840.767243516471</v>
      </c>
      <c r="AA16" s="1315">
        <f t="shared" si="62"/>
        <v>40534.930000000008</v>
      </c>
      <c r="AB16" s="1468">
        <f t="shared" si="65"/>
        <v>34144.693870876712</v>
      </c>
      <c r="AC16" s="1622">
        <f t="shared" si="29"/>
        <v>39765</v>
      </c>
      <c r="AD16" s="2214">
        <f t="shared" si="55"/>
        <v>39765</v>
      </c>
      <c r="AE16" s="2215">
        <f t="shared" si="31"/>
        <v>39765</v>
      </c>
      <c r="AF16" s="2208">
        <f t="shared" si="63"/>
        <v>5823.3101119623689</v>
      </c>
      <c r="AG16" s="1347">
        <v>0</v>
      </c>
      <c r="AH16" s="1530">
        <f t="shared" si="66"/>
        <v>0</v>
      </c>
      <c r="AI16" s="1536">
        <v>3</v>
      </c>
      <c r="AJ16" s="2299">
        <v>3271</v>
      </c>
      <c r="AK16" s="1316"/>
      <c r="AL16" s="1316"/>
      <c r="AM16" s="1316"/>
      <c r="AN16" s="1316"/>
      <c r="AO16" s="1316"/>
      <c r="AP16" s="1316"/>
      <c r="AQ16" s="1562">
        <f t="shared" si="36"/>
        <v>3268</v>
      </c>
      <c r="AR16" s="1469">
        <f t="shared" si="37"/>
        <v>3271</v>
      </c>
      <c r="AS16" s="1429">
        <f t="shared" si="38"/>
        <v>1632.3837589143423</v>
      </c>
      <c r="AT16" s="1316">
        <f t="shared" si="39"/>
        <v>1635.5</v>
      </c>
      <c r="AU16" s="2299">
        <f t="shared" si="40"/>
        <v>1635.5</v>
      </c>
      <c r="AV16" s="1316">
        <f t="shared" si="10"/>
        <v>32754.179999999997</v>
      </c>
      <c r="AW16" s="1316">
        <f t="shared" si="11"/>
        <v>32754.179999999997</v>
      </c>
      <c r="AX16" s="1350">
        <f t="shared" si="41"/>
        <v>4.9932558226156179E-2</v>
      </c>
      <c r="AY16" s="1335">
        <f t="shared" si="12"/>
        <v>0.1764165105548362</v>
      </c>
      <c r="AZ16" s="1335">
        <f t="shared" si="13"/>
        <v>0.1764165105548362</v>
      </c>
      <c r="BA16" s="1316">
        <f t="shared" si="14"/>
        <v>5778.3781416850043</v>
      </c>
      <c r="BB16" s="1316">
        <f t="shared" si="42"/>
        <v>5778.3781416850043</v>
      </c>
      <c r="BC16" s="1316">
        <f t="shared" si="15"/>
        <v>38532.558141685004</v>
      </c>
      <c r="BD16" s="1316">
        <f t="shared" si="16"/>
        <v>38532.558141685004</v>
      </c>
      <c r="BE16" s="2299"/>
      <c r="BF16" s="1316">
        <f t="shared" si="43"/>
        <v>7010.8200000000033</v>
      </c>
      <c r="BG16" s="1348">
        <f t="shared" si="44"/>
        <v>0.1763062995096191</v>
      </c>
      <c r="BH16" s="1348">
        <f t="shared" si="35"/>
        <v>0.82369370049038093</v>
      </c>
      <c r="BI16" s="1348">
        <f t="shared" si="33"/>
        <v>0.3808200729592971</v>
      </c>
      <c r="BJ16" s="1344"/>
      <c r="BK16" s="1316">
        <f t="shared" si="45"/>
        <v>39765</v>
      </c>
      <c r="BL16" s="1344" t="b">
        <f t="shared" si="46"/>
        <v>1</v>
      </c>
      <c r="BM16" s="1345"/>
      <c r="BN16" s="1345"/>
      <c r="BO16" s="1345"/>
      <c r="BP16" s="1345"/>
      <c r="BQ16" s="2071">
        <v>1</v>
      </c>
      <c r="BR16" s="1316"/>
      <c r="BS16" s="1316"/>
      <c r="BT16" s="1938"/>
      <c r="BU16" s="1938"/>
      <c r="BV16" s="1316"/>
      <c r="BW16" s="2225">
        <f t="shared" si="17"/>
        <v>0</v>
      </c>
      <c r="BX16" s="2215"/>
      <c r="BY16" s="1456"/>
      <c r="BZ16" s="1468">
        <f t="shared" si="18"/>
        <v>79537</v>
      </c>
      <c r="CA16" s="1469">
        <f t="shared" si="56"/>
        <v>3</v>
      </c>
      <c r="CB16" s="1469">
        <f t="shared" si="20"/>
        <v>10</v>
      </c>
      <c r="CC16" s="1470">
        <f t="shared" si="53"/>
        <v>0.5</v>
      </c>
      <c r="CD16" s="1470">
        <f t="shared" si="57"/>
        <v>1</v>
      </c>
      <c r="CE16" s="1470">
        <f>1</f>
        <v>1</v>
      </c>
      <c r="CF16" s="1665">
        <f t="shared" si="54"/>
        <v>39765</v>
      </c>
      <c r="CG16" s="1666">
        <v>39765</v>
      </c>
      <c r="CH16" s="1661">
        <f t="shared" si="58"/>
        <v>0</v>
      </c>
      <c r="CI16" s="1547">
        <f t="shared" si="59"/>
        <v>0</v>
      </c>
      <c r="CJ16" s="1674">
        <f t="shared" si="60"/>
        <v>39765</v>
      </c>
      <c r="CK16" s="1675" t="e">
        <f t="shared" si="61"/>
        <v>#DIV/0!</v>
      </c>
      <c r="CL16" s="1668"/>
      <c r="CM16" s="1013">
        <f t="shared" si="27"/>
        <v>39840.767243516471</v>
      </c>
      <c r="CN16" s="1014" t="e">
        <f t="shared" si="47"/>
        <v>#DIV/0!</v>
      </c>
      <c r="CZ16" s="1066"/>
      <c r="DA16" s="1077"/>
      <c r="DB16" s="1077"/>
    </row>
    <row r="17" spans="1:106" x14ac:dyDescent="0.3">
      <c r="A17" s="1342">
        <v>1992</v>
      </c>
      <c r="B17" s="1336">
        <v>85000</v>
      </c>
      <c r="C17" s="1468">
        <f t="shared" si="0"/>
        <v>88427</v>
      </c>
      <c r="D17" s="1536">
        <v>84992</v>
      </c>
      <c r="E17" s="1536">
        <f t="shared" si="50"/>
        <v>88419</v>
      </c>
      <c r="F17" s="1536">
        <v>35</v>
      </c>
      <c r="G17" s="1507">
        <v>68359</v>
      </c>
      <c r="H17" s="1346">
        <v>41804</v>
      </c>
      <c r="I17" s="1507">
        <f t="shared" si="2"/>
        <v>47488.531999999992</v>
      </c>
      <c r="J17" s="1316">
        <v>41951</v>
      </c>
      <c r="K17" s="1316">
        <v>41951</v>
      </c>
      <c r="L17" s="1315">
        <f t="shared" si="3"/>
        <v>47488.531999999992</v>
      </c>
      <c r="M17" s="1525">
        <v>16461</v>
      </c>
      <c r="N17" s="1380">
        <f t="shared" si="28"/>
        <v>668.05199999998877</v>
      </c>
      <c r="O17" s="1430">
        <f t="shared" si="4"/>
        <v>0.79296344844386191</v>
      </c>
      <c r="P17" s="1543">
        <f t="shared" si="5"/>
        <v>0.69469319328837453</v>
      </c>
      <c r="Q17" s="1334">
        <f t="shared" si="6"/>
        <v>0.61368656650916487</v>
      </c>
      <c r="R17" s="1335">
        <f t="shared" si="7"/>
        <v>0.69469319328837453</v>
      </c>
      <c r="S17" s="1317">
        <v>0.63</v>
      </c>
      <c r="T17" s="1317">
        <v>0.58903167877886586</v>
      </c>
      <c r="U17" s="1559">
        <f t="shared" si="51"/>
        <v>0.69</v>
      </c>
      <c r="V17" s="1560">
        <f t="shared" si="52"/>
        <v>0.30530680671162547</v>
      </c>
      <c r="W17" s="1529">
        <f t="shared" si="67"/>
        <v>20870.468000000004</v>
      </c>
      <c r="X17" s="1531">
        <f t="shared" si="64"/>
        <v>0.20176658862914079</v>
      </c>
      <c r="Y17" s="1316">
        <f t="shared" si="48"/>
        <v>60990.479999999996</v>
      </c>
      <c r="Z17" s="1316">
        <f t="shared" si="49"/>
        <v>61405.320741146003</v>
      </c>
      <c r="AA17" s="1315">
        <f t="shared" si="62"/>
        <v>53544.959999999999</v>
      </c>
      <c r="AB17" s="1468">
        <f t="shared" si="65"/>
        <v>22438.015221816779</v>
      </c>
      <c r="AC17" s="1622">
        <f t="shared" si="29"/>
        <v>27402</v>
      </c>
      <c r="AD17" s="2214">
        <f t="shared" si="55"/>
        <v>60990</v>
      </c>
      <c r="AE17" s="2215">
        <f t="shared" si="31"/>
        <v>27402</v>
      </c>
      <c r="AF17" s="2208">
        <f t="shared" si="63"/>
        <v>5309.9198491518746</v>
      </c>
      <c r="AG17" s="1347">
        <v>0</v>
      </c>
      <c r="AH17" s="1529">
        <f t="shared" si="66"/>
        <v>4409.4680000000044</v>
      </c>
      <c r="AI17" s="1536">
        <v>8</v>
      </c>
      <c r="AJ17" s="2299">
        <v>2185</v>
      </c>
      <c r="AK17" s="1316"/>
      <c r="AL17" s="1316"/>
      <c r="AM17" s="1316"/>
      <c r="AN17" s="1316"/>
      <c r="AO17" s="1316"/>
      <c r="AP17" s="1316"/>
      <c r="AQ17" s="1562">
        <f t="shared" si="36"/>
        <v>2177</v>
      </c>
      <c r="AR17" s="1469">
        <f t="shared" si="37"/>
        <v>2185</v>
      </c>
      <c r="AS17" s="1429">
        <f t="shared" si="38"/>
        <v>667.09537266490167</v>
      </c>
      <c r="AT17" s="1316">
        <f t="shared" si="39"/>
        <v>1507.6499999999999</v>
      </c>
      <c r="AU17" s="2299">
        <f t="shared" si="40"/>
        <v>1507.6499999999999</v>
      </c>
      <c r="AV17" s="1316">
        <f t="shared" si="10"/>
        <v>48996.181999999993</v>
      </c>
      <c r="AW17" s="1316">
        <f t="shared" si="11"/>
        <v>48996.181999999993</v>
      </c>
      <c r="AX17" s="1350">
        <f t="shared" si="41"/>
        <v>3.0770764954706063E-2</v>
      </c>
      <c r="AY17" s="1335">
        <f t="shared" si="12"/>
        <v>0.19699431773385981</v>
      </c>
      <c r="AZ17" s="1335">
        <f t="shared" si="13"/>
        <v>0.19699431773385981</v>
      </c>
      <c r="BA17" s="1316">
        <f t="shared" si="14"/>
        <v>9651.9694446540216</v>
      </c>
      <c r="BB17" s="1316">
        <f t="shared" si="42"/>
        <v>9651.9694446540216</v>
      </c>
      <c r="BC17" s="1316">
        <f t="shared" si="15"/>
        <v>58648.151444654017</v>
      </c>
      <c r="BD17" s="1316">
        <f t="shared" si="16"/>
        <v>58648.151444654017</v>
      </c>
      <c r="BE17" s="2299"/>
      <c r="BF17" s="1316">
        <f t="shared" si="43"/>
        <v>11993.818000000007</v>
      </c>
      <c r="BG17" s="1348">
        <f t="shared" si="44"/>
        <v>0.19665220527955413</v>
      </c>
      <c r="BH17" s="1348">
        <f t="shared" si="35"/>
        <v>0.80334779472044582</v>
      </c>
      <c r="BI17" s="1348">
        <f t="shared" si="33"/>
        <v>0.51132636012801203</v>
      </c>
      <c r="BJ17" s="1344"/>
      <c r="BK17" s="1316">
        <f t="shared" si="45"/>
        <v>60990</v>
      </c>
      <c r="BL17" s="1344" t="b">
        <f t="shared" si="46"/>
        <v>1</v>
      </c>
      <c r="BM17" s="1345"/>
      <c r="BN17" s="1345"/>
      <c r="BO17" s="1345"/>
      <c r="BP17" s="1345"/>
      <c r="BQ17" s="2071">
        <v>1</v>
      </c>
      <c r="BR17" s="1316"/>
      <c r="BS17" s="1316"/>
      <c r="BT17" s="1938"/>
      <c r="BU17" s="1938"/>
      <c r="BV17" s="1316"/>
      <c r="BW17" s="1935">
        <f>AC17*BU17</f>
        <v>0</v>
      </c>
      <c r="BX17" s="2215"/>
      <c r="BY17" s="1456"/>
      <c r="BZ17" s="1468">
        <f t="shared" si="18"/>
        <v>88419</v>
      </c>
      <c r="CA17" s="1469">
        <f t="shared" si="56"/>
        <v>8</v>
      </c>
      <c r="CB17" s="1469">
        <f t="shared" si="20"/>
        <v>35</v>
      </c>
      <c r="CC17" s="1470">
        <f t="shared" si="53"/>
        <v>0.69</v>
      </c>
      <c r="CD17" s="1470">
        <f t="shared" si="57"/>
        <v>1</v>
      </c>
      <c r="CE17" s="1470">
        <f>1</f>
        <v>1</v>
      </c>
      <c r="CF17" s="1665">
        <f t="shared" si="54"/>
        <v>60990.479999999996</v>
      </c>
      <c r="CG17" s="1666">
        <v>60990</v>
      </c>
      <c r="CH17" s="1661">
        <f t="shared" si="58"/>
        <v>-0.47999999999592546</v>
      </c>
      <c r="CI17" s="1547">
        <f t="shared" si="59"/>
        <v>-7.8700807076108512E-6</v>
      </c>
      <c r="CJ17" s="1674">
        <f t="shared" si="60"/>
        <v>60990</v>
      </c>
      <c r="CK17" s="1675" t="e">
        <f t="shared" si="61"/>
        <v>#DIV/0!</v>
      </c>
      <c r="CL17" s="1668"/>
      <c r="CM17" s="1013">
        <f t="shared" si="27"/>
        <v>61405.320741146003</v>
      </c>
      <c r="CN17" s="1014" t="e">
        <f t="shared" si="47"/>
        <v>#DIV/0!</v>
      </c>
      <c r="CZ17" s="1066"/>
      <c r="DA17" s="1077"/>
      <c r="DB17" s="1077"/>
    </row>
    <row r="18" spans="1:106" x14ac:dyDescent="0.3">
      <c r="A18" s="1342">
        <v>1993</v>
      </c>
      <c r="B18" s="1336">
        <v>88025</v>
      </c>
      <c r="C18" s="1468">
        <f t="shared" si="0"/>
        <v>83459</v>
      </c>
      <c r="D18" s="1536">
        <v>80178</v>
      </c>
      <c r="E18" s="1536">
        <f t="shared" si="50"/>
        <v>83395</v>
      </c>
      <c r="F18" s="1536">
        <v>18</v>
      </c>
      <c r="G18" s="1507">
        <v>65630</v>
      </c>
      <c r="H18" s="1346">
        <v>28319</v>
      </c>
      <c r="I18" s="1507">
        <f>MAX(H18*1.12,L18)</f>
        <v>31717.280000000002</v>
      </c>
      <c r="J18" s="1316">
        <v>27849</v>
      </c>
      <c r="K18" s="1316">
        <v>27849</v>
      </c>
      <c r="L18" s="1315">
        <f t="shared" si="3"/>
        <v>31525.067999999996</v>
      </c>
      <c r="M18" s="1525">
        <v>25056</v>
      </c>
      <c r="N18" s="1380" t="str">
        <f t="shared" si="28"/>
        <v/>
      </c>
      <c r="O18" s="1430">
        <f t="shared" si="4"/>
        <v>0.83689317912293903</v>
      </c>
      <c r="P18" s="1543">
        <f t="shared" si="5"/>
        <v>0.48327411244857538</v>
      </c>
      <c r="Q18" s="1334">
        <f t="shared" si="6"/>
        <v>0.42433338412311444</v>
      </c>
      <c r="R18" s="1335">
        <f t="shared" si="7"/>
        <v>0.48034539082736549</v>
      </c>
      <c r="S18" s="1317">
        <v>0.57999999999999996</v>
      </c>
      <c r="T18" s="1317">
        <v>0.42734137581729442</v>
      </c>
      <c r="U18" s="1559">
        <f t="shared" si="51"/>
        <v>0.48</v>
      </c>
      <c r="V18" s="1560">
        <f t="shared" si="52"/>
        <v>0.51672588755142468</v>
      </c>
      <c r="W18" s="1529">
        <f t="shared" si="67"/>
        <v>33912.720000000001</v>
      </c>
      <c r="X18" s="1531">
        <f t="shared" si="64"/>
        <v>0.15261106780982073</v>
      </c>
      <c r="Y18" s="1316">
        <f t="shared" si="48"/>
        <v>40051.68</v>
      </c>
      <c r="Z18" s="1316">
        <f t="shared" si="49"/>
        <v>40080.499756026205</v>
      </c>
      <c r="AA18" s="1315">
        <f t="shared" si="62"/>
        <v>46503.24</v>
      </c>
      <c r="AB18" s="1468">
        <f t="shared" si="65"/>
        <v>33829.04727165449</v>
      </c>
      <c r="AC18" s="1622">
        <f t="shared" si="29"/>
        <v>39050.1</v>
      </c>
      <c r="AD18" s="2214">
        <f t="shared" si="55"/>
        <v>40052</v>
      </c>
      <c r="AE18" s="2215">
        <f t="shared" si="31"/>
        <v>43389</v>
      </c>
      <c r="AF18" s="2208">
        <f t="shared" si="63"/>
        <v>6179.0833161463406</v>
      </c>
      <c r="AG18" s="1347">
        <v>0.1</v>
      </c>
      <c r="AH18" s="1530">
        <f t="shared" si="66"/>
        <v>8856.7200000000012</v>
      </c>
      <c r="AI18" s="1536">
        <v>64</v>
      </c>
      <c r="AJ18" s="2299">
        <v>5020</v>
      </c>
      <c r="AK18" s="1316"/>
      <c r="AL18" s="1316"/>
      <c r="AM18" s="1316"/>
      <c r="AN18" s="1316"/>
      <c r="AO18" s="1316"/>
      <c r="AP18" s="1316"/>
      <c r="AQ18" s="1562">
        <f t="shared" si="36"/>
        <v>4956</v>
      </c>
      <c r="AR18" s="1469">
        <f t="shared" si="37"/>
        <v>5020</v>
      </c>
      <c r="AS18" s="1429">
        <f t="shared" si="38"/>
        <v>2593.9639555081517</v>
      </c>
      <c r="AT18" s="1316">
        <f t="shared" si="39"/>
        <v>2409.6</v>
      </c>
      <c r="AU18" s="2299">
        <f t="shared" si="40"/>
        <v>2409.6</v>
      </c>
      <c r="AV18" s="1316">
        <f t="shared" si="10"/>
        <v>34126.880000000005</v>
      </c>
      <c r="AW18" s="1316">
        <f t="shared" si="11"/>
        <v>33934.667999999998</v>
      </c>
      <c r="AX18" s="1350">
        <f t="shared" si="41"/>
        <v>7.1007030332520121E-2</v>
      </c>
      <c r="AY18" s="1335">
        <f t="shared" si="12"/>
        <v>0.14822631252872864</v>
      </c>
      <c r="AZ18" s="1335">
        <f t="shared" si="13"/>
        <v>0.1530280592361653</v>
      </c>
      <c r="BA18" s="1316">
        <f t="shared" si="14"/>
        <v>5058.5015805104194</v>
      </c>
      <c r="BB18" s="1316">
        <f t="shared" si="42"/>
        <v>5192.9563848636026</v>
      </c>
      <c r="BC18" s="1316">
        <f t="shared" si="15"/>
        <v>39185.381580510424</v>
      </c>
      <c r="BD18" s="1316">
        <f t="shared" si="16"/>
        <v>39127.6243848636</v>
      </c>
      <c r="BE18" s="2299"/>
      <c r="BF18" s="1316">
        <f t="shared" si="43"/>
        <v>6117.3320000000022</v>
      </c>
      <c r="BG18" s="1348">
        <f t="shared" si="44"/>
        <v>0.15273474483171881</v>
      </c>
      <c r="BH18" s="1348">
        <f t="shared" si="35"/>
        <v>0.84726525516828122</v>
      </c>
      <c r="BI18" s="1348">
        <f t="shared" si="33"/>
        <v>0.37739280101773554</v>
      </c>
      <c r="BJ18" s="1344"/>
      <c r="BK18" s="1316">
        <f t="shared" si="45"/>
        <v>40052</v>
      </c>
      <c r="BL18" s="1344" t="b">
        <f t="shared" si="46"/>
        <v>1</v>
      </c>
      <c r="BM18" s="1345"/>
      <c r="BN18" s="1345"/>
      <c r="BO18" s="1345"/>
      <c r="BP18" s="1345"/>
      <c r="BQ18" s="2071">
        <v>1</v>
      </c>
      <c r="BR18" s="1316"/>
      <c r="BS18" s="1316"/>
      <c r="BT18" s="1938"/>
      <c r="BU18" s="1938"/>
      <c r="BV18" s="1316"/>
      <c r="BW18" s="1935">
        <f>AC18*BU18</f>
        <v>0</v>
      </c>
      <c r="BX18" s="2215"/>
      <c r="BY18" s="1456"/>
      <c r="BZ18" s="1468">
        <f t="shared" si="18"/>
        <v>83395</v>
      </c>
      <c r="CA18" s="1469">
        <f t="shared" si="56"/>
        <v>64</v>
      </c>
      <c r="CB18" s="1469">
        <f t="shared" si="20"/>
        <v>18</v>
      </c>
      <c r="CC18" s="1470">
        <f t="shared" si="53"/>
        <v>0.48</v>
      </c>
      <c r="CD18" s="1470">
        <f t="shared" si="57"/>
        <v>1</v>
      </c>
      <c r="CE18" s="1470">
        <f>1</f>
        <v>1</v>
      </c>
      <c r="CF18" s="1665">
        <f t="shared" si="54"/>
        <v>40051.68</v>
      </c>
      <c r="CG18" s="1666">
        <v>40052</v>
      </c>
      <c r="CH18" s="1661">
        <f t="shared" si="58"/>
        <v>0.31999999999970896</v>
      </c>
      <c r="CI18" s="1547">
        <f t="shared" si="59"/>
        <v>7.9896773368734831E-6</v>
      </c>
      <c r="CJ18" s="1674">
        <f t="shared" si="60"/>
        <v>40052</v>
      </c>
      <c r="CK18" s="1675" t="e">
        <f t="shared" si="61"/>
        <v>#DIV/0!</v>
      </c>
      <c r="CL18" s="1668"/>
      <c r="CM18" s="1013">
        <f t="shared" si="27"/>
        <v>40080.499756026205</v>
      </c>
      <c r="CN18" s="1014" t="e">
        <f t="shared" si="47"/>
        <v>#DIV/0!</v>
      </c>
      <c r="CZ18" s="1066"/>
      <c r="DA18" s="1077"/>
      <c r="DB18" s="1077"/>
    </row>
    <row r="19" spans="1:106" x14ac:dyDescent="0.3">
      <c r="A19" s="1342">
        <v>1994</v>
      </c>
      <c r="B19" s="1336">
        <v>12873</v>
      </c>
      <c r="C19" s="1468">
        <f t="shared" si="0"/>
        <v>12957</v>
      </c>
      <c r="D19" s="1536">
        <v>12678</v>
      </c>
      <c r="E19" s="1536">
        <f t="shared" si="50"/>
        <v>12956</v>
      </c>
      <c r="F19" s="1536">
        <v>5</v>
      </c>
      <c r="G19" s="1507">
        <v>11367</v>
      </c>
      <c r="H19" s="1346">
        <v>1662</v>
      </c>
      <c r="I19" s="1507">
        <f t="shared" ref="I19:I48" si="68">MAX(H19,L19)</f>
        <v>1885.9119999999998</v>
      </c>
      <c r="J19" s="1316">
        <v>1666</v>
      </c>
      <c r="K19" s="1316">
        <v>1666</v>
      </c>
      <c r="L19" s="1315">
        <f t="shared" si="3"/>
        <v>1885.9119999999998</v>
      </c>
      <c r="M19" s="1525">
        <v>6931</v>
      </c>
      <c r="N19" s="1380">
        <f t="shared" si="28"/>
        <v>24.471999999999525</v>
      </c>
      <c r="O19" s="1430">
        <f t="shared" si="4"/>
        <v>0.91081730769230773</v>
      </c>
      <c r="P19" s="1543">
        <f t="shared" si="5"/>
        <v>0.16591114630069498</v>
      </c>
      <c r="Q19" s="1334">
        <f t="shared" si="6"/>
        <v>0.14656461687340547</v>
      </c>
      <c r="R19" s="1335">
        <f t="shared" si="7"/>
        <v>0.16591114630069498</v>
      </c>
      <c r="S19" s="1317"/>
      <c r="T19" s="1317">
        <v>0.1516531560251389</v>
      </c>
      <c r="U19" s="1559">
        <f t="shared" si="51"/>
        <v>0.17</v>
      </c>
      <c r="V19" s="1560">
        <f t="shared" si="52"/>
        <v>0.83408885369930497</v>
      </c>
      <c r="W19" s="1529">
        <f t="shared" si="67"/>
        <v>9481.0879999999997</v>
      </c>
      <c r="X19" s="1531">
        <f t="shared" si="64"/>
        <v>8.5828959555418333E-2</v>
      </c>
      <c r="Y19" s="1316">
        <f t="shared" si="48"/>
        <v>2201.84</v>
      </c>
      <c r="Z19" s="1316">
        <f t="shared" si="49"/>
        <v>2148.8811668866015</v>
      </c>
      <c r="AA19" s="1315"/>
      <c r="AB19" s="1468">
        <f t="shared" si="65"/>
        <v>8218.0488015200717</v>
      </c>
      <c r="AC19" s="1622">
        <f t="shared" si="29"/>
        <v>10212.5</v>
      </c>
      <c r="AD19" s="2214">
        <f t="shared" si="55"/>
        <v>2202</v>
      </c>
      <c r="AE19" s="2215">
        <f t="shared" si="31"/>
        <v>10750</v>
      </c>
      <c r="AF19" s="2208">
        <f t="shared" si="63"/>
        <v>893.35886257400068</v>
      </c>
      <c r="AG19" s="1347">
        <v>0.05</v>
      </c>
      <c r="AH19" s="1529">
        <f t="shared" si="66"/>
        <v>2550.0879999999997</v>
      </c>
      <c r="AI19" s="1536">
        <v>1</v>
      </c>
      <c r="AJ19" s="2299">
        <v>472</v>
      </c>
      <c r="AK19" s="1316"/>
      <c r="AL19" s="1316"/>
      <c r="AM19" s="1316"/>
      <c r="AN19" s="1316"/>
      <c r="AO19" s="1316"/>
      <c r="AP19" s="1316"/>
      <c r="AQ19" s="1562">
        <f t="shared" si="36"/>
        <v>471</v>
      </c>
      <c r="AR19" s="1469">
        <f t="shared" si="37"/>
        <v>472</v>
      </c>
      <c r="AS19" s="1429">
        <f t="shared" si="38"/>
        <v>393.68993894607195</v>
      </c>
      <c r="AT19" s="1316">
        <f t="shared" si="39"/>
        <v>80.240000000000009</v>
      </c>
      <c r="AU19" s="2299">
        <f t="shared" si="40"/>
        <v>80.240000000000009</v>
      </c>
      <c r="AV19" s="1316">
        <f t="shared" si="10"/>
        <v>1966.1519999999998</v>
      </c>
      <c r="AW19" s="1316">
        <f t="shared" si="11"/>
        <v>1966.1519999999998</v>
      </c>
      <c r="AX19" s="1350">
        <f t="shared" si="41"/>
        <v>4.0810679947430317E-2</v>
      </c>
      <c r="AY19" s="1335">
        <f t="shared" si="12"/>
        <v>0.10739425748687875</v>
      </c>
      <c r="AZ19" s="1335">
        <f t="shared" si="13"/>
        <v>0.10739425748687875</v>
      </c>
      <c r="BA19" s="1316">
        <f t="shared" si="14"/>
        <v>211.15343414634162</v>
      </c>
      <c r="BB19" s="1316">
        <f t="shared" si="42"/>
        <v>211.15343414634162</v>
      </c>
      <c r="BC19" s="1316">
        <f t="shared" si="15"/>
        <v>2177.3054341463412</v>
      </c>
      <c r="BD19" s="1316">
        <f t="shared" si="16"/>
        <v>2177.3054341463412</v>
      </c>
      <c r="BE19" s="2299"/>
      <c r="BF19" s="1316">
        <f t="shared" si="43"/>
        <v>235.84800000000018</v>
      </c>
      <c r="BG19" s="1348">
        <f t="shared" si="44"/>
        <v>0.10710626702997283</v>
      </c>
      <c r="BH19" s="1348">
        <f t="shared" si="35"/>
        <v>0.89289373297002717</v>
      </c>
      <c r="BI19" s="1348">
        <f t="shared" si="33"/>
        <v>0.13773781353525794</v>
      </c>
      <c r="BJ19" s="1344"/>
      <c r="BK19" s="1316">
        <f t="shared" si="45"/>
        <v>2202</v>
      </c>
      <c r="BL19" s="1344" t="b">
        <f t="shared" si="46"/>
        <v>1</v>
      </c>
      <c r="BM19" s="1345"/>
      <c r="BN19" s="1345"/>
      <c r="BO19" s="1345"/>
      <c r="BP19" s="1345"/>
      <c r="BQ19" s="2071">
        <v>1</v>
      </c>
      <c r="BR19" s="1316"/>
      <c r="BS19" s="1316"/>
      <c r="BT19" s="1938"/>
      <c r="BU19" s="1938"/>
      <c r="BV19" s="1316"/>
      <c r="BW19" s="2226">
        <f t="shared" ref="BW19:BW31" si="69">AD19</f>
        <v>2202</v>
      </c>
      <c r="BX19" s="2215"/>
      <c r="BY19" s="1456"/>
      <c r="BZ19" s="1468">
        <f t="shared" si="18"/>
        <v>12956</v>
      </c>
      <c r="CA19" s="1469">
        <f t="shared" si="56"/>
        <v>1</v>
      </c>
      <c r="CB19" s="1469">
        <f t="shared" si="20"/>
        <v>5</v>
      </c>
      <c r="CC19" s="1470">
        <f t="shared" si="53"/>
        <v>0.17</v>
      </c>
      <c r="CD19" s="1470">
        <f t="shared" si="57"/>
        <v>1</v>
      </c>
      <c r="CE19" s="1470">
        <f>1</f>
        <v>1</v>
      </c>
      <c r="CF19" s="1665">
        <f t="shared" si="54"/>
        <v>2201.84</v>
      </c>
      <c r="CG19" s="1666">
        <v>2202</v>
      </c>
      <c r="CH19" s="1661">
        <f t="shared" si="58"/>
        <v>0.15999999999985448</v>
      </c>
      <c r="CI19" s="1547">
        <f t="shared" si="59"/>
        <v>7.2666497111440647E-5</v>
      </c>
      <c r="CJ19" s="1674">
        <f t="shared" si="60"/>
        <v>0</v>
      </c>
      <c r="CK19" s="1675">
        <f t="shared" si="61"/>
        <v>0</v>
      </c>
      <c r="CL19" s="1668"/>
      <c r="CM19" s="1013">
        <f t="shared" si="27"/>
        <v>2148.8811668866015</v>
      </c>
      <c r="CN19" s="1014">
        <f t="shared" si="47"/>
        <v>2.4122994147774079E-2</v>
      </c>
      <c r="CZ19" s="1066"/>
      <c r="DA19" s="1077"/>
      <c r="DB19" s="1077"/>
    </row>
    <row r="20" spans="1:106" s="1448" customFormat="1" x14ac:dyDescent="0.3">
      <c r="A20" s="1552">
        <v>1995</v>
      </c>
      <c r="B20" s="1431">
        <v>9913</v>
      </c>
      <c r="C20" s="1500">
        <f t="shared" si="0"/>
        <v>8883</v>
      </c>
      <c r="D20" s="1539">
        <v>8774</v>
      </c>
      <c r="E20" s="1432">
        <f>ROUND((D20+BoostBonDamCounts*BoostBonDamCountPct*D20)*VLOOKUP(A20,BON_Count_Adjustment,5)+VLOOKUP(A20,BON_Count_Adjustment,4),0)</f>
        <v>8882</v>
      </c>
      <c r="F20" s="1538">
        <v>5</v>
      </c>
      <c r="G20" s="1432">
        <f>9462-ReduceRISdamCounts*BoostBonDamCountPct*9462</f>
        <v>8023.4074317434188</v>
      </c>
      <c r="H20" s="1434">
        <v>4988</v>
      </c>
      <c r="I20" s="1508">
        <f t="shared" si="68"/>
        <v>5537.7439999999997</v>
      </c>
      <c r="J20" s="1433">
        <v>4892</v>
      </c>
      <c r="K20" s="1433">
        <v>4892</v>
      </c>
      <c r="L20" s="1439">
        <f t="shared" si="3"/>
        <v>5537.7439999999997</v>
      </c>
      <c r="M20" s="1526">
        <v>3261</v>
      </c>
      <c r="N20" s="1435" t="str">
        <f t="shared" si="28"/>
        <v/>
      </c>
      <c r="O20" s="1556">
        <f t="shared" si="4"/>
        <v>0.95142979150283635</v>
      </c>
      <c r="P20" s="1815">
        <f t="shared" si="5"/>
        <v>0.69019852813291505</v>
      </c>
      <c r="Q20" s="1436">
        <f t="shared" si="6"/>
        <v>0.60971601425169175</v>
      </c>
      <c r="R20" s="1437">
        <f t="shared" si="7"/>
        <v>0.69019852813291505</v>
      </c>
      <c r="S20" s="1438"/>
      <c r="T20" s="1438">
        <v>0.56055918414117112</v>
      </c>
      <c r="U20" s="1816">
        <f t="shared" ref="U20:U41" si="70">MIN(ROUND(P20,2),ROUND(1-V20,2))</f>
        <v>0.59</v>
      </c>
      <c r="V20" s="1560">
        <f t="shared" ref="V20:V41" si="71">MAX(1-P20,M20/G20)</f>
        <v>0.40643579772583133</v>
      </c>
      <c r="W20" s="1529">
        <f t="shared" si="67"/>
        <v>3261</v>
      </c>
      <c r="X20" s="1531">
        <f t="shared" si="64"/>
        <v>4.6002315723551138E-2</v>
      </c>
      <c r="Y20" s="1433">
        <f t="shared" si="48"/>
        <v>5238.0199999999995</v>
      </c>
      <c r="Z20" s="1433">
        <f t="shared" si="49"/>
        <v>6127.5825327640196</v>
      </c>
      <c r="AA20" s="1439"/>
      <c r="AB20" s="1468">
        <f t="shared" si="65"/>
        <v>3556.5146568553109</v>
      </c>
      <c r="AC20" s="1623">
        <f t="shared" si="29"/>
        <v>3458</v>
      </c>
      <c r="AD20" s="2217">
        <f t="shared" si="55"/>
        <v>5238</v>
      </c>
      <c r="AE20" s="2216">
        <f t="shared" si="31"/>
        <v>3640</v>
      </c>
      <c r="AF20" s="2208">
        <f t="shared" si="63"/>
        <v>157.65300187445808</v>
      </c>
      <c r="AG20" s="1440">
        <v>0.05</v>
      </c>
      <c r="AH20" s="1529">
        <f t="shared" si="66"/>
        <v>0</v>
      </c>
      <c r="AI20" s="1536">
        <v>1</v>
      </c>
      <c r="AJ20" s="2300">
        <v>445</v>
      </c>
      <c r="AK20" s="1433"/>
      <c r="AL20" s="1433"/>
      <c r="AM20" s="1433"/>
      <c r="AN20" s="1433"/>
      <c r="AO20" s="1433"/>
      <c r="AP20" s="1433"/>
      <c r="AQ20" s="1563">
        <f t="shared" si="36"/>
        <v>444</v>
      </c>
      <c r="AR20" s="1504">
        <f t="shared" si="37"/>
        <v>445</v>
      </c>
      <c r="AS20" s="1441">
        <f t="shared" si="38"/>
        <v>137.86165498085279</v>
      </c>
      <c r="AT20" s="1433">
        <f t="shared" si="39"/>
        <v>262.55</v>
      </c>
      <c r="AU20" s="2300">
        <f t="shared" si="40"/>
        <v>262.55</v>
      </c>
      <c r="AV20" s="1433">
        <f t="shared" si="10"/>
        <v>5800.2939999999999</v>
      </c>
      <c r="AW20" s="1433">
        <f t="shared" si="11"/>
        <v>5800.2939999999999</v>
      </c>
      <c r="AX20" s="1442">
        <f t="shared" si="41"/>
        <v>4.5264946914759838E-2</v>
      </c>
      <c r="AY20" s="1437">
        <f t="shared" si="12"/>
        <v>-0.10673348115976315</v>
      </c>
      <c r="AZ20" s="1437">
        <f t="shared" si="13"/>
        <v>-0.10673348115976315</v>
      </c>
      <c r="BA20" s="1433">
        <f t="shared" si="14"/>
        <v>-619.08557037008723</v>
      </c>
      <c r="BB20" s="1433">
        <f t="shared" si="42"/>
        <v>-619.08557037008723</v>
      </c>
      <c r="BC20" s="1433">
        <f t="shared" si="15"/>
        <v>5181.2084296299126</v>
      </c>
      <c r="BD20" s="1433">
        <f t="shared" si="16"/>
        <v>5181.2084296299126</v>
      </c>
      <c r="BE20" s="2300"/>
      <c r="BF20" s="1433">
        <f t="shared" si="43"/>
        <v>-562.29399999999987</v>
      </c>
      <c r="BG20" s="1443">
        <f t="shared" si="44"/>
        <v>-0.10734898816342113</v>
      </c>
      <c r="BH20" s="1348">
        <f t="shared" si="35"/>
        <v>1</v>
      </c>
      <c r="BI20" s="1443">
        <f t="shared" si="33"/>
        <v>0.58748005470708919</v>
      </c>
      <c r="BJ20" s="1444"/>
      <c r="BK20" s="1433">
        <f t="shared" si="45"/>
        <v>5238</v>
      </c>
      <c r="BL20" s="1444" t="b">
        <f t="shared" si="46"/>
        <v>1</v>
      </c>
      <c r="BM20" s="1445"/>
      <c r="BN20" s="1445"/>
      <c r="BO20" s="1445"/>
      <c r="BP20" s="1445"/>
      <c r="BQ20" s="2071">
        <v>1</v>
      </c>
      <c r="BR20" s="1433"/>
      <c r="BS20" s="1433"/>
      <c r="BT20" s="1938"/>
      <c r="BU20" s="1938"/>
      <c r="BV20" s="1433"/>
      <c r="BW20" s="2226">
        <f t="shared" si="69"/>
        <v>5238</v>
      </c>
      <c r="BX20" s="2216"/>
      <c r="BY20" s="1456"/>
      <c r="BZ20" s="1551">
        <f t="shared" si="18"/>
        <v>8882</v>
      </c>
      <c r="CA20" s="1469">
        <f t="shared" si="56"/>
        <v>1</v>
      </c>
      <c r="CB20" s="1469">
        <f t="shared" si="20"/>
        <v>5</v>
      </c>
      <c r="CC20" s="1814">
        <f t="shared" si="53"/>
        <v>0.59</v>
      </c>
      <c r="CD20" s="1470">
        <f t="shared" si="57"/>
        <v>1</v>
      </c>
      <c r="CE20" s="1470">
        <f>1</f>
        <v>1</v>
      </c>
      <c r="CF20" s="1665">
        <f t="shared" si="54"/>
        <v>5238.0199999999995</v>
      </c>
      <c r="CG20" s="1666">
        <v>5238</v>
      </c>
      <c r="CH20" s="1661">
        <f t="shared" si="58"/>
        <v>-1.9999999999527063E-2</v>
      </c>
      <c r="CI20" s="1547">
        <f t="shared" si="59"/>
        <v>-3.818236661854492E-6</v>
      </c>
      <c r="CJ20" s="1676">
        <f t="shared" si="60"/>
        <v>0</v>
      </c>
      <c r="CK20" s="1677">
        <f t="shared" si="61"/>
        <v>0</v>
      </c>
      <c r="CL20" s="1668"/>
      <c r="CM20" s="1446">
        <f t="shared" si="27"/>
        <v>6127.5825327640196</v>
      </c>
      <c r="CN20" s="1447">
        <f t="shared" si="47"/>
        <v>-0.16983248048186705</v>
      </c>
      <c r="CZ20" s="1066"/>
      <c r="DA20" s="1449"/>
      <c r="DB20" s="1449"/>
    </row>
    <row r="21" spans="1:106" x14ac:dyDescent="0.3">
      <c r="A21" s="1342">
        <v>1996</v>
      </c>
      <c r="B21" s="1336">
        <v>30942</v>
      </c>
      <c r="C21" s="1468">
        <f t="shared" si="0"/>
        <v>31300</v>
      </c>
      <c r="D21" s="1536">
        <v>30232</v>
      </c>
      <c r="E21" s="1536">
        <f>ROUND(D21*VLOOKUP(A21,BON_Count_Adjustment,5)+VLOOKUP(A21,BON_Count_Adjustment,4),0)</f>
        <v>31275</v>
      </c>
      <c r="F21" s="1536">
        <v>3</v>
      </c>
      <c r="G21" s="1507">
        <v>29500</v>
      </c>
      <c r="H21" s="1346">
        <v>21741</v>
      </c>
      <c r="I21" s="1507">
        <f t="shared" si="68"/>
        <v>21741</v>
      </c>
      <c r="J21" s="1316">
        <v>17701</v>
      </c>
      <c r="K21" s="1316">
        <v>17701</v>
      </c>
      <c r="L21" s="1315">
        <f t="shared" si="3"/>
        <v>20037.531999999999</v>
      </c>
      <c r="M21" s="1525">
        <v>6160</v>
      </c>
      <c r="N21" s="1380" t="str">
        <f t="shared" si="28"/>
        <v/>
      </c>
      <c r="O21" s="1430">
        <f t="shared" si="4"/>
        <v>0.98718334839206234</v>
      </c>
      <c r="P21" s="1543">
        <f t="shared" si="5"/>
        <v>0.73698305084745763</v>
      </c>
      <c r="Q21" s="1334">
        <f t="shared" si="6"/>
        <v>0.6000338983050848</v>
      </c>
      <c r="R21" s="1335">
        <f t="shared" si="7"/>
        <v>0.67923837288135591</v>
      </c>
      <c r="S21" s="1317"/>
      <c r="T21" s="1317">
        <v>0.66364468864468862</v>
      </c>
      <c r="U21" s="1559">
        <f t="shared" si="70"/>
        <v>0.74</v>
      </c>
      <c r="V21" s="1560">
        <f t="shared" si="71"/>
        <v>0.26301694915254237</v>
      </c>
      <c r="W21" s="1529">
        <f t="shared" si="67"/>
        <v>7759</v>
      </c>
      <c r="X21" s="1531">
        <f t="shared" si="64"/>
        <v>1.1446842525979217E-2</v>
      </c>
      <c r="Y21" s="1316">
        <f t="shared" si="48"/>
        <v>23159.78</v>
      </c>
      <c r="Z21" s="1316">
        <f t="shared" si="49"/>
        <v>21258.123356067797</v>
      </c>
      <c r="AA21" s="1315"/>
      <c r="AB21" s="1468">
        <f t="shared" si="65"/>
        <v>6621.7998527290702</v>
      </c>
      <c r="AC21" s="1622">
        <f t="shared" si="29"/>
        <v>7486.04</v>
      </c>
      <c r="AD21" s="2214">
        <f t="shared" si="55"/>
        <v>23160</v>
      </c>
      <c r="AE21" s="2215">
        <f t="shared" si="31"/>
        <v>8137</v>
      </c>
      <c r="AF21" s="2208">
        <f t="shared" si="63"/>
        <v>89.893886627376077</v>
      </c>
      <c r="AG21" s="1347">
        <v>0.08</v>
      </c>
      <c r="AH21" s="1529">
        <f t="shared" si="66"/>
        <v>1599</v>
      </c>
      <c r="AI21" s="1536">
        <v>25</v>
      </c>
      <c r="AJ21" s="2299">
        <v>1414</v>
      </c>
      <c r="AK21" s="1316"/>
      <c r="AL21" s="1316"/>
      <c r="AM21" s="1316"/>
      <c r="AN21" s="1316"/>
      <c r="AO21" s="1316"/>
      <c r="AP21" s="1316"/>
      <c r="AQ21" s="1562">
        <f t="shared" si="36"/>
        <v>1389</v>
      </c>
      <c r="AR21" s="1469">
        <f t="shared" si="37"/>
        <v>1414</v>
      </c>
      <c r="AS21" s="1429">
        <f t="shared" si="38"/>
        <v>371.9059661016949</v>
      </c>
      <c r="AT21" s="1316">
        <f t="shared" si="39"/>
        <v>1046.3599999999999</v>
      </c>
      <c r="AU21" s="2299">
        <f t="shared" si="40"/>
        <v>1046.3599999999999</v>
      </c>
      <c r="AV21" s="1316">
        <f t="shared" si="10"/>
        <v>22787.360000000001</v>
      </c>
      <c r="AW21" s="1316">
        <f t="shared" si="11"/>
        <v>21083.892</v>
      </c>
      <c r="AX21" s="1350">
        <f t="shared" si="41"/>
        <v>4.9628408265418922E-2</v>
      </c>
      <c r="AY21" s="1335">
        <f t="shared" si="12"/>
        <v>1.6187698489856767E-2</v>
      </c>
      <c r="AZ21" s="1335">
        <f t="shared" si="13"/>
        <v>8.9792295893015364E-2</v>
      </c>
      <c r="BA21" s="1316">
        <f t="shared" si="14"/>
        <v>368.87491305982252</v>
      </c>
      <c r="BB21" s="1316">
        <f t="shared" si="42"/>
        <v>1893.1710690403795</v>
      </c>
      <c r="BC21" s="1316">
        <f t="shared" si="15"/>
        <v>23156.234913059823</v>
      </c>
      <c r="BD21" s="1316">
        <f t="shared" si="16"/>
        <v>22977.063069040378</v>
      </c>
      <c r="BE21" s="2299"/>
      <c r="BF21" s="1316">
        <f t="shared" si="43"/>
        <v>2076.1080000000002</v>
      </c>
      <c r="BG21" s="1348">
        <f t="shared" si="44"/>
        <v>8.96419689119171E-2</v>
      </c>
      <c r="BH21" s="1348">
        <f t="shared" si="35"/>
        <v>0.91035803108808289</v>
      </c>
      <c r="BI21" s="1348">
        <f t="shared" si="33"/>
        <v>0.62011643291876162</v>
      </c>
      <c r="BJ21" s="1344"/>
      <c r="BK21" s="1316">
        <f t="shared" si="45"/>
        <v>23160</v>
      </c>
      <c r="BL21" s="1344" t="b">
        <f t="shared" si="46"/>
        <v>1</v>
      </c>
      <c r="BM21" s="1345"/>
      <c r="BN21" s="1345"/>
      <c r="BO21" s="1345"/>
      <c r="BP21" s="1345"/>
      <c r="BQ21" s="2071">
        <v>1</v>
      </c>
      <c r="BR21" s="1316"/>
      <c r="BS21" s="1316"/>
      <c r="BT21" s="1938"/>
      <c r="BU21" s="1938"/>
      <c r="BV21" s="1316"/>
      <c r="BW21" s="2226">
        <f t="shared" si="69"/>
        <v>23160</v>
      </c>
      <c r="BX21" s="2215"/>
      <c r="BY21" s="1456"/>
      <c r="BZ21" s="1468">
        <f t="shared" si="18"/>
        <v>31275</v>
      </c>
      <c r="CA21" s="1469">
        <f t="shared" si="56"/>
        <v>25</v>
      </c>
      <c r="CB21" s="1469">
        <f t="shared" si="20"/>
        <v>3</v>
      </c>
      <c r="CC21" s="1470">
        <f t="shared" si="53"/>
        <v>0.74</v>
      </c>
      <c r="CD21" s="1470">
        <f t="shared" si="57"/>
        <v>1</v>
      </c>
      <c r="CE21" s="1470">
        <f>1</f>
        <v>1</v>
      </c>
      <c r="CF21" s="1665">
        <f t="shared" si="54"/>
        <v>23159.78</v>
      </c>
      <c r="CG21" s="1666">
        <v>23160</v>
      </c>
      <c r="CH21" s="1661">
        <f t="shared" si="58"/>
        <v>0.22000000000116415</v>
      </c>
      <c r="CI21" s="1547">
        <f t="shared" si="59"/>
        <v>9.4992266766421867E-6</v>
      </c>
      <c r="CJ21" s="1678">
        <f t="shared" si="60"/>
        <v>0</v>
      </c>
      <c r="CK21" s="1679">
        <f t="shared" si="61"/>
        <v>0</v>
      </c>
      <c r="CL21" s="1668"/>
      <c r="CM21" s="1013">
        <f t="shared" si="27"/>
        <v>21258.123356067797</v>
      </c>
      <c r="CN21" s="1014">
        <f t="shared" si="47"/>
        <v>8.2119026076519969E-2</v>
      </c>
      <c r="CZ21" s="1066"/>
      <c r="DA21" s="1077"/>
      <c r="DB21" s="1077"/>
    </row>
    <row r="22" spans="1:106" x14ac:dyDescent="0.3">
      <c r="A22" s="1342">
        <v>1997</v>
      </c>
      <c r="B22" s="1336">
        <v>49979</v>
      </c>
      <c r="C22" s="1468">
        <f t="shared" si="0"/>
        <v>48793</v>
      </c>
      <c r="D22" s="1536">
        <v>47008</v>
      </c>
      <c r="E22" s="1536">
        <f>ROUND(D22*VLOOKUP(A22,BON_Count_Adjustment,5)+VLOOKUP(A22,BON_Count_Adjustment,4),0)</f>
        <v>48781</v>
      </c>
      <c r="F22" s="1536">
        <v>16</v>
      </c>
      <c r="G22" s="1507">
        <v>41504</v>
      </c>
      <c r="H22" s="1346">
        <v>30661</v>
      </c>
      <c r="I22" s="1507">
        <f t="shared" si="68"/>
        <v>30661</v>
      </c>
      <c r="J22" s="1316">
        <v>24621</v>
      </c>
      <c r="K22" s="1316">
        <v>24621</v>
      </c>
      <c r="L22" s="1315">
        <f t="shared" si="3"/>
        <v>27870.971999999998</v>
      </c>
      <c r="M22" s="1525">
        <v>9592</v>
      </c>
      <c r="N22" s="1380" t="str">
        <f t="shared" si="28"/>
        <v/>
      </c>
      <c r="O22" s="1430">
        <f t="shared" si="4"/>
        <v>0.88814705441783826</v>
      </c>
      <c r="P22" s="1543">
        <f t="shared" si="5"/>
        <v>0.73874807247494212</v>
      </c>
      <c r="Q22" s="1334">
        <f t="shared" si="6"/>
        <v>0.59321993060909795</v>
      </c>
      <c r="R22" s="1335">
        <f t="shared" si="7"/>
        <v>0.6715249614494988</v>
      </c>
      <c r="S22" s="1317"/>
      <c r="T22" s="1317">
        <v>0.79711850224871872</v>
      </c>
      <c r="U22" s="1559">
        <f t="shared" si="70"/>
        <v>0.74</v>
      </c>
      <c r="V22" s="1560">
        <f t="shared" si="71"/>
        <v>0.26125192752505788</v>
      </c>
      <c r="W22" s="1529">
        <f t="shared" si="67"/>
        <v>10843.000000000002</v>
      </c>
      <c r="X22" s="1531">
        <f t="shared" si="64"/>
        <v>0.10690637748303643</v>
      </c>
      <c r="Y22" s="1316">
        <f t="shared" si="48"/>
        <v>36094.980000000003</v>
      </c>
      <c r="Z22" s="1316">
        <f t="shared" si="49"/>
        <v>32754.973044622202</v>
      </c>
      <c r="AA22" s="1315"/>
      <c r="AB22" s="1468">
        <f t="shared" si="65"/>
        <v>11431.359622569822</v>
      </c>
      <c r="AC22" s="1622">
        <f t="shared" si="29"/>
        <v>12555.18</v>
      </c>
      <c r="AD22" s="2214">
        <f t="shared" si="55"/>
        <v>36095</v>
      </c>
      <c r="AE22" s="2215">
        <f t="shared" si="31"/>
        <v>12682</v>
      </c>
      <c r="AF22" s="2208">
        <f t="shared" si="63"/>
        <v>1304.8381788535532</v>
      </c>
      <c r="AG22" s="1347">
        <v>0.01</v>
      </c>
      <c r="AH22" s="1529">
        <f t="shared" si="66"/>
        <v>1251.0000000000018</v>
      </c>
      <c r="AI22" s="1536">
        <v>12</v>
      </c>
      <c r="AJ22" s="2299">
        <v>2046</v>
      </c>
      <c r="AK22" s="1316"/>
      <c r="AL22" s="1316"/>
      <c r="AM22" s="1316"/>
      <c r="AN22" s="1316"/>
      <c r="AO22" s="1316"/>
      <c r="AP22" s="1316"/>
      <c r="AQ22" s="1562">
        <f t="shared" si="36"/>
        <v>2034</v>
      </c>
      <c r="AR22" s="1469">
        <f t="shared" si="37"/>
        <v>2046</v>
      </c>
      <c r="AS22" s="1429">
        <f t="shared" si="38"/>
        <v>534.52144371626844</v>
      </c>
      <c r="AT22" s="1316">
        <f t="shared" si="39"/>
        <v>1514.04</v>
      </c>
      <c r="AU22" s="2299">
        <f t="shared" si="40"/>
        <v>1514.04</v>
      </c>
      <c r="AV22" s="1316">
        <f t="shared" si="10"/>
        <v>32175.040000000001</v>
      </c>
      <c r="AW22" s="1316">
        <f t="shared" si="11"/>
        <v>29385.011999999999</v>
      </c>
      <c r="AX22" s="1350">
        <f t="shared" si="41"/>
        <v>5.1524226023797436E-2</v>
      </c>
      <c r="AY22" s="1335">
        <f t="shared" si="12"/>
        <v>0.10891978877465036</v>
      </c>
      <c r="AZ22" s="1335">
        <f t="shared" si="13"/>
        <v>0.18621029344056764</v>
      </c>
      <c r="BA22" s="1316">
        <f t="shared" si="14"/>
        <v>3504.4985606159266</v>
      </c>
      <c r="BB22" s="1316">
        <f t="shared" si="42"/>
        <v>5471.7917072746013</v>
      </c>
      <c r="BC22" s="1316">
        <f t="shared" si="15"/>
        <v>35679.538560615925</v>
      </c>
      <c r="BD22" s="1316">
        <f t="shared" si="16"/>
        <v>34856.803707274601</v>
      </c>
      <c r="BE22" s="2299"/>
      <c r="BF22" s="1316">
        <f t="shared" si="43"/>
        <v>6709.9880000000012</v>
      </c>
      <c r="BG22" s="1348">
        <f t="shared" si="44"/>
        <v>0.18589799141155289</v>
      </c>
      <c r="BH22" s="1348">
        <f t="shared" si="35"/>
        <v>0.81410200858844717</v>
      </c>
      <c r="BI22" s="1348">
        <f t="shared" si="33"/>
        <v>0.55597004765146363</v>
      </c>
      <c r="BJ22" s="1344"/>
      <c r="BK22" s="1316">
        <f t="shared" si="45"/>
        <v>36095</v>
      </c>
      <c r="BL22" s="1344" t="b">
        <f t="shared" si="46"/>
        <v>1</v>
      </c>
      <c r="BM22" s="1345"/>
      <c r="BN22" s="1345"/>
      <c r="BO22" s="1345"/>
      <c r="BP22" s="1345"/>
      <c r="BQ22" s="2071">
        <v>1</v>
      </c>
      <c r="BR22" s="1316"/>
      <c r="BS22" s="1316"/>
      <c r="BT22" s="1938"/>
      <c r="BU22" s="1938"/>
      <c r="BV22" s="1316"/>
      <c r="BW22" s="2226">
        <f t="shared" si="69"/>
        <v>36095</v>
      </c>
      <c r="BX22" s="2215"/>
      <c r="BY22" s="1456"/>
      <c r="BZ22" s="1468">
        <f t="shared" si="18"/>
        <v>48781</v>
      </c>
      <c r="CA22" s="1469">
        <f t="shared" si="56"/>
        <v>12</v>
      </c>
      <c r="CB22" s="1469">
        <f t="shared" si="20"/>
        <v>16</v>
      </c>
      <c r="CC22" s="1470">
        <f t="shared" si="53"/>
        <v>0.74</v>
      </c>
      <c r="CD22" s="1470">
        <f t="shared" si="57"/>
        <v>1</v>
      </c>
      <c r="CE22" s="1470">
        <f>1</f>
        <v>1</v>
      </c>
      <c r="CF22" s="1665">
        <f t="shared" si="54"/>
        <v>36094.980000000003</v>
      </c>
      <c r="CG22" s="1666">
        <v>36095</v>
      </c>
      <c r="CH22" s="1661">
        <f t="shared" si="58"/>
        <v>1.9999999996798579E-2</v>
      </c>
      <c r="CI22" s="1547">
        <f t="shared" si="59"/>
        <v>5.5409367166288993E-7</v>
      </c>
      <c r="CJ22" s="1678">
        <f t="shared" si="60"/>
        <v>0</v>
      </c>
      <c r="CK22" s="1679">
        <f t="shared" si="61"/>
        <v>0</v>
      </c>
      <c r="CL22" s="1668"/>
      <c r="CM22" s="1013">
        <f t="shared" si="27"/>
        <v>32754.973044622202</v>
      </c>
      <c r="CN22" s="1014">
        <f t="shared" si="47"/>
        <v>9.2534338700035967E-2</v>
      </c>
      <c r="DA22" s="1077"/>
    </row>
    <row r="23" spans="1:106" x14ac:dyDescent="0.3">
      <c r="A23" s="1342">
        <v>1998</v>
      </c>
      <c r="B23" s="1336">
        <v>13220</v>
      </c>
      <c r="C23" s="1468">
        <f t="shared" si="0"/>
        <v>13522</v>
      </c>
      <c r="D23" s="1536">
        <v>13218</v>
      </c>
      <c r="E23" s="1536">
        <f>ROUND(D23*VLOOKUP(A23,BON_Count_Adjustment,5)+VLOOKUP(A23,BON_Count_Adjustment,4),0)</f>
        <v>13520</v>
      </c>
      <c r="F23" s="1536">
        <v>4</v>
      </c>
      <c r="G23" s="1507">
        <v>9334</v>
      </c>
      <c r="H23" s="1346">
        <v>5988</v>
      </c>
      <c r="I23" s="1507">
        <f t="shared" si="68"/>
        <v>5988</v>
      </c>
      <c r="J23" s="1316">
        <v>4664</v>
      </c>
      <c r="K23" s="1316">
        <v>4135</v>
      </c>
      <c r="L23" s="1315">
        <v>4666</v>
      </c>
      <c r="M23" s="1525">
        <v>3984</v>
      </c>
      <c r="N23" s="1380" t="str">
        <f t="shared" si="28"/>
        <v/>
      </c>
      <c r="O23" s="1430">
        <f t="shared" si="4"/>
        <v>0.71290002291300691</v>
      </c>
      <c r="P23" s="1817">
        <f t="shared" si="5"/>
        <v>0.64152560531390612</v>
      </c>
      <c r="Q23" s="1334">
        <f t="shared" si="6"/>
        <v>0.49967859438611528</v>
      </c>
      <c r="R23" s="1335">
        <f t="shared" si="7"/>
        <v>0.49989286479537176</v>
      </c>
      <c r="S23" s="1317"/>
      <c r="T23" s="1317">
        <v>0.5312979227659278</v>
      </c>
      <c r="U23" s="1816">
        <f t="shared" si="70"/>
        <v>0.56999999999999995</v>
      </c>
      <c r="V23" s="1560">
        <f t="shared" si="71"/>
        <v>0.4268266552389115</v>
      </c>
      <c r="W23" s="1529">
        <f t="shared" si="67"/>
        <v>3984</v>
      </c>
      <c r="X23" s="1531">
        <f t="shared" si="64"/>
        <v>0.2778846153846154</v>
      </c>
      <c r="Y23" s="1316">
        <f t="shared" si="48"/>
        <v>7705.2599999999993</v>
      </c>
      <c r="Z23" s="1316">
        <f t="shared" si="49"/>
        <v>6757.5517463038359</v>
      </c>
      <c r="AA23" s="1315"/>
      <c r="AB23" s="1468">
        <f t="shared" si="65"/>
        <v>5689.0562888365112</v>
      </c>
      <c r="AC23" s="1622">
        <f t="shared" si="29"/>
        <v>5754.87</v>
      </c>
      <c r="AD23" s="2214">
        <f t="shared" si="55"/>
        <v>7705</v>
      </c>
      <c r="AE23" s="2215">
        <f t="shared" si="31"/>
        <v>5813</v>
      </c>
      <c r="AF23" s="2208">
        <f t="shared" si="63"/>
        <v>1552.7046710949219</v>
      </c>
      <c r="AG23" s="1347">
        <v>0.01</v>
      </c>
      <c r="AH23" s="1530">
        <f t="shared" si="66"/>
        <v>0</v>
      </c>
      <c r="AI23" s="1536">
        <v>2</v>
      </c>
      <c r="AJ23" s="2299">
        <v>425</v>
      </c>
      <c r="AK23" s="1316"/>
      <c r="AL23" s="1316"/>
      <c r="AM23" s="1316"/>
      <c r="AN23" s="1316"/>
      <c r="AO23" s="1316"/>
      <c r="AP23" s="1316"/>
      <c r="AQ23" s="1562">
        <f t="shared" si="36"/>
        <v>423</v>
      </c>
      <c r="AR23" s="1469">
        <f t="shared" si="37"/>
        <v>425</v>
      </c>
      <c r="AS23" s="1429">
        <f t="shared" si="38"/>
        <v>152.35161774158991</v>
      </c>
      <c r="AT23" s="1316">
        <f t="shared" si="39"/>
        <v>242.24999999999997</v>
      </c>
      <c r="AU23" s="2299">
        <f t="shared" si="40"/>
        <v>242.24999999999997</v>
      </c>
      <c r="AV23" s="1316">
        <f t="shared" si="10"/>
        <v>6230.25</v>
      </c>
      <c r="AW23" s="1316">
        <f t="shared" si="11"/>
        <v>4908.25</v>
      </c>
      <c r="AX23" s="1350">
        <f t="shared" si="41"/>
        <v>4.9355676666836441E-2</v>
      </c>
      <c r="AY23" s="1335">
        <f t="shared" si="12"/>
        <v>0.19169651199003424</v>
      </c>
      <c r="AZ23" s="1335">
        <f t="shared" si="13"/>
        <v>0.36324224021592438</v>
      </c>
      <c r="BA23" s="1316">
        <f t="shared" si="14"/>
        <v>1194.3171938259109</v>
      </c>
      <c r="BB23" s="1316">
        <f t="shared" si="42"/>
        <v>1782.8837255398109</v>
      </c>
      <c r="BC23" s="1316">
        <f t="shared" si="15"/>
        <v>7424.5671938259111</v>
      </c>
      <c r="BD23" s="1316">
        <f t="shared" si="16"/>
        <v>6691.1337255398112</v>
      </c>
      <c r="BE23" s="2299"/>
      <c r="BF23" s="1316">
        <f t="shared" si="43"/>
        <v>2796.75</v>
      </c>
      <c r="BG23" s="1348">
        <f t="shared" si="44"/>
        <v>0.36297858533419858</v>
      </c>
      <c r="BH23" s="1348">
        <f t="shared" si="35"/>
        <v>0.63702141466580142</v>
      </c>
      <c r="BI23" s="1348">
        <f t="shared" si="33"/>
        <v>0.33115826902708428</v>
      </c>
      <c r="BJ23" s="1344"/>
      <c r="BK23" s="1316">
        <f t="shared" si="45"/>
        <v>7705</v>
      </c>
      <c r="BL23" s="1344" t="b">
        <f t="shared" si="46"/>
        <v>1</v>
      </c>
      <c r="BM23" s="1345"/>
      <c r="BN23" s="1345"/>
      <c r="BO23" s="1345"/>
      <c r="BP23" s="1345"/>
      <c r="BQ23" s="2071">
        <v>1</v>
      </c>
      <c r="BR23" s="1316"/>
      <c r="BS23" s="1316"/>
      <c r="BT23" s="1938"/>
      <c r="BU23" s="1938"/>
      <c r="BV23" s="1316"/>
      <c r="BW23" s="2226">
        <f t="shared" si="69"/>
        <v>7705</v>
      </c>
      <c r="BX23" s="2215"/>
      <c r="BY23" s="1456"/>
      <c r="BZ23" s="1468">
        <f t="shared" si="18"/>
        <v>13520</v>
      </c>
      <c r="CA23" s="1469">
        <f t="shared" si="56"/>
        <v>2</v>
      </c>
      <c r="CB23" s="1469">
        <f t="shared" si="20"/>
        <v>4</v>
      </c>
      <c r="CC23" s="1470">
        <f t="shared" si="53"/>
        <v>0.56999999999999995</v>
      </c>
      <c r="CD23" s="1470">
        <f t="shared" si="57"/>
        <v>1</v>
      </c>
      <c r="CE23" s="1470">
        <f>1</f>
        <v>1</v>
      </c>
      <c r="CF23" s="1665">
        <f t="shared" si="54"/>
        <v>7705.2599999999993</v>
      </c>
      <c r="CG23" s="1666">
        <v>7705</v>
      </c>
      <c r="CH23" s="1661">
        <f t="shared" si="58"/>
        <v>-0.25999999999930878</v>
      </c>
      <c r="CI23" s="1547">
        <f t="shared" si="59"/>
        <v>-3.3743183227990857E-5</v>
      </c>
      <c r="CJ23" s="1678">
        <f t="shared" si="60"/>
        <v>0</v>
      </c>
      <c r="CK23" s="1679">
        <f t="shared" si="61"/>
        <v>0</v>
      </c>
      <c r="CL23" s="1668"/>
      <c r="CM23" s="1013">
        <f t="shared" si="27"/>
        <v>6757.5517463038359</v>
      </c>
      <c r="CN23" s="1014">
        <f t="shared" si="47"/>
        <v>0.12296538010333084</v>
      </c>
    </row>
    <row r="24" spans="1:106" s="1448" customFormat="1" x14ac:dyDescent="0.3">
      <c r="A24" s="1552">
        <v>1999</v>
      </c>
      <c r="B24" s="1431">
        <v>19094</v>
      </c>
      <c r="C24" s="1500">
        <f t="shared" si="0"/>
        <v>18383</v>
      </c>
      <c r="D24" s="1539">
        <v>17877</v>
      </c>
      <c r="E24" s="1432">
        <f>ROUND((D24+BoostBonDamCounts*BoostBonDamCountPct*D24)*VLOOKUP(A24,BON_Count_Adjustment,5)+VLOOKUP(A24,BON_Count_Adjustment,4),0)</f>
        <v>18382</v>
      </c>
      <c r="F24" s="1538">
        <v>15</v>
      </c>
      <c r="G24" s="1432">
        <f>18371-ReduceRISdamCounts*BoostBonDamCountPct*18371</f>
        <v>15577.892404201897</v>
      </c>
      <c r="H24" s="1434">
        <v>14111</v>
      </c>
      <c r="I24" s="1508">
        <f t="shared" si="68"/>
        <v>14111</v>
      </c>
      <c r="J24" s="1433">
        <v>12388</v>
      </c>
      <c r="K24" s="1433">
        <v>11013</v>
      </c>
      <c r="L24" s="1439">
        <v>12388</v>
      </c>
      <c r="M24" s="1526">
        <v>908</v>
      </c>
      <c r="N24" s="1435" t="str">
        <f t="shared" si="28"/>
        <v/>
      </c>
      <c r="O24" s="1556">
        <f t="shared" si="4"/>
        <v>0.88190061165092259</v>
      </c>
      <c r="P24" s="1544">
        <f t="shared" si="5"/>
        <v>0.90583498934642626</v>
      </c>
      <c r="Q24" s="1436">
        <f t="shared" si="6"/>
        <v>0.7952295264703797</v>
      </c>
      <c r="R24" s="1437">
        <f t="shared" si="7"/>
        <v>0.7952295264703797</v>
      </c>
      <c r="S24" s="1438"/>
      <c r="T24" s="1438">
        <v>0.74158529929043604</v>
      </c>
      <c r="U24" s="1559">
        <f t="shared" si="70"/>
        <v>0.91</v>
      </c>
      <c r="V24" s="1560">
        <f t="shared" si="71"/>
        <v>9.4165010653573744E-2</v>
      </c>
      <c r="W24" s="1529">
        <f t="shared" si="67"/>
        <v>1466.8924042018971</v>
      </c>
      <c r="X24" s="1531">
        <f t="shared" si="64"/>
        <v>0.11343203110641405</v>
      </c>
      <c r="Y24" s="1433">
        <f t="shared" si="48"/>
        <v>16714.88</v>
      </c>
      <c r="Z24" s="1433">
        <f t="shared" si="49"/>
        <v>14606.775942207934</v>
      </c>
      <c r="AA24" s="1439"/>
      <c r="AB24" s="1468">
        <f t="shared" si="65"/>
        <v>1162.9564713400432</v>
      </c>
      <c r="AC24" s="1623">
        <f t="shared" si="29"/>
        <v>1553.82</v>
      </c>
      <c r="AD24" s="2217">
        <f t="shared" si="55"/>
        <v>16715</v>
      </c>
      <c r="AE24" s="2216">
        <f t="shared" si="31"/>
        <v>1653</v>
      </c>
      <c r="AF24" s="2208">
        <f t="shared" si="63"/>
        <v>188.66430383992727</v>
      </c>
      <c r="AG24" s="1440">
        <v>0.06</v>
      </c>
      <c r="AH24" s="1529">
        <f t="shared" si="66"/>
        <v>558.89240420189708</v>
      </c>
      <c r="AI24" s="1536">
        <v>1</v>
      </c>
      <c r="AJ24" s="2300">
        <v>704</v>
      </c>
      <c r="AK24" s="1433"/>
      <c r="AL24" s="1433"/>
      <c r="AM24" s="1433"/>
      <c r="AN24" s="1433"/>
      <c r="AO24" s="1433"/>
      <c r="AP24" s="1433"/>
      <c r="AQ24" s="1563">
        <f t="shared" si="36"/>
        <v>703</v>
      </c>
      <c r="AR24" s="1504">
        <f t="shared" si="37"/>
        <v>704</v>
      </c>
      <c r="AS24" s="1441">
        <f t="shared" si="38"/>
        <v>66.292167500115909</v>
      </c>
      <c r="AT24" s="1433">
        <f t="shared" si="39"/>
        <v>640.64</v>
      </c>
      <c r="AU24" s="2300">
        <f t="shared" si="40"/>
        <v>640.64</v>
      </c>
      <c r="AV24" s="1433">
        <f t="shared" si="10"/>
        <v>14751.64</v>
      </c>
      <c r="AW24" s="1433">
        <f t="shared" si="11"/>
        <v>13028.64</v>
      </c>
      <c r="AX24" s="1442">
        <f t="shared" si="41"/>
        <v>4.9171671026292843E-2</v>
      </c>
      <c r="AY24" s="1437">
        <f t="shared" si="12"/>
        <v>0.11818118776012362</v>
      </c>
      <c r="AZ24" s="1437">
        <f t="shared" si="13"/>
        <v>0.22118448410473213</v>
      </c>
      <c r="BA24" s="1433">
        <f t="shared" si="14"/>
        <v>1743.3663366097501</v>
      </c>
      <c r="BB24" s="1433">
        <f t="shared" si="42"/>
        <v>2881.7330169862771</v>
      </c>
      <c r="BC24" s="1433">
        <f t="shared" si="15"/>
        <v>16495.006336609749</v>
      </c>
      <c r="BD24" s="1433">
        <f t="shared" si="16"/>
        <v>15910.373016986276</v>
      </c>
      <c r="BE24" s="2300"/>
      <c r="BF24" s="1433">
        <f t="shared" si="43"/>
        <v>3686.3600000000006</v>
      </c>
      <c r="BG24" s="1443">
        <f t="shared" si="44"/>
        <v>0.22054202811845652</v>
      </c>
      <c r="BH24" s="1348">
        <f t="shared" si="35"/>
        <v>0.77945797188154353</v>
      </c>
      <c r="BI24" s="1443">
        <f t="shared" si="33"/>
        <v>0.65187895060692502</v>
      </c>
      <c r="BJ24" s="1444"/>
      <c r="BK24" s="1433">
        <f t="shared" si="45"/>
        <v>16715</v>
      </c>
      <c r="BL24" s="1444" t="b">
        <f t="shared" si="46"/>
        <v>1</v>
      </c>
      <c r="BM24" s="1445"/>
      <c r="BN24" s="1445"/>
      <c r="BO24" s="1445"/>
      <c r="BP24" s="1445"/>
      <c r="BQ24" s="2071">
        <v>1</v>
      </c>
      <c r="BR24" s="1433"/>
      <c r="BS24" s="1433"/>
      <c r="BT24" s="1938"/>
      <c r="BU24" s="1938"/>
      <c r="BV24" s="1433"/>
      <c r="BW24" s="2226">
        <f t="shared" si="69"/>
        <v>16715</v>
      </c>
      <c r="BX24" s="2215"/>
      <c r="BY24" s="1456"/>
      <c r="BZ24" s="1551">
        <f t="shared" si="18"/>
        <v>18382</v>
      </c>
      <c r="CA24" s="1469">
        <f t="shared" si="56"/>
        <v>1</v>
      </c>
      <c r="CB24" s="1469">
        <f t="shared" si="20"/>
        <v>15</v>
      </c>
      <c r="CC24" s="1470">
        <f t="shared" si="53"/>
        <v>0.91</v>
      </c>
      <c r="CD24" s="1470">
        <f t="shared" si="57"/>
        <v>1</v>
      </c>
      <c r="CE24" s="1470">
        <f>1</f>
        <v>1</v>
      </c>
      <c r="CF24" s="1665">
        <f t="shared" si="54"/>
        <v>16714.88</v>
      </c>
      <c r="CG24" s="1666">
        <v>16715</v>
      </c>
      <c r="CH24" s="1661">
        <f t="shared" si="58"/>
        <v>0.11999999999898137</v>
      </c>
      <c r="CI24" s="1547">
        <f t="shared" si="59"/>
        <v>7.1792319178469341E-6</v>
      </c>
      <c r="CJ24" s="1676">
        <f t="shared" si="60"/>
        <v>0</v>
      </c>
      <c r="CK24" s="1677">
        <f t="shared" si="61"/>
        <v>0</v>
      </c>
      <c r="CL24" s="1668"/>
      <c r="CM24" s="1446">
        <f t="shared" si="27"/>
        <v>14606.775942207934</v>
      </c>
      <c r="CN24" s="1447">
        <f t="shared" si="47"/>
        <v>0.12612767321519985</v>
      </c>
    </row>
    <row r="25" spans="1:106" x14ac:dyDescent="0.3">
      <c r="A25" s="1342">
        <v>2000</v>
      </c>
      <c r="B25" s="1336">
        <v>93764</v>
      </c>
      <c r="C25" s="1468">
        <f t="shared" si="0"/>
        <v>97557</v>
      </c>
      <c r="D25" s="1536">
        <v>93398</v>
      </c>
      <c r="E25" s="1536">
        <f t="shared" ref="E25:E31" si="72">ROUND(D25*VLOOKUP(A25,BON_Count_Adjustment,5)+VLOOKUP(A25,BON_Count_Adjustment,4),0)</f>
        <v>97191</v>
      </c>
      <c r="F25" s="1536">
        <v>365</v>
      </c>
      <c r="G25" s="1507">
        <v>76512</v>
      </c>
      <c r="H25" s="1346">
        <v>57428</v>
      </c>
      <c r="I25" s="1507">
        <f t="shared" si="68"/>
        <v>59944</v>
      </c>
      <c r="J25" s="1316">
        <v>59944</v>
      </c>
      <c r="K25" s="1316">
        <v>53351</v>
      </c>
      <c r="L25" s="1315">
        <v>59944</v>
      </c>
      <c r="M25" s="1525">
        <v>18390</v>
      </c>
      <c r="N25" s="1380" t="str">
        <f t="shared" si="28"/>
        <v/>
      </c>
      <c r="O25" s="1430">
        <f t="shared" si="4"/>
        <v>0.81152287817398872</v>
      </c>
      <c r="P25" s="1817">
        <f t="shared" si="5"/>
        <v>0.78345880384776245</v>
      </c>
      <c r="Q25" s="1334">
        <f t="shared" si="6"/>
        <v>0.78345880384776245</v>
      </c>
      <c r="R25" s="1335">
        <f t="shared" si="7"/>
        <v>0.78345880384776245</v>
      </c>
      <c r="S25" s="1317">
        <v>0.55000000000000004</v>
      </c>
      <c r="T25" s="1317">
        <v>0.75851596902363716</v>
      </c>
      <c r="U25" s="1816">
        <f t="shared" si="70"/>
        <v>0.76</v>
      </c>
      <c r="V25" s="1560">
        <f t="shared" si="71"/>
        <v>0.24035445420326224</v>
      </c>
      <c r="W25" s="1529">
        <f t="shared" si="67"/>
        <v>18390</v>
      </c>
      <c r="X25" s="1531">
        <f t="shared" si="64"/>
        <v>0.17907007850521139</v>
      </c>
      <c r="Y25" s="1316">
        <f t="shared" si="48"/>
        <v>73865.919999999998</v>
      </c>
      <c r="Z25" s="1316">
        <f t="shared" si="49"/>
        <v>76145.92806357173</v>
      </c>
      <c r="AA25" s="1315">
        <f t="shared" ref="AA25:AA46" si="73">S25*D25</f>
        <v>51368.9</v>
      </c>
      <c r="AB25" s="1468">
        <f t="shared" si="65"/>
        <v>23062.306848786426</v>
      </c>
      <c r="AC25" s="1622">
        <f t="shared" si="29"/>
        <v>21926.44</v>
      </c>
      <c r="AD25" s="2214">
        <f t="shared" si="55"/>
        <v>73866</v>
      </c>
      <c r="AE25" s="2215">
        <f t="shared" si="31"/>
        <v>23326</v>
      </c>
      <c r="AF25" s="2208">
        <f t="shared" si="63"/>
        <v>4042.171967983415</v>
      </c>
      <c r="AG25" s="1347">
        <v>0.06</v>
      </c>
      <c r="AH25" s="1530">
        <f t="shared" si="66"/>
        <v>0</v>
      </c>
      <c r="AI25" s="1536">
        <v>366</v>
      </c>
      <c r="AJ25" s="2299">
        <v>2910</v>
      </c>
      <c r="AK25" s="1316"/>
      <c r="AL25" s="1316"/>
      <c r="AM25" s="1316"/>
      <c r="AN25" s="1316"/>
      <c r="AO25" s="1316"/>
      <c r="AP25" s="1316"/>
      <c r="AQ25" s="1562">
        <f t="shared" si="36"/>
        <v>2544</v>
      </c>
      <c r="AR25" s="1469">
        <f t="shared" si="37"/>
        <v>2910</v>
      </c>
      <c r="AS25" s="1429">
        <f t="shared" si="38"/>
        <v>630.13488080301124</v>
      </c>
      <c r="AT25" s="1316">
        <f t="shared" si="39"/>
        <v>2211.6</v>
      </c>
      <c r="AU25" s="2299">
        <f t="shared" si="40"/>
        <v>2211.6</v>
      </c>
      <c r="AV25" s="1316">
        <f t="shared" si="10"/>
        <v>62155.6</v>
      </c>
      <c r="AW25" s="1316">
        <f t="shared" si="11"/>
        <v>62155.6</v>
      </c>
      <c r="AX25" s="1350">
        <f t="shared" si="41"/>
        <v>3.5581669230125686E-2</v>
      </c>
      <c r="AY25" s="1335">
        <f t="shared" si="12"/>
        <v>0.16229193844567591</v>
      </c>
      <c r="AZ25" s="1335">
        <f t="shared" si="13"/>
        <v>0.16229193844567591</v>
      </c>
      <c r="BA25" s="1316">
        <f t="shared" si="14"/>
        <v>10087.352809254053</v>
      </c>
      <c r="BB25" s="1316">
        <f t="shared" si="42"/>
        <v>10087.352809254053</v>
      </c>
      <c r="BC25" s="1316">
        <f t="shared" si="15"/>
        <v>72242.952809254057</v>
      </c>
      <c r="BD25" s="1316">
        <f t="shared" si="16"/>
        <v>72242.952809254057</v>
      </c>
      <c r="BE25" s="2299"/>
      <c r="BF25" s="1316">
        <f t="shared" si="43"/>
        <v>11710.400000000001</v>
      </c>
      <c r="BG25" s="1348">
        <f t="shared" si="44"/>
        <v>0.15853572685674061</v>
      </c>
      <c r="BH25" s="1348">
        <f t="shared" si="35"/>
        <v>0.84146427314325944</v>
      </c>
      <c r="BI25" s="1348">
        <f t="shared" si="33"/>
        <v>0.59490138975138651</v>
      </c>
      <c r="BJ25" s="1344"/>
      <c r="BK25" s="1316">
        <f t="shared" si="45"/>
        <v>73866</v>
      </c>
      <c r="BL25" s="1344" t="b">
        <f t="shared" si="46"/>
        <v>1</v>
      </c>
      <c r="BM25" s="1345"/>
      <c r="BN25" s="1345"/>
      <c r="BO25" s="1345"/>
      <c r="BP25" s="1345"/>
      <c r="BQ25" s="2071">
        <v>1</v>
      </c>
      <c r="BR25" s="1316"/>
      <c r="BS25" s="1316"/>
      <c r="BT25" s="1938"/>
      <c r="BU25" s="1938"/>
      <c r="BV25" s="1316"/>
      <c r="BW25" s="2226">
        <f t="shared" si="69"/>
        <v>73866</v>
      </c>
      <c r="BX25" s="2215"/>
      <c r="BY25" s="1456"/>
      <c r="BZ25" s="1468">
        <f t="shared" si="18"/>
        <v>97191</v>
      </c>
      <c r="CA25" s="1469">
        <f t="shared" si="56"/>
        <v>366</v>
      </c>
      <c r="CB25" s="1469">
        <f t="shared" si="20"/>
        <v>365</v>
      </c>
      <c r="CC25" s="1470">
        <f t="shared" si="53"/>
        <v>0.76</v>
      </c>
      <c r="CD25" s="1470">
        <f t="shared" si="57"/>
        <v>1</v>
      </c>
      <c r="CE25" s="1470">
        <f>1</f>
        <v>1</v>
      </c>
      <c r="CF25" s="1665">
        <f t="shared" si="54"/>
        <v>73865.919999999998</v>
      </c>
      <c r="CG25" s="1666">
        <v>73866</v>
      </c>
      <c r="CH25" s="1661">
        <f t="shared" si="58"/>
        <v>8.000000000174623E-2</v>
      </c>
      <c r="CI25" s="1547">
        <f t="shared" si="59"/>
        <v>1.0830434387298801E-6</v>
      </c>
      <c r="CJ25" s="1678">
        <f t="shared" si="60"/>
        <v>0</v>
      </c>
      <c r="CK25" s="1679">
        <f t="shared" si="61"/>
        <v>0</v>
      </c>
      <c r="CL25" s="1668"/>
      <c r="CM25" s="1013">
        <f t="shared" si="27"/>
        <v>76145.92806357173</v>
      </c>
      <c r="CN25" s="1014">
        <f t="shared" si="47"/>
        <v>-3.086573069574269E-2</v>
      </c>
    </row>
    <row r="26" spans="1:106" x14ac:dyDescent="0.3">
      <c r="A26" s="1342">
        <v>2001</v>
      </c>
      <c r="B26" s="1336">
        <v>117879</v>
      </c>
      <c r="C26" s="1468">
        <f t="shared" si="0"/>
        <v>121355</v>
      </c>
      <c r="D26" s="1536">
        <v>114934</v>
      </c>
      <c r="E26" s="1536">
        <f t="shared" si="72"/>
        <v>119664</v>
      </c>
      <c r="F26" s="1536">
        <v>41</v>
      </c>
      <c r="G26" s="1507">
        <v>104840</v>
      </c>
      <c r="H26" s="1346">
        <v>66220</v>
      </c>
      <c r="I26" s="1507">
        <f t="shared" si="68"/>
        <v>74486</v>
      </c>
      <c r="J26" s="1316">
        <v>74486</v>
      </c>
      <c r="K26" s="1316">
        <v>64819</v>
      </c>
      <c r="L26" s="1315">
        <v>74486</v>
      </c>
      <c r="M26" s="1525">
        <v>32554</v>
      </c>
      <c r="N26" s="1380">
        <f t="shared" si="28"/>
        <v>319.59999999999127</v>
      </c>
      <c r="O26" s="1430">
        <f t="shared" si="4"/>
        <v>0.91953619730910241</v>
      </c>
      <c r="P26" s="1817">
        <f t="shared" si="5"/>
        <v>0.7104731018695154</v>
      </c>
      <c r="Q26" s="1334">
        <f t="shared" si="6"/>
        <v>0.7104731018695154</v>
      </c>
      <c r="R26" s="1335">
        <f t="shared" si="7"/>
        <v>0.7104731018695154</v>
      </c>
      <c r="S26" s="1317">
        <v>0.56000000000000005</v>
      </c>
      <c r="T26" s="1317">
        <v>0.63162914917970236</v>
      </c>
      <c r="U26" s="1816">
        <f t="shared" si="70"/>
        <v>0.69</v>
      </c>
      <c r="V26" s="1560">
        <f t="shared" si="71"/>
        <v>0.3105112552460893</v>
      </c>
      <c r="W26" s="1529">
        <f t="shared" si="67"/>
        <v>32554.000000000004</v>
      </c>
      <c r="X26" s="1531">
        <f t="shared" si="64"/>
        <v>6.2533426928733787E-2</v>
      </c>
      <c r="Y26" s="1316">
        <f t="shared" si="48"/>
        <v>83706.659999999989</v>
      </c>
      <c r="Z26" s="1316">
        <f t="shared" si="49"/>
        <v>86190.333880198392</v>
      </c>
      <c r="AA26" s="1315">
        <f t="shared" si="73"/>
        <v>64363.040000000008</v>
      </c>
      <c r="AB26" s="1468">
        <f t="shared" si="65"/>
        <v>36848.559438610006</v>
      </c>
      <c r="AC26" s="1622">
        <f t="shared" si="29"/>
        <v>36478.79</v>
      </c>
      <c r="AD26" s="2214">
        <f t="shared" si="55"/>
        <v>83707</v>
      </c>
      <c r="AE26" s="2215">
        <f t="shared" si="31"/>
        <v>37607</v>
      </c>
      <c r="AF26" s="2208">
        <f t="shared" si="63"/>
        <v>2181.0130822574674</v>
      </c>
      <c r="AG26" s="1347">
        <v>0.03</v>
      </c>
      <c r="AH26" s="1530">
        <f t="shared" si="66"/>
        <v>0</v>
      </c>
      <c r="AI26" s="1536">
        <v>1691</v>
      </c>
      <c r="AJ26" s="2299">
        <v>7300</v>
      </c>
      <c r="AK26" s="1316"/>
      <c r="AL26" s="1316"/>
      <c r="AM26" s="1316"/>
      <c r="AN26" s="1316"/>
      <c r="AO26" s="1316"/>
      <c r="AP26" s="1316"/>
      <c r="AQ26" s="1562">
        <f t="shared" si="36"/>
        <v>5609</v>
      </c>
      <c r="AR26" s="1469">
        <f t="shared" si="37"/>
        <v>7300</v>
      </c>
      <c r="AS26" s="1429">
        <f t="shared" si="38"/>
        <v>2113.5463563525377</v>
      </c>
      <c r="AT26" s="1316">
        <f t="shared" si="39"/>
        <v>5037</v>
      </c>
      <c r="AU26" s="2299">
        <f t="shared" si="40"/>
        <v>5037</v>
      </c>
      <c r="AV26" s="1316">
        <f t="shared" si="10"/>
        <v>79523</v>
      </c>
      <c r="AW26" s="1316">
        <f t="shared" si="11"/>
        <v>79523</v>
      </c>
      <c r="AX26" s="1350">
        <f t="shared" si="41"/>
        <v>6.3340165738214105E-2</v>
      </c>
      <c r="AY26" s="1335">
        <f t="shared" si="12"/>
        <v>5.1011794376912244E-2</v>
      </c>
      <c r="AZ26" s="1335">
        <f t="shared" si="13"/>
        <v>5.1011794376912244E-2</v>
      </c>
      <c r="BA26" s="1316">
        <f t="shared" si="14"/>
        <v>4056.6109242351922</v>
      </c>
      <c r="BB26" s="1316">
        <f t="shared" si="42"/>
        <v>4056.6109242351922</v>
      </c>
      <c r="BC26" s="1316">
        <f t="shared" si="15"/>
        <v>83579.610924235196</v>
      </c>
      <c r="BD26" s="1316">
        <f t="shared" si="16"/>
        <v>83579.610924235196</v>
      </c>
      <c r="BE26" s="2299"/>
      <c r="BF26" s="1316">
        <f t="shared" si="43"/>
        <v>4184</v>
      </c>
      <c r="BG26" s="1348">
        <f t="shared" si="44"/>
        <v>4.9983872316532667E-2</v>
      </c>
      <c r="BH26" s="1348">
        <f t="shared" si="35"/>
        <v>0.95001612768346733</v>
      </c>
      <c r="BI26" s="1348">
        <f t="shared" si="33"/>
        <v>0.60779229818852554</v>
      </c>
      <c r="BJ26" s="1344"/>
      <c r="BK26" s="1316">
        <f t="shared" si="45"/>
        <v>83707</v>
      </c>
      <c r="BL26" s="1344" t="b">
        <f t="shared" si="46"/>
        <v>1</v>
      </c>
      <c r="BM26" s="1345"/>
      <c r="BN26" s="1345"/>
      <c r="BO26" s="1345"/>
      <c r="BP26" s="1345"/>
      <c r="BQ26" s="2071">
        <v>1</v>
      </c>
      <c r="BR26" s="1316"/>
      <c r="BS26" s="1316"/>
      <c r="BT26" s="1938"/>
      <c r="BU26" s="1938"/>
      <c r="BV26" s="1316"/>
      <c r="BW26" s="2226">
        <f t="shared" si="69"/>
        <v>83707</v>
      </c>
      <c r="BX26" s="2215"/>
      <c r="BY26" s="1456"/>
      <c r="BZ26" s="1468">
        <f t="shared" si="18"/>
        <v>119664</v>
      </c>
      <c r="CA26" s="1469">
        <f t="shared" si="56"/>
        <v>1691</v>
      </c>
      <c r="CB26" s="1469">
        <f t="shared" si="20"/>
        <v>41</v>
      </c>
      <c r="CC26" s="1470">
        <f t="shared" si="53"/>
        <v>0.69</v>
      </c>
      <c r="CD26" s="1470">
        <f t="shared" si="57"/>
        <v>1</v>
      </c>
      <c r="CE26" s="1470">
        <f>1</f>
        <v>1</v>
      </c>
      <c r="CF26" s="1665">
        <f t="shared" si="54"/>
        <v>83706.659999999989</v>
      </c>
      <c r="CG26" s="1666">
        <v>83707</v>
      </c>
      <c r="CH26" s="1661">
        <f t="shared" si="58"/>
        <v>0.34000000001105946</v>
      </c>
      <c r="CI26" s="1547">
        <f t="shared" si="59"/>
        <v>4.0618034456405199E-6</v>
      </c>
      <c r="CJ26" s="1678">
        <f t="shared" si="60"/>
        <v>0</v>
      </c>
      <c r="CK26" s="1679">
        <f t="shared" si="61"/>
        <v>0</v>
      </c>
      <c r="CL26" s="1668"/>
      <c r="CM26" s="1013">
        <f t="shared" si="27"/>
        <v>86190.333880198392</v>
      </c>
      <c r="CN26" s="1014">
        <f t="shared" si="47"/>
        <v>-2.9666979824846094E-2</v>
      </c>
    </row>
    <row r="27" spans="1:106" x14ac:dyDescent="0.3">
      <c r="A27" s="1342">
        <v>2002</v>
      </c>
      <c r="B27" s="1336">
        <v>50557</v>
      </c>
      <c r="C27" s="1468">
        <f t="shared" si="0"/>
        <v>51515</v>
      </c>
      <c r="D27" s="1536">
        <v>49610</v>
      </c>
      <c r="E27" s="1536">
        <f t="shared" si="72"/>
        <v>51496</v>
      </c>
      <c r="F27" s="1536">
        <v>64</v>
      </c>
      <c r="G27" s="1507">
        <v>44320</v>
      </c>
      <c r="H27" s="1346">
        <v>12373</v>
      </c>
      <c r="I27" s="1507">
        <f t="shared" si="68"/>
        <v>12373</v>
      </c>
      <c r="J27" s="1316">
        <v>10586</v>
      </c>
      <c r="K27" s="1316">
        <v>9594</v>
      </c>
      <c r="L27" s="1315">
        <v>10659</v>
      </c>
      <c r="M27" s="1525">
        <v>27241</v>
      </c>
      <c r="N27" s="1380" t="str">
        <f t="shared" si="28"/>
        <v/>
      </c>
      <c r="O27" s="1430">
        <f t="shared" si="4"/>
        <v>0.90658048151860415</v>
      </c>
      <c r="P27" s="1543">
        <f t="shared" si="5"/>
        <v>0.27917418772563179</v>
      </c>
      <c r="Q27" s="1334">
        <f t="shared" si="6"/>
        <v>0.23885379061371842</v>
      </c>
      <c r="R27" s="1335">
        <f t="shared" si="7"/>
        <v>0.24050090252707582</v>
      </c>
      <c r="S27" s="1317">
        <v>0.27</v>
      </c>
      <c r="T27" s="1317">
        <v>0.25014670328380628</v>
      </c>
      <c r="U27" s="1559">
        <f t="shared" si="70"/>
        <v>0.28000000000000003</v>
      </c>
      <c r="V27" s="1560">
        <f t="shared" si="71"/>
        <v>0.72082581227436826</v>
      </c>
      <c r="W27" s="1529">
        <f t="shared" si="67"/>
        <v>31947</v>
      </c>
      <c r="X27" s="1531">
        <f t="shared" si="64"/>
        <v>8.8317539226347677E-2</v>
      </c>
      <c r="Y27" s="1316">
        <f t="shared" si="48"/>
        <v>14406.28</v>
      </c>
      <c r="Z27" s="1316">
        <f t="shared" si="49"/>
        <v>12374.011935920578</v>
      </c>
      <c r="AA27" s="1315">
        <f t="shared" si="73"/>
        <v>13394.7</v>
      </c>
      <c r="AB27" s="1468">
        <f t="shared" si="65"/>
        <v>32200.210592088326</v>
      </c>
      <c r="AC27" s="1622">
        <f t="shared" si="29"/>
        <v>36674.550000000003</v>
      </c>
      <c r="AD27" s="2214">
        <f t="shared" si="55"/>
        <v>14406</v>
      </c>
      <c r="AE27" s="2215">
        <f t="shared" si="31"/>
        <v>37045</v>
      </c>
      <c r="AF27" s="2208">
        <f t="shared" si="63"/>
        <v>3111.0132094168475</v>
      </c>
      <c r="AG27" s="1347">
        <v>0.01</v>
      </c>
      <c r="AH27" s="1529">
        <f t="shared" si="66"/>
        <v>4706</v>
      </c>
      <c r="AI27" s="1536">
        <v>19</v>
      </c>
      <c r="AJ27" s="2299">
        <v>2564</v>
      </c>
      <c r="AK27" s="1316"/>
      <c r="AL27" s="1316"/>
      <c r="AM27" s="1316"/>
      <c r="AN27" s="1316"/>
      <c r="AO27" s="1316"/>
      <c r="AP27" s="1316"/>
      <c r="AQ27" s="1562">
        <f t="shared" si="36"/>
        <v>2545</v>
      </c>
      <c r="AR27" s="1469">
        <f t="shared" si="37"/>
        <v>2564</v>
      </c>
      <c r="AS27" s="1429">
        <f t="shared" si="38"/>
        <v>1848.1973826714802</v>
      </c>
      <c r="AT27" s="1316">
        <f t="shared" si="39"/>
        <v>717.92000000000007</v>
      </c>
      <c r="AU27" s="2299">
        <f t="shared" si="40"/>
        <v>717.92000000000007</v>
      </c>
      <c r="AV27" s="1316">
        <f t="shared" si="10"/>
        <v>13090.92</v>
      </c>
      <c r="AW27" s="1316">
        <f t="shared" si="11"/>
        <v>11376.92</v>
      </c>
      <c r="AX27" s="1350">
        <f t="shared" si="41"/>
        <v>6.3103194889302203E-2</v>
      </c>
      <c r="AY27" s="1335">
        <f t="shared" si="12"/>
        <v>9.2467653520939289E-2</v>
      </c>
      <c r="AZ27" s="1335">
        <f t="shared" si="13"/>
        <v>0.21133957699904576</v>
      </c>
      <c r="BA27" s="1316">
        <f t="shared" si="14"/>
        <v>1210.4866548303346</v>
      </c>
      <c r="BB27" s="1316">
        <f t="shared" si="42"/>
        <v>2404.3934603519838</v>
      </c>
      <c r="BC27" s="1316">
        <f t="shared" si="15"/>
        <v>14301.406654830334</v>
      </c>
      <c r="BD27" s="1316">
        <f t="shared" si="16"/>
        <v>13781.313460351983</v>
      </c>
      <c r="BE27" s="2299"/>
      <c r="BF27" s="1316">
        <f t="shared" si="43"/>
        <v>3029.08</v>
      </c>
      <c r="BG27" s="1348">
        <f t="shared" si="44"/>
        <v>0.21026516729140635</v>
      </c>
      <c r="BH27" s="1348">
        <f t="shared" si="35"/>
        <v>0.78973483270859368</v>
      </c>
      <c r="BI27" s="1348">
        <f t="shared" si="33"/>
        <v>0.20785970570449505</v>
      </c>
      <c r="BJ27" s="1344"/>
      <c r="BK27" s="1316">
        <f t="shared" si="45"/>
        <v>14406</v>
      </c>
      <c r="BL27" s="1344" t="b">
        <f t="shared" si="46"/>
        <v>1</v>
      </c>
      <c r="BM27" s="1345"/>
      <c r="BN27" s="1345"/>
      <c r="BO27" s="1345"/>
      <c r="BP27" s="1345"/>
      <c r="BQ27" s="2071">
        <v>1</v>
      </c>
      <c r="BR27" s="1316"/>
      <c r="BS27" s="1316"/>
      <c r="BT27" s="1938"/>
      <c r="BU27" s="1938"/>
      <c r="BV27" s="1316"/>
      <c r="BW27" s="2226">
        <f t="shared" si="69"/>
        <v>14406</v>
      </c>
      <c r="BX27" s="2215"/>
      <c r="BY27" s="1456"/>
      <c r="BZ27" s="1468">
        <f t="shared" si="18"/>
        <v>51496</v>
      </c>
      <c r="CA27" s="1469">
        <f t="shared" si="56"/>
        <v>19</v>
      </c>
      <c r="CB27" s="1469">
        <f t="shared" si="20"/>
        <v>64</v>
      </c>
      <c r="CC27" s="1470">
        <f t="shared" si="53"/>
        <v>0.28000000000000003</v>
      </c>
      <c r="CD27" s="1470">
        <f t="shared" si="57"/>
        <v>1</v>
      </c>
      <c r="CE27" s="1470">
        <f>1</f>
        <v>1</v>
      </c>
      <c r="CF27" s="1665">
        <f t="shared" si="54"/>
        <v>14406.28</v>
      </c>
      <c r="CG27" s="1666">
        <v>14408</v>
      </c>
      <c r="CH27" s="1661">
        <f t="shared" si="58"/>
        <v>1.7199999999993452</v>
      </c>
      <c r="CI27" s="1547">
        <f t="shared" si="59"/>
        <v>1.1939237610259866E-4</v>
      </c>
      <c r="CJ27" s="1678">
        <f t="shared" si="60"/>
        <v>2</v>
      </c>
      <c r="CK27" s="1679">
        <f t="shared" si="61"/>
        <v>1.3883104262113008E-4</v>
      </c>
      <c r="CL27" s="1668"/>
      <c r="CM27" s="1013">
        <f t="shared" si="27"/>
        <v>12374.011935920578</v>
      </c>
      <c r="CN27" s="1014">
        <f t="shared" si="47"/>
        <v>0.1410515107649189</v>
      </c>
    </row>
    <row r="28" spans="1:106" x14ac:dyDescent="0.3">
      <c r="A28" s="1342">
        <v>2003</v>
      </c>
      <c r="B28" s="1336">
        <v>39291</v>
      </c>
      <c r="C28" s="1468">
        <f t="shared" si="0"/>
        <v>40728</v>
      </c>
      <c r="D28" s="1536">
        <v>39291</v>
      </c>
      <c r="E28" s="1536">
        <f t="shared" si="72"/>
        <v>40728</v>
      </c>
      <c r="F28" s="1536">
        <v>40</v>
      </c>
      <c r="G28" s="1507">
        <v>34779</v>
      </c>
      <c r="H28" s="1346">
        <v>30355</v>
      </c>
      <c r="I28" s="1507">
        <f t="shared" si="68"/>
        <v>30355</v>
      </c>
      <c r="J28" s="1316">
        <v>28977</v>
      </c>
      <c r="K28" s="1316">
        <v>24684</v>
      </c>
      <c r="L28" s="1315">
        <v>29374</v>
      </c>
      <c r="M28" s="1525">
        <v>4699</v>
      </c>
      <c r="N28" s="1380" t="str">
        <f t="shared" si="28"/>
        <v/>
      </c>
      <c r="O28" s="1430">
        <f t="shared" si="4"/>
        <v>0.87830193444113336</v>
      </c>
      <c r="P28" s="1817">
        <f t="shared" si="5"/>
        <v>0.87279680266827686</v>
      </c>
      <c r="Q28" s="1334">
        <f t="shared" si="6"/>
        <v>0.8331751919261623</v>
      </c>
      <c r="R28" s="1335">
        <f t="shared" si="7"/>
        <v>0.84459012622559593</v>
      </c>
      <c r="S28" s="1317">
        <v>0.84000000000000008</v>
      </c>
      <c r="T28" s="1317">
        <v>0.87278693528693529</v>
      </c>
      <c r="U28" s="1816">
        <f t="shared" si="70"/>
        <v>0.86</v>
      </c>
      <c r="V28" s="1560">
        <f t="shared" si="71"/>
        <v>0.13511026769027287</v>
      </c>
      <c r="W28" s="1529">
        <f t="shared" si="67"/>
        <v>4699</v>
      </c>
      <c r="X28" s="1531">
        <f t="shared" si="64"/>
        <v>0.11832154782950305</v>
      </c>
      <c r="Y28" s="1316">
        <f t="shared" si="48"/>
        <v>34991.68</v>
      </c>
      <c r="Z28" s="1316">
        <f t="shared" si="49"/>
        <v>34364.683055867048</v>
      </c>
      <c r="AA28" s="1315">
        <f t="shared" si="73"/>
        <v>33004.44</v>
      </c>
      <c r="AB28" s="1468">
        <f t="shared" si="65"/>
        <v>5470.6831698101314</v>
      </c>
      <c r="AC28" s="1622">
        <f t="shared" si="29"/>
        <v>5639.04</v>
      </c>
      <c r="AD28" s="2214">
        <f t="shared" si="55"/>
        <v>34992</v>
      </c>
      <c r="AE28" s="2215">
        <f t="shared" si="31"/>
        <v>5696</v>
      </c>
      <c r="AF28" s="2208">
        <f t="shared" si="63"/>
        <v>633.03168471855304</v>
      </c>
      <c r="AG28" s="1347">
        <v>0.01</v>
      </c>
      <c r="AH28" s="1530">
        <f t="shared" si="66"/>
        <v>0</v>
      </c>
      <c r="AI28" s="1536">
        <v>0</v>
      </c>
      <c r="AJ28" s="2299">
        <v>1090</v>
      </c>
      <c r="AK28" s="1316"/>
      <c r="AL28" s="1316"/>
      <c r="AM28" s="1316"/>
      <c r="AN28" s="1316"/>
      <c r="AO28" s="1316"/>
      <c r="AP28" s="1316"/>
      <c r="AQ28" s="1562">
        <f t="shared" si="36"/>
        <v>1090</v>
      </c>
      <c r="AR28" s="1469">
        <f t="shared" si="37"/>
        <v>1090</v>
      </c>
      <c r="AS28" s="1429">
        <f t="shared" si="38"/>
        <v>138.65148509157822</v>
      </c>
      <c r="AT28" s="1316">
        <f t="shared" si="39"/>
        <v>937.4</v>
      </c>
      <c r="AU28" s="2299">
        <f t="shared" si="40"/>
        <v>937.4</v>
      </c>
      <c r="AV28" s="1316">
        <f t="shared" si="10"/>
        <v>31292.400000000001</v>
      </c>
      <c r="AW28" s="1316">
        <f t="shared" si="11"/>
        <v>30311.4</v>
      </c>
      <c r="AX28" s="1350">
        <f t="shared" si="41"/>
        <v>3.0925658333168377E-2</v>
      </c>
      <c r="AY28" s="1335">
        <f t="shared" si="12"/>
        <v>0.10659714133011748</v>
      </c>
      <c r="AZ28" s="1335">
        <f t="shared" si="13"/>
        <v>0.13460484301982986</v>
      </c>
      <c r="BA28" s="1316">
        <f t="shared" si="14"/>
        <v>3335.6803853585684</v>
      </c>
      <c r="BB28" s="1316">
        <f t="shared" si="42"/>
        <v>4080.061238711271</v>
      </c>
      <c r="BC28" s="1316">
        <f t="shared" si="15"/>
        <v>34628.080385358568</v>
      </c>
      <c r="BD28" s="1316">
        <f t="shared" si="16"/>
        <v>34391.461238711272</v>
      </c>
      <c r="BE28" s="2299"/>
      <c r="BF28" s="1316">
        <f t="shared" si="43"/>
        <v>4680.5999999999985</v>
      </c>
      <c r="BG28" s="1348">
        <f t="shared" si="44"/>
        <v>0.13376200274348418</v>
      </c>
      <c r="BH28" s="1348">
        <f t="shared" si="35"/>
        <v>0.86623799725651585</v>
      </c>
      <c r="BI28" s="1348">
        <f t="shared" si="33"/>
        <v>0.65209335471227514</v>
      </c>
      <c r="BJ28" s="1344"/>
      <c r="BK28" s="1316">
        <f t="shared" si="45"/>
        <v>34992</v>
      </c>
      <c r="BL28" s="1344" t="b">
        <f t="shared" si="46"/>
        <v>1</v>
      </c>
      <c r="BM28" s="1345"/>
      <c r="BN28" s="1345"/>
      <c r="BO28" s="1345"/>
      <c r="BP28" s="1345"/>
      <c r="BQ28" s="2071">
        <v>1</v>
      </c>
      <c r="BR28" s="1316"/>
      <c r="BS28" s="1316"/>
      <c r="BT28" s="1938"/>
      <c r="BU28" s="1938"/>
      <c r="BV28" s="1316"/>
      <c r="BW28" s="2226">
        <f t="shared" si="69"/>
        <v>34992</v>
      </c>
      <c r="BX28" s="2215"/>
      <c r="BY28" s="1456"/>
      <c r="BZ28" s="1468">
        <f t="shared" si="18"/>
        <v>40728</v>
      </c>
      <c r="CA28" s="1469">
        <f t="shared" si="56"/>
        <v>0</v>
      </c>
      <c r="CB28" s="1469">
        <f t="shared" si="20"/>
        <v>40</v>
      </c>
      <c r="CC28" s="1470">
        <f t="shared" si="53"/>
        <v>0.86</v>
      </c>
      <c r="CD28" s="1470">
        <f t="shared" si="57"/>
        <v>1</v>
      </c>
      <c r="CE28" s="1470">
        <f>1</f>
        <v>1</v>
      </c>
      <c r="CF28" s="1665">
        <f t="shared" si="54"/>
        <v>34991.68</v>
      </c>
      <c r="CG28" s="1666">
        <v>34992</v>
      </c>
      <c r="CH28" s="1661">
        <f t="shared" si="58"/>
        <v>0.31999999999970896</v>
      </c>
      <c r="CI28" s="1547">
        <f t="shared" si="59"/>
        <v>9.1450310473720891E-6</v>
      </c>
      <c r="CJ28" s="1678">
        <f t="shared" si="60"/>
        <v>0</v>
      </c>
      <c r="CK28" s="1679">
        <f t="shared" si="61"/>
        <v>0</v>
      </c>
      <c r="CL28" s="1668"/>
      <c r="CM28" s="1013">
        <f t="shared" si="27"/>
        <v>34364.683055867048</v>
      </c>
      <c r="CN28" s="1014">
        <f t="shared" si="47"/>
        <v>1.792743896127549E-2</v>
      </c>
    </row>
    <row r="29" spans="1:106" x14ac:dyDescent="0.3">
      <c r="A29" s="1342">
        <v>2004</v>
      </c>
      <c r="B29" s="1336">
        <v>130231</v>
      </c>
      <c r="C29" s="1468">
        <f t="shared" si="0"/>
        <v>129057</v>
      </c>
      <c r="D29" s="1536">
        <v>123291</v>
      </c>
      <c r="E29" s="1536">
        <f t="shared" si="72"/>
        <v>128385</v>
      </c>
      <c r="F29" s="1536">
        <v>118</v>
      </c>
      <c r="G29" s="1507">
        <v>106666</v>
      </c>
      <c r="H29" s="1346">
        <v>81338</v>
      </c>
      <c r="I29" s="1507">
        <f t="shared" si="68"/>
        <v>81338</v>
      </c>
      <c r="J29" s="1316">
        <v>78053</v>
      </c>
      <c r="K29" s="1316">
        <v>64959</v>
      </c>
      <c r="L29" s="1315">
        <v>78053</v>
      </c>
      <c r="M29" s="1525">
        <v>31409</v>
      </c>
      <c r="N29" s="1380" t="str">
        <f t="shared" si="28"/>
        <v/>
      </c>
      <c r="O29" s="1430">
        <f t="shared" si="4"/>
        <v>0.85591629086357146</v>
      </c>
      <c r="P29" s="1817">
        <f t="shared" si="5"/>
        <v>0.76254851592822459</v>
      </c>
      <c r="Q29" s="1334">
        <f t="shared" si="6"/>
        <v>0.73175144844655282</v>
      </c>
      <c r="R29" s="1335">
        <f t="shared" si="7"/>
        <v>0.73175144844655282</v>
      </c>
      <c r="S29" s="1317">
        <v>0.77000000000000013</v>
      </c>
      <c r="T29" s="1317">
        <v>0.75366728328952071</v>
      </c>
      <c r="U29" s="1816">
        <f t="shared" si="70"/>
        <v>0.71</v>
      </c>
      <c r="V29" s="1560">
        <f t="shared" si="71"/>
        <v>0.29446121538259612</v>
      </c>
      <c r="W29" s="1529">
        <f t="shared" si="67"/>
        <v>31408.999999999996</v>
      </c>
      <c r="X29" s="1531">
        <f t="shared" si="64"/>
        <v>0.13462631927405849</v>
      </c>
      <c r="Y29" s="1316">
        <f t="shared" si="48"/>
        <v>91546.69</v>
      </c>
      <c r="Z29" s="1316">
        <f t="shared" si="49"/>
        <v>94351.300011250074</v>
      </c>
      <c r="AA29" s="1315">
        <f t="shared" si="73"/>
        <v>94934.070000000022</v>
      </c>
      <c r="AB29" s="1468">
        <f t="shared" si="65"/>
        <v>37347.732415152721</v>
      </c>
      <c r="AC29" s="1622">
        <f t="shared" si="29"/>
        <v>35522.400000000001</v>
      </c>
      <c r="AD29" s="2214">
        <f t="shared" si="55"/>
        <v>91547</v>
      </c>
      <c r="AE29" s="2215">
        <f t="shared" si="31"/>
        <v>37392</v>
      </c>
      <c r="AF29" s="2208">
        <f t="shared" si="63"/>
        <v>4913.6543584148649</v>
      </c>
      <c r="AG29" s="1347">
        <v>0.05</v>
      </c>
      <c r="AH29" s="1530">
        <f t="shared" si="66"/>
        <v>0</v>
      </c>
      <c r="AI29" s="1536">
        <v>672</v>
      </c>
      <c r="AJ29" s="2299">
        <v>4317</v>
      </c>
      <c r="AK29" s="1316"/>
      <c r="AL29" s="1316"/>
      <c r="AM29" s="1316">
        <v>0</v>
      </c>
      <c r="AN29" s="1316">
        <v>0</v>
      </c>
      <c r="AO29" s="1316">
        <v>0</v>
      </c>
      <c r="AP29" s="1316">
        <f>SUM(AK29:AO29)</f>
        <v>0</v>
      </c>
      <c r="AQ29" s="1562">
        <f t="shared" si="36"/>
        <v>3645</v>
      </c>
      <c r="AR29" s="1469">
        <f t="shared" si="37"/>
        <v>4317</v>
      </c>
      <c r="AS29" s="1429">
        <f t="shared" si="38"/>
        <v>1025.0780567378545</v>
      </c>
      <c r="AT29" s="1316">
        <f t="shared" si="39"/>
        <v>3065.0699999999997</v>
      </c>
      <c r="AU29" s="2299">
        <f t="shared" si="40"/>
        <v>3065.0699999999997</v>
      </c>
      <c r="AV29" s="1316">
        <f t="shared" si="10"/>
        <v>84403.07</v>
      </c>
      <c r="AW29" s="1316">
        <f t="shared" si="11"/>
        <v>81118.070000000007</v>
      </c>
      <c r="AX29" s="1350">
        <f t="shared" si="41"/>
        <v>3.7785292475523632E-2</v>
      </c>
      <c r="AY29" s="1335">
        <f t="shared" si="12"/>
        <v>7.9288364059027908E-2</v>
      </c>
      <c r="AZ29" s="1335">
        <f t="shared" si="13"/>
        <v>0.11532653489970464</v>
      </c>
      <c r="BA29" s="1316">
        <f t="shared" si="14"/>
        <v>6692.1813418596175</v>
      </c>
      <c r="BB29" s="1316">
        <f t="shared" si="42"/>
        <v>9355.0659308516842</v>
      </c>
      <c r="BC29" s="1316">
        <f t="shared" si="15"/>
        <v>91095.251341859621</v>
      </c>
      <c r="BD29" s="1316">
        <f t="shared" si="16"/>
        <v>90473.135930851684</v>
      </c>
      <c r="BE29" s="2301">
        <v>112</v>
      </c>
      <c r="BF29" s="1316">
        <f t="shared" si="43"/>
        <v>10428.929999999993</v>
      </c>
      <c r="BG29" s="1348">
        <f t="shared" si="44"/>
        <v>0.11391886134990763</v>
      </c>
      <c r="BH29" s="1348">
        <f t="shared" si="35"/>
        <v>0.88608113865009241</v>
      </c>
      <c r="BI29" s="1348">
        <f t="shared" si="33"/>
        <v>0.55173589313088556</v>
      </c>
      <c r="BJ29" s="1344"/>
      <c r="BK29" s="1316">
        <f t="shared" si="45"/>
        <v>91547</v>
      </c>
      <c r="BL29" s="1344" t="b">
        <f t="shared" si="46"/>
        <v>1</v>
      </c>
      <c r="BM29" s="1345"/>
      <c r="BN29" s="1345"/>
      <c r="BO29" s="1345"/>
      <c r="BP29" s="1345"/>
      <c r="BQ29" s="2071">
        <v>1</v>
      </c>
      <c r="BR29" s="1316"/>
      <c r="BS29" s="1316"/>
      <c r="BT29" s="1938"/>
      <c r="BU29" s="1938"/>
      <c r="BV29" s="1316"/>
      <c r="BW29" s="2226">
        <f t="shared" si="69"/>
        <v>91547</v>
      </c>
      <c r="BX29" s="2215"/>
      <c r="BY29" s="1456"/>
      <c r="BZ29" s="1468">
        <f t="shared" si="18"/>
        <v>128385</v>
      </c>
      <c r="CA29" s="1469">
        <f t="shared" si="56"/>
        <v>672</v>
      </c>
      <c r="CB29" s="1469">
        <f t="shared" si="20"/>
        <v>118</v>
      </c>
      <c r="CC29" s="1470">
        <f t="shared" si="53"/>
        <v>0.71</v>
      </c>
      <c r="CD29" s="1470">
        <f t="shared" si="57"/>
        <v>1</v>
      </c>
      <c r="CE29" s="1470">
        <f>1</f>
        <v>1</v>
      </c>
      <c r="CF29" s="1665">
        <f t="shared" ref="CF29:CF34" si="74">(BZ29+CA29-CB29)*CC29*CD29*CE29</f>
        <v>91546.69</v>
      </c>
      <c r="CG29" s="1666">
        <v>91554</v>
      </c>
      <c r="CH29" s="1661">
        <f t="shared" si="58"/>
        <v>7.3099999999976717</v>
      </c>
      <c r="CI29" s="1547">
        <f t="shared" si="59"/>
        <v>7.9849965083365342E-5</v>
      </c>
      <c r="CJ29" s="1678">
        <f t="shared" si="60"/>
        <v>7</v>
      </c>
      <c r="CK29" s="1679">
        <f t="shared" si="61"/>
        <v>7.6463455929741013E-5</v>
      </c>
      <c r="CL29" s="1668"/>
      <c r="CM29" s="1013">
        <f t="shared" si="27"/>
        <v>94351.300011250074</v>
      </c>
      <c r="CN29" s="1014">
        <f t="shared" si="47"/>
        <v>-3.0632352903427463E-2</v>
      </c>
    </row>
    <row r="30" spans="1:106" x14ac:dyDescent="0.3">
      <c r="A30" s="1342">
        <v>2005</v>
      </c>
      <c r="B30" s="1336">
        <v>77399</v>
      </c>
      <c r="C30" s="1468">
        <f t="shared" si="0"/>
        <v>75878</v>
      </c>
      <c r="D30" s="1807">
        <v>72971</v>
      </c>
      <c r="E30" s="1807">
        <f t="shared" si="72"/>
        <v>75874</v>
      </c>
      <c r="F30" s="1536">
        <v>19</v>
      </c>
      <c r="G30" s="1507">
        <v>71226</v>
      </c>
      <c r="H30" s="1346">
        <v>55570</v>
      </c>
      <c r="I30" s="1507">
        <f t="shared" si="68"/>
        <v>55570</v>
      </c>
      <c r="J30" s="1316">
        <v>55559</v>
      </c>
      <c r="K30" s="1316">
        <v>46891</v>
      </c>
      <c r="L30" s="1315">
        <v>55559</v>
      </c>
      <c r="M30" s="1525">
        <v>14176</v>
      </c>
      <c r="N30" s="1380" t="str">
        <f t="shared" si="28"/>
        <v/>
      </c>
      <c r="O30" s="1430">
        <f t="shared" si="4"/>
        <v>0.97445719836372835</v>
      </c>
      <c r="P30" s="1543">
        <f t="shared" si="5"/>
        <v>0.78019262628815322</v>
      </c>
      <c r="Q30" s="1334">
        <f t="shared" si="6"/>
        <v>0.78003818830202454</v>
      </c>
      <c r="R30" s="1335">
        <f t="shared" si="7"/>
        <v>0.78003818830202454</v>
      </c>
      <c r="S30" s="1317">
        <v>0.78000000000000014</v>
      </c>
      <c r="T30" s="1317">
        <v>0.78290130693413229</v>
      </c>
      <c r="U30" s="1559">
        <f t="shared" si="70"/>
        <v>0.78</v>
      </c>
      <c r="V30" s="1560">
        <f t="shared" si="71"/>
        <v>0.21980737371184678</v>
      </c>
      <c r="W30" s="1529">
        <f t="shared" si="67"/>
        <v>15655.999999999998</v>
      </c>
      <c r="X30" s="1531">
        <f t="shared" si="64"/>
        <v>2.4553865619316235E-2</v>
      </c>
      <c r="Y30" s="1316">
        <f t="shared" si="48"/>
        <v>59170.020000000004</v>
      </c>
      <c r="Z30" s="1316">
        <f t="shared" si="49"/>
        <v>59172.916926403283</v>
      </c>
      <c r="AA30" s="1315">
        <f t="shared" si="73"/>
        <v>56917.380000000012</v>
      </c>
      <c r="AB30" s="1468">
        <f t="shared" si="65"/>
        <v>15178.457351717367</v>
      </c>
      <c r="AC30" s="1622">
        <f t="shared" si="29"/>
        <v>16689</v>
      </c>
      <c r="AD30" s="2214">
        <f t="shared" si="55"/>
        <v>59170</v>
      </c>
      <c r="AE30" s="2215">
        <f t="shared" si="31"/>
        <v>16689</v>
      </c>
      <c r="AF30" s="2208">
        <f t="shared" si="63"/>
        <v>394.47015603039898</v>
      </c>
      <c r="AG30" s="1347">
        <v>0</v>
      </c>
      <c r="AH30" s="1529">
        <f t="shared" si="66"/>
        <v>1479.9999999999982</v>
      </c>
      <c r="AI30" s="1536">
        <v>4</v>
      </c>
      <c r="AJ30" s="2299">
        <v>2766</v>
      </c>
      <c r="AK30" s="1316"/>
      <c r="AL30" s="1316"/>
      <c r="AM30" s="1316"/>
      <c r="AN30" s="1316"/>
      <c r="AO30" s="1316"/>
      <c r="AP30" s="1316"/>
      <c r="AQ30" s="1562">
        <f t="shared" si="36"/>
        <v>2762</v>
      </c>
      <c r="AR30" s="1469">
        <f t="shared" si="37"/>
        <v>2766</v>
      </c>
      <c r="AS30" s="1429">
        <f t="shared" si="38"/>
        <v>607.98719568696822</v>
      </c>
      <c r="AT30" s="1316">
        <f t="shared" si="39"/>
        <v>2157.48</v>
      </c>
      <c r="AU30" s="2299">
        <f t="shared" si="40"/>
        <v>2157.48</v>
      </c>
      <c r="AV30" s="1316">
        <f t="shared" si="10"/>
        <v>57727.48</v>
      </c>
      <c r="AW30" s="1316">
        <f t="shared" si="11"/>
        <v>57716.480000000003</v>
      </c>
      <c r="AX30" s="1350">
        <f t="shared" si="41"/>
        <v>3.7380658002705638E-2</v>
      </c>
      <c r="AY30" s="1335">
        <f t="shared" si="12"/>
        <v>2.4625171421175339E-2</v>
      </c>
      <c r="AZ30" s="1335">
        <f t="shared" si="13"/>
        <v>2.4811039625073434E-2</v>
      </c>
      <c r="BA30" s="1316">
        <f t="shared" si="14"/>
        <v>1421.5490907124711</v>
      </c>
      <c r="BB30" s="1316">
        <f t="shared" si="42"/>
        <v>1432.0058722997585</v>
      </c>
      <c r="BC30" s="1316">
        <f t="shared" si="15"/>
        <v>59149.029090712473</v>
      </c>
      <c r="BD30" s="1316">
        <f t="shared" si="16"/>
        <v>59148.48587229976</v>
      </c>
      <c r="BE30" s="2301"/>
      <c r="BF30" s="1316">
        <f t="shared" si="43"/>
        <v>1453.5199999999968</v>
      </c>
      <c r="BG30" s="1348">
        <f t="shared" si="44"/>
        <v>2.4565151259083942E-2</v>
      </c>
      <c r="BH30" s="1348">
        <f t="shared" si="35"/>
        <v>0.97543484874091602</v>
      </c>
      <c r="BI30" s="1348">
        <f t="shared" si="33"/>
        <v>0.67216401036028017</v>
      </c>
      <c r="BJ30" s="1344"/>
      <c r="BK30" s="1316">
        <f t="shared" si="45"/>
        <v>59170</v>
      </c>
      <c r="BL30" s="1344" t="b">
        <f t="shared" si="46"/>
        <v>1</v>
      </c>
      <c r="BM30" s="1345"/>
      <c r="BN30" s="1345"/>
      <c r="BO30" s="1345"/>
      <c r="BP30" s="1345"/>
      <c r="BQ30" s="2071">
        <v>1</v>
      </c>
      <c r="BR30" s="1316"/>
      <c r="BS30" s="1316"/>
      <c r="BT30" s="1938"/>
      <c r="BU30" s="1938"/>
      <c r="BV30" s="1316"/>
      <c r="BW30" s="2226">
        <f t="shared" si="69"/>
        <v>59170</v>
      </c>
      <c r="BX30" s="2215"/>
      <c r="BY30" s="1456"/>
      <c r="BZ30" s="1468">
        <f t="shared" si="18"/>
        <v>75874</v>
      </c>
      <c r="CA30" s="1469">
        <f t="shared" si="56"/>
        <v>4</v>
      </c>
      <c r="CB30" s="1469">
        <f t="shared" si="20"/>
        <v>19</v>
      </c>
      <c r="CC30" s="1470">
        <f t="shared" si="53"/>
        <v>0.78</v>
      </c>
      <c r="CD30" s="1470">
        <f t="shared" si="57"/>
        <v>1</v>
      </c>
      <c r="CE30" s="1470">
        <f>1</f>
        <v>1</v>
      </c>
      <c r="CF30" s="1665">
        <f t="shared" si="74"/>
        <v>59170.020000000004</v>
      </c>
      <c r="CG30" s="1666">
        <v>59170</v>
      </c>
      <c r="CH30" s="1661">
        <f t="shared" si="58"/>
        <v>-2.0000000004074536E-2</v>
      </c>
      <c r="CI30" s="1547">
        <f t="shared" si="59"/>
        <v>-3.3800901206513933E-7</v>
      </c>
      <c r="CJ30" s="1678">
        <f t="shared" si="60"/>
        <v>0</v>
      </c>
      <c r="CK30" s="1679">
        <f t="shared" si="61"/>
        <v>0</v>
      </c>
      <c r="CL30" s="1668"/>
      <c r="CM30" s="1013">
        <f t="shared" si="27"/>
        <v>59172.916926403283</v>
      </c>
      <c r="CN30" s="1014">
        <f t="shared" si="47"/>
        <v>-4.929738724493087E-5</v>
      </c>
    </row>
    <row r="31" spans="1:106" x14ac:dyDescent="0.3">
      <c r="A31" s="1342">
        <v>2006</v>
      </c>
      <c r="B31" s="1336">
        <v>37067</v>
      </c>
      <c r="C31" s="1468">
        <f t="shared" si="0"/>
        <v>38407</v>
      </c>
      <c r="D31" s="1536">
        <v>37066</v>
      </c>
      <c r="E31" s="1536">
        <f t="shared" si="72"/>
        <v>38406</v>
      </c>
      <c r="F31" s="1536">
        <v>51</v>
      </c>
      <c r="G31" s="1507">
        <v>35132</v>
      </c>
      <c r="H31" s="1346">
        <v>25377</v>
      </c>
      <c r="I31" s="1507">
        <f t="shared" si="68"/>
        <v>25377</v>
      </c>
      <c r="J31" s="1316">
        <v>22075</v>
      </c>
      <c r="K31" s="1316">
        <v>18880</v>
      </c>
      <c r="L31" s="1315">
        <v>22075</v>
      </c>
      <c r="M31" s="1525">
        <v>9150</v>
      </c>
      <c r="N31" s="1380" t="str">
        <f t="shared" si="28"/>
        <v/>
      </c>
      <c r="O31" s="1430">
        <f t="shared" si="4"/>
        <v>0.95571273122959743</v>
      </c>
      <c r="P31" s="1543">
        <f t="shared" si="5"/>
        <v>0.72233291586018444</v>
      </c>
      <c r="Q31" s="1334">
        <f t="shared" si="6"/>
        <v>0.62834452920414441</v>
      </c>
      <c r="R31" s="1335">
        <f t="shared" si="7"/>
        <v>0.62834452920414441</v>
      </c>
      <c r="S31" s="1317">
        <v>0.72799999999999987</v>
      </c>
      <c r="T31" s="1317">
        <v>0.72233291586018444</v>
      </c>
      <c r="U31" s="1559">
        <f t="shared" si="70"/>
        <v>0.72</v>
      </c>
      <c r="V31" s="1560">
        <f t="shared" si="71"/>
        <v>0.27766708413981556</v>
      </c>
      <c r="W31" s="1529">
        <f t="shared" si="67"/>
        <v>9755</v>
      </c>
      <c r="X31" s="1531">
        <f t="shared" si="64"/>
        <v>4.2363172420975891E-2</v>
      </c>
      <c r="Y31" s="1316">
        <f t="shared" si="48"/>
        <v>27616.32</v>
      </c>
      <c r="Z31" s="1316">
        <f t="shared" si="49"/>
        <v>24100.782762154162</v>
      </c>
      <c r="AA31" s="1315">
        <f t="shared" si="73"/>
        <v>26984.047999999995</v>
      </c>
      <c r="AB31" s="1468">
        <f t="shared" si="65"/>
        <v>10025.547584132586</v>
      </c>
      <c r="AC31" s="1622">
        <f t="shared" si="29"/>
        <v>10417.799999999999</v>
      </c>
      <c r="AD31" s="2214">
        <f t="shared" si="55"/>
        <v>27616</v>
      </c>
      <c r="AE31" s="2215">
        <f t="shared" si="31"/>
        <v>10740</v>
      </c>
      <c r="AF31" s="2208">
        <f t="shared" si="63"/>
        <v>432.39091784543945</v>
      </c>
      <c r="AG31" s="1347">
        <v>0.03</v>
      </c>
      <c r="AH31" s="1529">
        <f t="shared" si="66"/>
        <v>605</v>
      </c>
      <c r="AI31" s="1536">
        <v>1</v>
      </c>
      <c r="AJ31" s="2299">
        <v>1596</v>
      </c>
      <c r="AK31" s="1316"/>
      <c r="AL31" s="1316"/>
      <c r="AM31" s="1316">
        <v>0</v>
      </c>
      <c r="AN31" s="1316">
        <v>0</v>
      </c>
      <c r="AO31" s="1316">
        <v>0</v>
      </c>
      <c r="AP31" s="1316">
        <f t="shared" ref="AP31:AP48" si="75">SUM(AK31:AO31)</f>
        <v>0</v>
      </c>
      <c r="AQ31" s="1562">
        <f t="shared" si="36"/>
        <v>1595</v>
      </c>
      <c r="AR31" s="1469">
        <f t="shared" si="37"/>
        <v>1596</v>
      </c>
      <c r="AS31" s="1429">
        <f t="shared" si="38"/>
        <v>443.15666628714564</v>
      </c>
      <c r="AT31" s="1316">
        <f t="shared" si="39"/>
        <v>1149.1199999999999</v>
      </c>
      <c r="AU31" s="2299">
        <f t="shared" si="40"/>
        <v>1149.1199999999999</v>
      </c>
      <c r="AV31" s="1316">
        <f t="shared" si="10"/>
        <v>26526.12</v>
      </c>
      <c r="AW31" s="1316">
        <f t="shared" si="11"/>
        <v>23224.12</v>
      </c>
      <c r="AX31" s="1350">
        <f t="shared" si="41"/>
        <v>4.9479592768208222E-2</v>
      </c>
      <c r="AY31" s="1335">
        <f t="shared" si="12"/>
        <v>4.0753180926591324E-2</v>
      </c>
      <c r="AZ31" s="1335">
        <f t="shared" si="13"/>
        <v>0.16016449975987548</v>
      </c>
      <c r="BA31" s="1316">
        <f t="shared" si="14"/>
        <v>1081.0237676404727</v>
      </c>
      <c r="BB31" s="1316">
        <f t="shared" si="42"/>
        <v>3719.6795621633191</v>
      </c>
      <c r="BC31" s="1316">
        <f t="shared" si="15"/>
        <v>27607.143767640471</v>
      </c>
      <c r="BD31" s="1316">
        <f t="shared" si="16"/>
        <v>26943.799562163316</v>
      </c>
      <c r="BE31" s="2301">
        <v>68.64</v>
      </c>
      <c r="BF31" s="1316">
        <f t="shared" si="43"/>
        <v>4391.880000000001</v>
      </c>
      <c r="BG31" s="1348">
        <f t="shared" si="44"/>
        <v>0.1590338933951333</v>
      </c>
      <c r="BH31" s="1348">
        <f t="shared" si="35"/>
        <v>0.8409661066048667</v>
      </c>
      <c r="BI31" s="1348">
        <f t="shared" si="33"/>
        <v>0.54036367560567633</v>
      </c>
      <c r="BJ31" s="1344"/>
      <c r="BK31" s="1316">
        <f t="shared" si="45"/>
        <v>27616</v>
      </c>
      <c r="BL31" s="1344" t="b">
        <f t="shared" si="46"/>
        <v>1</v>
      </c>
      <c r="BM31" s="1345"/>
      <c r="BN31" s="1345"/>
      <c r="BO31" s="1345"/>
      <c r="BP31" s="1345"/>
      <c r="BQ31" s="2071">
        <v>1</v>
      </c>
      <c r="BR31" s="1316"/>
      <c r="BS31" s="1316"/>
      <c r="BT31" s="1938"/>
      <c r="BU31" s="1938"/>
      <c r="BV31" s="1316"/>
      <c r="BW31" s="2226">
        <f t="shared" si="69"/>
        <v>27616</v>
      </c>
      <c r="BX31" s="2215"/>
      <c r="BY31" s="1456"/>
      <c r="BZ31" s="1468">
        <f t="shared" si="18"/>
        <v>38406</v>
      </c>
      <c r="CA31" s="1469">
        <f t="shared" si="56"/>
        <v>1</v>
      </c>
      <c r="CB31" s="1469">
        <f t="shared" si="20"/>
        <v>51</v>
      </c>
      <c r="CC31" s="1470">
        <f t="shared" si="53"/>
        <v>0.72</v>
      </c>
      <c r="CD31" s="1470">
        <f t="shared" si="57"/>
        <v>1</v>
      </c>
      <c r="CE31" s="1470">
        <f>1</f>
        <v>1</v>
      </c>
      <c r="CF31" s="1665">
        <f t="shared" si="74"/>
        <v>27616.32</v>
      </c>
      <c r="CG31" s="1666">
        <v>27616</v>
      </c>
      <c r="CH31" s="1661">
        <f t="shared" si="58"/>
        <v>-0.31999999999970896</v>
      </c>
      <c r="CI31" s="1547">
        <f t="shared" si="59"/>
        <v>-1.1587351247367823E-5</v>
      </c>
      <c r="CJ31" s="1678">
        <f t="shared" si="60"/>
        <v>0</v>
      </c>
      <c r="CK31" s="1679">
        <f t="shared" si="61"/>
        <v>0</v>
      </c>
      <c r="CL31" s="1668"/>
      <c r="CM31" s="1013">
        <f t="shared" si="27"/>
        <v>24100.782762154162</v>
      </c>
      <c r="CN31" s="1014">
        <f t="shared" si="47"/>
        <v>0.12728915258711754</v>
      </c>
    </row>
    <row r="32" spans="1:106" s="1448" customFormat="1" x14ac:dyDescent="0.3">
      <c r="A32" s="1552">
        <v>2007</v>
      </c>
      <c r="B32" s="1431">
        <v>26604</v>
      </c>
      <c r="C32" s="1500">
        <f t="shared" si="0"/>
        <v>25164</v>
      </c>
      <c r="D32" s="1539">
        <v>24376</v>
      </c>
      <c r="E32" s="1432">
        <f>ROUND((D32+BoostBonDamCounts*BoostBonDamCountPct*D32)*VLOOKUP(A32,BON_Count_Adjustment,5)+VLOOKUP(A32,BON_Count_Adjustment,4),0)</f>
        <v>25164</v>
      </c>
      <c r="F32" s="1538">
        <v>58</v>
      </c>
      <c r="G32" s="1432">
        <f>MAX(25122-ReduceRISdamCounts*BoostBonDamCountPct/2*25122,I32)</f>
        <v>23212.238718043656</v>
      </c>
      <c r="H32" s="1810">
        <v>20683</v>
      </c>
      <c r="I32" s="1812">
        <f t="shared" si="68"/>
        <v>22273</v>
      </c>
      <c r="J32" s="1433">
        <v>22273</v>
      </c>
      <c r="K32" s="1433">
        <v>19106</v>
      </c>
      <c r="L32" s="1811">
        <v>22273</v>
      </c>
      <c r="M32" s="1526">
        <v>2542</v>
      </c>
      <c r="N32" s="1435" t="str">
        <f t="shared" si="28"/>
        <v/>
      </c>
      <c r="O32" s="1556">
        <f t="shared" si="4"/>
        <v>0.9797500725157714</v>
      </c>
      <c r="P32" s="1815">
        <f t="shared" si="5"/>
        <v>0.95953691802619823</v>
      </c>
      <c r="Q32" s="1436">
        <f t="shared" si="6"/>
        <v>0.95953691802619823</v>
      </c>
      <c r="R32" s="1437">
        <f t="shared" si="7"/>
        <v>0.95953691802619823</v>
      </c>
      <c r="S32" s="1438">
        <v>0.85299999999999987</v>
      </c>
      <c r="T32" s="1438">
        <v>0.82300000000000006</v>
      </c>
      <c r="U32" s="1816">
        <f t="shared" si="70"/>
        <v>0.89</v>
      </c>
      <c r="V32" s="1560">
        <f t="shared" si="71"/>
        <v>0.10951119497250464</v>
      </c>
      <c r="W32" s="1529">
        <f t="shared" si="67"/>
        <v>2542</v>
      </c>
      <c r="X32" s="1531">
        <f t="shared" si="64"/>
        <v>1.9065382369907159E-2</v>
      </c>
      <c r="Y32" s="1433">
        <f t="shared" si="48"/>
        <v>22344.34</v>
      </c>
      <c r="Z32" s="1433">
        <f t="shared" si="49"/>
        <v>24090.133863965733</v>
      </c>
      <c r="AA32" s="1439">
        <f t="shared" si="73"/>
        <v>20792.727999999996</v>
      </c>
      <c r="AB32" s="1468">
        <f t="shared" si="65"/>
        <v>2648.6806804291978</v>
      </c>
      <c r="AC32" s="1623">
        <f t="shared" si="29"/>
        <v>2706.76</v>
      </c>
      <c r="AD32" s="2217">
        <f t="shared" si="55"/>
        <v>22344</v>
      </c>
      <c r="AE32" s="2216">
        <f t="shared" si="31"/>
        <v>2762</v>
      </c>
      <c r="AF32" s="2208">
        <f t="shared" si="63"/>
        <v>49.465882518241763</v>
      </c>
      <c r="AG32" s="1440">
        <v>0.02</v>
      </c>
      <c r="AH32" s="1529">
        <f t="shared" si="66"/>
        <v>0</v>
      </c>
      <c r="AI32" s="1536">
        <v>0</v>
      </c>
      <c r="AJ32" s="2300">
        <v>1414</v>
      </c>
      <c r="AK32" s="1433"/>
      <c r="AL32" s="1433"/>
      <c r="AM32" s="1433">
        <v>0</v>
      </c>
      <c r="AN32" s="1433">
        <v>0</v>
      </c>
      <c r="AO32" s="1433">
        <v>0</v>
      </c>
      <c r="AP32" s="1316">
        <f t="shared" si="75"/>
        <v>0</v>
      </c>
      <c r="AQ32" s="1563">
        <f t="shared" si="36"/>
        <v>1414</v>
      </c>
      <c r="AR32" s="1504">
        <f t="shared" si="37"/>
        <v>1414</v>
      </c>
      <c r="AS32" s="1441">
        <f t="shared" si="38"/>
        <v>57.21479791095571</v>
      </c>
      <c r="AT32" s="1433">
        <f t="shared" si="39"/>
        <v>1258.46</v>
      </c>
      <c r="AU32" s="2300">
        <f t="shared" si="40"/>
        <v>1258.46</v>
      </c>
      <c r="AV32" s="1433">
        <f t="shared" si="10"/>
        <v>23531.46</v>
      </c>
      <c r="AW32" s="1433">
        <f t="shared" si="11"/>
        <v>23531.46</v>
      </c>
      <c r="AX32" s="1442">
        <f t="shared" si="41"/>
        <v>5.3479894575177232E-2</v>
      </c>
      <c r="AY32" s="1437">
        <f t="shared" si="12"/>
        <v>-5.0701108592799818E-2</v>
      </c>
      <c r="AZ32" s="1437">
        <f t="shared" si="13"/>
        <v>-5.0701108592799818E-2</v>
      </c>
      <c r="BA32" s="1433">
        <f t="shared" si="14"/>
        <v>-1193.0711088071253</v>
      </c>
      <c r="BB32" s="1433">
        <f t="shared" si="42"/>
        <v>-1193.0711088071253</v>
      </c>
      <c r="BC32" s="1433">
        <f t="shared" si="15"/>
        <v>22338.388891192873</v>
      </c>
      <c r="BD32" s="1433">
        <f t="shared" si="16"/>
        <v>22338.388891192873</v>
      </c>
      <c r="BE32" s="2302">
        <v>204</v>
      </c>
      <c r="BF32" s="1433">
        <f t="shared" si="43"/>
        <v>-1187.4599999999991</v>
      </c>
      <c r="BG32" s="1443">
        <f t="shared" si="44"/>
        <v>-5.3144468313641204E-2</v>
      </c>
      <c r="BH32" s="1348">
        <f t="shared" si="35"/>
        <v>1</v>
      </c>
      <c r="BI32" s="1443">
        <f t="shared" si="33"/>
        <v>0.83543075155891033</v>
      </c>
      <c r="BJ32" s="1444"/>
      <c r="BK32" s="1433">
        <f t="shared" si="45"/>
        <v>22344</v>
      </c>
      <c r="BL32" s="1444" t="b">
        <f t="shared" si="46"/>
        <v>1</v>
      </c>
      <c r="BM32" s="1445"/>
      <c r="BN32" s="1445"/>
      <c r="BO32" s="1445"/>
      <c r="BP32" s="1445"/>
      <c r="BQ32" s="2072">
        <v>0.88137437900000004</v>
      </c>
      <c r="BR32" s="1316">
        <f t="shared" ref="BR32:BR45" si="76">VLOOKUP($A32,OK_AUC_Deadpitch_Summary,2)*1</f>
        <v>1619</v>
      </c>
      <c r="BS32" s="1316">
        <f t="shared" ref="BS32:BS46" si="77">VLOOKUP($A32,OK_AUC_Deadpitch_Summary,5)*1</f>
        <v>0</v>
      </c>
      <c r="BT32" s="1316">
        <f t="shared" ref="BT32:BT45" si="78">VLOOKUP($A32,OK_AUC_Deadpitch_Summary,9)*1</f>
        <v>13490</v>
      </c>
      <c r="BU32" s="1116">
        <f>(BT32-BS32-BR32)/BT32</f>
        <v>0.8799851742031134</v>
      </c>
      <c r="BV32" s="1318">
        <f>SUM(BR32,BS32)/BT32</f>
        <v>0.12001482579688658</v>
      </c>
      <c r="BW32" s="1807">
        <f>AD32*(1-BV32)</f>
        <v>19662.388732394367</v>
      </c>
      <c r="BX32" s="2224">
        <f>AD32*BV32</f>
        <v>2681.6112676056337</v>
      </c>
      <c r="BY32" s="1456"/>
      <c r="BZ32" s="1468">
        <f t="shared" si="18"/>
        <v>25164</v>
      </c>
      <c r="CA32" s="1469">
        <f t="shared" si="56"/>
        <v>0</v>
      </c>
      <c r="CB32" s="1469">
        <f t="shared" si="20"/>
        <v>58</v>
      </c>
      <c r="CC32" s="1470">
        <f t="shared" si="53"/>
        <v>0.89</v>
      </c>
      <c r="CD32" s="1936">
        <f t="shared" si="57"/>
        <v>0.8799851742031134</v>
      </c>
      <c r="CE32" s="1814">
        <f>1</f>
        <v>1</v>
      </c>
      <c r="CF32" s="1665">
        <f t="shared" si="74"/>
        <v>19662.687927353596</v>
      </c>
      <c r="CG32" s="1666">
        <v>22344</v>
      </c>
      <c r="CH32" s="1661">
        <f t="shared" si="58"/>
        <v>2681.312072646404</v>
      </c>
      <c r="CI32" s="1547">
        <f t="shared" si="59"/>
        <v>0.13636548993468575</v>
      </c>
      <c r="CJ32" s="1804">
        <f t="shared" si="60"/>
        <v>2681.6112676056327</v>
      </c>
      <c r="CK32" s="1805">
        <f t="shared" si="61"/>
        <v>0.13638278156852829</v>
      </c>
      <c r="CL32" s="1668"/>
      <c r="CM32" s="1446">
        <f t="shared" si="27"/>
        <v>21408.522596360101</v>
      </c>
      <c r="CN32" s="1447">
        <f t="shared" si="47"/>
        <v>-8.8805784878463218E-2</v>
      </c>
    </row>
    <row r="33" spans="1:92" x14ac:dyDescent="0.3">
      <c r="A33" s="1342">
        <v>2008</v>
      </c>
      <c r="B33" s="1336">
        <v>214465</v>
      </c>
      <c r="C33" s="1468">
        <f t="shared" si="0"/>
        <v>225383</v>
      </c>
      <c r="D33" s="1536">
        <v>213607</v>
      </c>
      <c r="E33" s="1536">
        <f t="shared" ref="E33:E48" si="79">ROUND(D33*VLOOKUP(A33,BON_Count_Adjustment,5)+VLOOKUP(A33,BON_Count_Adjustment,4),0)</f>
        <v>224525</v>
      </c>
      <c r="F33" s="1536">
        <v>890</v>
      </c>
      <c r="G33" s="1507">
        <v>193739</v>
      </c>
      <c r="H33" s="1346">
        <v>161343</v>
      </c>
      <c r="I33" s="1507">
        <f t="shared" si="68"/>
        <v>165334</v>
      </c>
      <c r="J33" s="1316">
        <v>165334</v>
      </c>
      <c r="K33" s="1316">
        <v>145067</v>
      </c>
      <c r="L33" s="1315">
        <v>165334</v>
      </c>
      <c r="M33" s="1525">
        <v>28240</v>
      </c>
      <c r="N33" s="1380" t="str">
        <f t="shared" si="28"/>
        <v/>
      </c>
      <c r="O33" s="1430">
        <f t="shared" si="4"/>
        <v>0.89926708472389194</v>
      </c>
      <c r="P33" s="1543">
        <f t="shared" si="5"/>
        <v>0.85338522445145271</v>
      </c>
      <c r="Q33" s="1334">
        <f t="shared" si="6"/>
        <v>0.85338522445145271</v>
      </c>
      <c r="R33" s="1335">
        <f t="shared" si="7"/>
        <v>0.85338522445145271</v>
      </c>
      <c r="S33" s="1317">
        <v>0.83299999999999996</v>
      </c>
      <c r="T33" s="1317">
        <v>0.87662988966900701</v>
      </c>
      <c r="U33" s="1559">
        <f t="shared" si="70"/>
        <v>0.85</v>
      </c>
      <c r="V33" s="1560">
        <f t="shared" si="71"/>
        <v>0.14661477554854729</v>
      </c>
      <c r="W33" s="1529">
        <f t="shared" si="67"/>
        <v>28405.000000000004</v>
      </c>
      <c r="X33" s="1531">
        <f t="shared" si="64"/>
        <v>9.2991871729206102E-2</v>
      </c>
      <c r="Y33" s="1316">
        <f t="shared" si="48"/>
        <v>190819.05</v>
      </c>
      <c r="Z33" s="1316">
        <f t="shared" si="49"/>
        <v>191579.00919277998</v>
      </c>
      <c r="AA33" s="1315">
        <f t="shared" si="73"/>
        <v>177934.63099999999</v>
      </c>
      <c r="AB33" s="1468">
        <f t="shared" si="65"/>
        <v>32492.777793908681</v>
      </c>
      <c r="AC33" s="1622">
        <f t="shared" si="29"/>
        <v>33674</v>
      </c>
      <c r="AD33" s="2214">
        <f t="shared" si="55"/>
        <v>190819</v>
      </c>
      <c r="AE33" s="2215">
        <f t="shared" si="31"/>
        <v>33674</v>
      </c>
      <c r="AF33" s="2208">
        <f t="shared" si="63"/>
        <v>2925.6208456432323</v>
      </c>
      <c r="AG33" s="1347">
        <v>0</v>
      </c>
      <c r="AH33" s="1529">
        <f t="shared" si="66"/>
        <v>165.00000000000364</v>
      </c>
      <c r="AI33" s="1536">
        <v>858</v>
      </c>
      <c r="AJ33" s="2299">
        <v>9017</v>
      </c>
      <c r="AK33" s="1316"/>
      <c r="AL33" s="1316"/>
      <c r="AM33" s="1316">
        <v>25</v>
      </c>
      <c r="AN33" s="1316">
        <v>2</v>
      </c>
      <c r="AO33" s="1316">
        <v>8</v>
      </c>
      <c r="AP33" s="1316">
        <f t="shared" si="75"/>
        <v>35</v>
      </c>
      <c r="AQ33" s="1562">
        <f t="shared" si="36"/>
        <v>8194</v>
      </c>
      <c r="AR33" s="1469">
        <f t="shared" si="37"/>
        <v>9052</v>
      </c>
      <c r="AS33" s="1429">
        <f t="shared" si="38"/>
        <v>1327.1569482654502</v>
      </c>
      <c r="AT33" s="1316">
        <f t="shared" si="39"/>
        <v>7687.4</v>
      </c>
      <c r="AU33" s="2299">
        <f t="shared" si="40"/>
        <v>7694.2</v>
      </c>
      <c r="AV33" s="1316">
        <f t="shared" si="10"/>
        <v>173021.4</v>
      </c>
      <c r="AW33" s="1316">
        <f t="shared" si="11"/>
        <v>173028.2</v>
      </c>
      <c r="AX33" s="1350">
        <f t="shared" si="41"/>
        <v>4.4467895984585171E-2</v>
      </c>
      <c r="AY33" s="1335">
        <f t="shared" si="12"/>
        <v>9.7220406479037458E-2</v>
      </c>
      <c r="AZ33" s="1335">
        <f t="shared" si="13"/>
        <v>9.7184775702954598E-2</v>
      </c>
      <c r="BA33" s="1316">
        <f t="shared" si="14"/>
        <v>16821.210837572133</v>
      </c>
      <c r="BB33" s="1316">
        <f t="shared" si="42"/>
        <v>16815.706807285969</v>
      </c>
      <c r="BC33" s="1316">
        <f t="shared" si="15"/>
        <v>189842.61083757214</v>
      </c>
      <c r="BD33" s="1316">
        <f t="shared" si="16"/>
        <v>189843.90680728597</v>
      </c>
      <c r="BE33" s="2301">
        <v>421</v>
      </c>
      <c r="BF33" s="1316">
        <f t="shared" si="43"/>
        <v>17790.799999999988</v>
      </c>
      <c r="BG33" s="1348">
        <f t="shared" si="44"/>
        <v>9.3233902284363651E-2</v>
      </c>
      <c r="BH33" s="1348">
        <f t="shared" si="35"/>
        <v>0.90676609771563632</v>
      </c>
      <c r="BI33" s="1348">
        <f t="shared" si="33"/>
        <v>0.71515072071608143</v>
      </c>
      <c r="BJ33" s="1344"/>
      <c r="BK33" s="1316">
        <f t="shared" si="45"/>
        <v>190819</v>
      </c>
      <c r="BL33" s="1344" t="b">
        <f t="shared" si="46"/>
        <v>1</v>
      </c>
      <c r="BM33" s="1345"/>
      <c r="BN33" s="1345"/>
      <c r="BO33" s="1345"/>
      <c r="BP33" s="1345"/>
      <c r="BQ33" s="2072">
        <v>0.93648039599999999</v>
      </c>
      <c r="BR33" s="1316">
        <f t="shared" si="76"/>
        <v>7999</v>
      </c>
      <c r="BS33" s="1316">
        <f t="shared" si="77"/>
        <v>0</v>
      </c>
      <c r="BT33" s="1316">
        <f t="shared" si="78"/>
        <v>126972</v>
      </c>
      <c r="BU33" s="1116">
        <f t="shared" ref="BU33:BU46" si="80">(BT33-BS33-BR33)/BT33</f>
        <v>0.93700185867750374</v>
      </c>
      <c r="BV33" s="1318">
        <f>SUM(BR33,BS33)/BT33</f>
        <v>6.2998141322496301E-2</v>
      </c>
      <c r="BW33" s="1807">
        <f t="shared" ref="BW33:BW40" si="81">AD33*(1-BV33)</f>
        <v>178797.7576709826</v>
      </c>
      <c r="BX33" s="2224">
        <f t="shared" ref="BX33:BX46" si="82">AD33*BV33</f>
        <v>12021.242329017421</v>
      </c>
      <c r="BY33" s="1456"/>
      <c r="BZ33" s="1468">
        <f t="shared" si="18"/>
        <v>224525</v>
      </c>
      <c r="CA33" s="1469">
        <f t="shared" ref="CA33:CA47" si="83">AI33</f>
        <v>858</v>
      </c>
      <c r="CB33" s="1469">
        <f t="shared" si="20"/>
        <v>890</v>
      </c>
      <c r="CC33" s="1470">
        <f t="shared" si="53"/>
        <v>0.85</v>
      </c>
      <c r="CD33" s="1936">
        <f t="shared" si="57"/>
        <v>0.93700185867750374</v>
      </c>
      <c r="CE33" s="1940">
        <v>0.93702366626554401</v>
      </c>
      <c r="CF33" s="1665">
        <f t="shared" si="74"/>
        <v>167537.77431256825</v>
      </c>
      <c r="CG33" s="1666">
        <f t="shared" ref="CG33:CG46" si="84">VLOOKUP(A33,OSO_SAR_Report_Table1,13)</f>
        <v>178894</v>
      </c>
      <c r="CH33" s="1661">
        <f t="shared" si="58"/>
        <v>11356.225687431754</v>
      </c>
      <c r="CI33" s="1547">
        <f t="shared" si="59"/>
        <v>6.7783075990044586E-2</v>
      </c>
      <c r="CJ33" s="1678">
        <f t="shared" si="60"/>
        <v>96.2423290174047</v>
      </c>
      <c r="CK33" s="1806">
        <f t="shared" si="61"/>
        <v>5.3827480988048227E-4</v>
      </c>
      <c r="CL33" s="1668"/>
      <c r="CM33" s="1013">
        <f t="shared" si="27"/>
        <v>179557.76686376255</v>
      </c>
      <c r="CN33" s="1014">
        <f t="shared" si="47"/>
        <v>-4.2506640054093617E-3</v>
      </c>
    </row>
    <row r="34" spans="1:92" x14ac:dyDescent="0.3">
      <c r="A34" s="1342">
        <v>2009</v>
      </c>
      <c r="B34" s="1336">
        <v>179732</v>
      </c>
      <c r="C34" s="1468">
        <f t="shared" si="0"/>
        <v>187614</v>
      </c>
      <c r="D34" s="1851">
        <v>177823</v>
      </c>
      <c r="E34" s="1851">
        <f>ROUND(D34*VLOOKUP(A34,BON_Count_Adjustment,5)+VLOOKUP(A34,BON_Count_Adjustment,4),0)+1</f>
        <v>186485</v>
      </c>
      <c r="F34" s="1536">
        <v>1414</v>
      </c>
      <c r="G34" s="1507">
        <v>162830</v>
      </c>
      <c r="H34" s="1346">
        <v>133106</v>
      </c>
      <c r="I34" s="1507">
        <f t="shared" si="68"/>
        <v>134937</v>
      </c>
      <c r="J34" s="1316">
        <v>134937</v>
      </c>
      <c r="K34" s="1316">
        <v>116964</v>
      </c>
      <c r="L34" s="1315">
        <v>134937</v>
      </c>
      <c r="M34" s="1525">
        <v>15502</v>
      </c>
      <c r="N34" s="1380" t="str">
        <f t="shared" si="28"/>
        <v/>
      </c>
      <c r="O34" s="1430">
        <f t="shared" si="4"/>
        <v>0.92298361269038698</v>
      </c>
      <c r="P34" s="1543">
        <f t="shared" si="5"/>
        <v>0.82869864275624883</v>
      </c>
      <c r="Q34" s="1334">
        <f t="shared" si="6"/>
        <v>0.82869864275624883</v>
      </c>
      <c r="R34" s="1335">
        <f t="shared" si="7"/>
        <v>0.82869864275624883</v>
      </c>
      <c r="S34" s="1317">
        <v>0.82599999999999996</v>
      </c>
      <c r="T34" s="1317">
        <v>0.84521802685402403</v>
      </c>
      <c r="U34" s="1559">
        <f t="shared" si="70"/>
        <v>0.83</v>
      </c>
      <c r="V34" s="1560">
        <f t="shared" si="71"/>
        <v>0.17130135724375117</v>
      </c>
      <c r="W34" s="1529">
        <f t="shared" si="67"/>
        <v>27893.000000000004</v>
      </c>
      <c r="X34" s="1531">
        <f t="shared" si="64"/>
        <v>6.7083143416360569E-2</v>
      </c>
      <c r="Y34" s="1316">
        <f t="shared" si="48"/>
        <v>154546</v>
      </c>
      <c r="Z34" s="1316">
        <f t="shared" si="49"/>
        <v>154303.68728121353</v>
      </c>
      <c r="AA34" s="1315">
        <f t="shared" si="73"/>
        <v>146881.79799999998</v>
      </c>
      <c r="AB34" s="1468">
        <f t="shared" si="65"/>
        <v>19192.151575963013</v>
      </c>
      <c r="AC34" s="1622">
        <f t="shared" si="29"/>
        <v>30704.38</v>
      </c>
      <c r="AD34" s="2214">
        <f t="shared" si="55"/>
        <v>154546</v>
      </c>
      <c r="AE34" s="2215">
        <f t="shared" si="31"/>
        <v>31654</v>
      </c>
      <c r="AF34" s="2208">
        <f t="shared" si="63"/>
        <v>2014.3103980473959</v>
      </c>
      <c r="AG34" s="1347">
        <v>0.03</v>
      </c>
      <c r="AH34" s="1529">
        <f t="shared" si="66"/>
        <v>12391.000000000004</v>
      </c>
      <c r="AI34" s="1536">
        <v>1129</v>
      </c>
      <c r="AJ34" s="2299">
        <v>9731</v>
      </c>
      <c r="AK34" s="1316"/>
      <c r="AL34" s="1316"/>
      <c r="AM34" s="1316">
        <v>18</v>
      </c>
      <c r="AN34" s="1316">
        <v>14</v>
      </c>
      <c r="AO34" s="1316">
        <v>20</v>
      </c>
      <c r="AP34" s="1316">
        <f t="shared" si="75"/>
        <v>52</v>
      </c>
      <c r="AQ34" s="1562">
        <f t="shared" si="36"/>
        <v>8654</v>
      </c>
      <c r="AR34" s="1469">
        <f t="shared" si="37"/>
        <v>9783</v>
      </c>
      <c r="AS34" s="1429">
        <f t="shared" si="38"/>
        <v>1675.8411779156177</v>
      </c>
      <c r="AT34" s="1316">
        <f t="shared" si="39"/>
        <v>8103.29</v>
      </c>
      <c r="AU34" s="2299">
        <f t="shared" si="40"/>
        <v>8119.8899999999994</v>
      </c>
      <c r="AV34" s="1316">
        <f t="shared" si="10"/>
        <v>143040.29</v>
      </c>
      <c r="AW34" s="1316">
        <f t="shared" si="11"/>
        <v>143056.89000000001</v>
      </c>
      <c r="AX34" s="1350">
        <f t="shared" si="41"/>
        <v>5.6759866651651648E-2</v>
      </c>
      <c r="AY34" s="1335">
        <f t="shared" si="12"/>
        <v>8.1917050726971419E-2</v>
      </c>
      <c r="AZ34" s="1335">
        <f t="shared" si="13"/>
        <v>8.1809803495290587E-2</v>
      </c>
      <c r="BA34" s="1316">
        <f t="shared" si="14"/>
        <v>11717.438691930703</v>
      </c>
      <c r="BB34" s="1316">
        <f t="shared" si="42"/>
        <v>11703.456059547401</v>
      </c>
      <c r="BC34" s="1316">
        <f t="shared" si="15"/>
        <v>154757.72869193071</v>
      </c>
      <c r="BD34" s="1316">
        <f t="shared" si="16"/>
        <v>154760.34605954742</v>
      </c>
      <c r="BE34" s="2301">
        <v>1354</v>
      </c>
      <c r="BF34" s="1316">
        <f t="shared" si="43"/>
        <v>11489.109999999986</v>
      </c>
      <c r="BG34" s="1348">
        <f t="shared" si="44"/>
        <v>7.4341037619867129E-2</v>
      </c>
      <c r="BH34" s="1348">
        <f t="shared" si="35"/>
        <v>0.9256589623801329</v>
      </c>
      <c r="BI34" s="1348">
        <f t="shared" si="33"/>
        <v>0.70341794930914447</v>
      </c>
      <c r="BJ34" s="1344"/>
      <c r="BK34" s="1316">
        <f t="shared" si="45"/>
        <v>154546</v>
      </c>
      <c r="BL34" s="1344" t="b">
        <f t="shared" si="46"/>
        <v>1</v>
      </c>
      <c r="BM34" s="1345"/>
      <c r="BN34" s="1345"/>
      <c r="BO34" s="1345"/>
      <c r="BP34" s="1345"/>
      <c r="BQ34" s="2072">
        <v>0.75281268000000001</v>
      </c>
      <c r="BR34" s="1316">
        <f t="shared" si="76"/>
        <v>9130</v>
      </c>
      <c r="BS34" s="1316">
        <f t="shared" si="77"/>
        <v>0</v>
      </c>
      <c r="BT34" s="1316">
        <f t="shared" si="78"/>
        <v>68053</v>
      </c>
      <c r="BU34" s="2069">
        <f t="shared" si="80"/>
        <v>0.86583986010903269</v>
      </c>
      <c r="BV34" s="1318">
        <f t="shared" ref="BV34:BV46" si="85">SUM(BR34,BS34)/BT34</f>
        <v>0.13416013989096734</v>
      </c>
      <c r="BW34" s="1807">
        <f t="shared" si="81"/>
        <v>133812.08702041057</v>
      </c>
      <c r="BX34" s="1935">
        <f t="shared" si="82"/>
        <v>20733.912979589437</v>
      </c>
      <c r="BY34" s="1456"/>
      <c r="BZ34" s="1468">
        <f t="shared" si="18"/>
        <v>186485</v>
      </c>
      <c r="CA34" s="1469">
        <f t="shared" si="83"/>
        <v>1129</v>
      </c>
      <c r="CB34" s="1469">
        <f t="shared" si="20"/>
        <v>1414</v>
      </c>
      <c r="CC34" s="1470">
        <f t="shared" si="53"/>
        <v>0.83</v>
      </c>
      <c r="CD34" s="1936">
        <f t="shared" si="57"/>
        <v>0.86583986010903269</v>
      </c>
      <c r="CE34" s="1940">
        <v>0.87537993920972601</v>
      </c>
      <c r="CF34" s="1665">
        <f t="shared" si="74"/>
        <v>117136.41660145357</v>
      </c>
      <c r="CG34" s="1666">
        <f t="shared" si="84"/>
        <v>135329</v>
      </c>
      <c r="CH34" s="1661">
        <f t="shared" si="58"/>
        <v>18192.583398546427</v>
      </c>
      <c r="CI34" s="1549">
        <f t="shared" si="59"/>
        <v>0.15531108024624915</v>
      </c>
      <c r="CJ34" s="1678">
        <f t="shared" si="60"/>
        <v>1516.912979589426</v>
      </c>
      <c r="CK34" s="1806">
        <f t="shared" si="61"/>
        <v>1.133614319428445E-2</v>
      </c>
      <c r="CL34" s="1670"/>
      <c r="CM34" s="1013">
        <f t="shared" si="27"/>
        <v>133569.7743016241</v>
      </c>
      <c r="CN34" s="1014">
        <f t="shared" si="47"/>
        <v>1.8108432816649328E-3</v>
      </c>
    </row>
    <row r="35" spans="1:92" x14ac:dyDescent="0.3">
      <c r="A35" s="1342">
        <v>2010</v>
      </c>
      <c r="B35" s="1336">
        <v>392193</v>
      </c>
      <c r="C35" s="1468">
        <f t="shared" si="0"/>
        <v>409950</v>
      </c>
      <c r="D35" s="1536">
        <v>386525</v>
      </c>
      <c r="E35" s="1536">
        <f t="shared" si="79"/>
        <v>408346</v>
      </c>
      <c r="F35" s="1536">
        <v>1861</v>
      </c>
      <c r="G35" s="1507">
        <v>338310</v>
      </c>
      <c r="H35" s="1346">
        <v>295638</v>
      </c>
      <c r="I35" s="1507">
        <f t="shared" si="68"/>
        <v>295638</v>
      </c>
      <c r="J35" s="1316">
        <v>291764</v>
      </c>
      <c r="K35" s="1316">
        <v>255083</v>
      </c>
      <c r="L35" s="1315">
        <v>291764</v>
      </c>
      <c r="M35" s="1525">
        <v>34519</v>
      </c>
      <c r="N35" s="1380" t="str">
        <f t="shared" si="28"/>
        <v/>
      </c>
      <c r="O35" s="1430">
        <f t="shared" si="4"/>
        <v>0.88745196280314254</v>
      </c>
      <c r="P35" s="1543">
        <f t="shared" si="5"/>
        <v>0.87386716325263813</v>
      </c>
      <c r="Q35" s="1334">
        <f t="shared" si="6"/>
        <v>0.86241612722059646</v>
      </c>
      <c r="R35" s="1335">
        <f t="shared" si="7"/>
        <v>0.86241612722059646</v>
      </c>
      <c r="S35" s="1317">
        <v>0.81799999999999995</v>
      </c>
      <c r="T35" s="1317">
        <v>0.87268949753590441</v>
      </c>
      <c r="U35" s="1559">
        <f t="shared" si="70"/>
        <v>0.87</v>
      </c>
      <c r="V35" s="1560">
        <f t="shared" si="71"/>
        <v>0.12613283674736187</v>
      </c>
      <c r="W35" s="1529">
        <f t="shared" si="67"/>
        <v>42671.999999999993</v>
      </c>
      <c r="X35" s="1531">
        <f t="shared" si="64"/>
        <v>0.10297639746685409</v>
      </c>
      <c r="Y35" s="1316">
        <f t="shared" si="48"/>
        <v>355037.43</v>
      </c>
      <c r="Z35" s="1316">
        <f t="shared" si="49"/>
        <v>351942.53494132601</v>
      </c>
      <c r="AA35" s="1315">
        <f t="shared" si="73"/>
        <v>316177.44999999995</v>
      </c>
      <c r="AB35" s="1468">
        <f t="shared" si="65"/>
        <v>42839.349198049735</v>
      </c>
      <c r="AC35" s="1622">
        <f t="shared" si="29"/>
        <v>50929.919999999998</v>
      </c>
      <c r="AD35" s="2214">
        <f t="shared" si="55"/>
        <v>355037</v>
      </c>
      <c r="AE35" s="2215">
        <f t="shared" si="31"/>
        <v>53052</v>
      </c>
      <c r="AF35" s="2208">
        <f t="shared" si="63"/>
        <v>4930.6553433011277</v>
      </c>
      <c r="AG35" s="1347">
        <v>0.04</v>
      </c>
      <c r="AH35" s="1529">
        <f t="shared" si="66"/>
        <v>8152.9999999999927</v>
      </c>
      <c r="AI35" s="1536">
        <v>1604</v>
      </c>
      <c r="AJ35" s="2299">
        <v>26125</v>
      </c>
      <c r="AK35" s="1316"/>
      <c r="AL35" s="1316"/>
      <c r="AM35" s="1316">
        <v>60</v>
      </c>
      <c r="AN35" s="1316">
        <v>0</v>
      </c>
      <c r="AO35" s="1316">
        <v>689</v>
      </c>
      <c r="AP35" s="1316">
        <f t="shared" si="75"/>
        <v>749</v>
      </c>
      <c r="AQ35" s="1562">
        <f t="shared" si="36"/>
        <v>25270</v>
      </c>
      <c r="AR35" s="1469">
        <f t="shared" si="37"/>
        <v>26874</v>
      </c>
      <c r="AS35" s="1429">
        <f t="shared" si="38"/>
        <v>3389.6938547486029</v>
      </c>
      <c r="AT35" s="1316">
        <f t="shared" si="39"/>
        <v>22780.95</v>
      </c>
      <c r="AU35" s="2299">
        <f t="shared" si="40"/>
        <v>23380.38</v>
      </c>
      <c r="AV35" s="1316">
        <f t="shared" si="10"/>
        <v>318418.95</v>
      </c>
      <c r="AW35" s="1316">
        <f t="shared" si="11"/>
        <v>315144.38</v>
      </c>
      <c r="AX35" s="1350">
        <f t="shared" si="41"/>
        <v>7.4189423907860902E-2</v>
      </c>
      <c r="AY35" s="1335">
        <f t="shared" si="12"/>
        <v>0.10763226992930441</v>
      </c>
      <c r="AZ35" s="1335">
        <f t="shared" si="13"/>
        <v>0.1168496335454985</v>
      </c>
      <c r="BA35" s="1316">
        <f t="shared" si="14"/>
        <v>34272.154377005689</v>
      </c>
      <c r="BB35" s="1316">
        <f t="shared" si="42"/>
        <v>36824.505316923329</v>
      </c>
      <c r="BC35" s="1316">
        <f t="shared" si="15"/>
        <v>352691.10437700571</v>
      </c>
      <c r="BD35" s="1316">
        <f t="shared" si="16"/>
        <v>351968.88531692332</v>
      </c>
      <c r="BE35" s="2301">
        <v>9953</v>
      </c>
      <c r="BF35" s="1316">
        <f t="shared" si="43"/>
        <v>39892.619999999995</v>
      </c>
      <c r="BG35" s="1348">
        <f t="shared" si="44"/>
        <v>0.11236186650968771</v>
      </c>
      <c r="BH35" s="1348">
        <f t="shared" si="35"/>
        <v>0.88763813349031229</v>
      </c>
      <c r="BI35" s="1348">
        <f t="shared" si="33"/>
        <v>0.72042786365694333</v>
      </c>
      <c r="BJ35" s="1344"/>
      <c r="BK35" s="1316">
        <f t="shared" si="45"/>
        <v>355037</v>
      </c>
      <c r="BL35" s="1344" t="b">
        <f t="shared" si="46"/>
        <v>1</v>
      </c>
      <c r="BM35" s="1345"/>
      <c r="BN35" s="1345"/>
      <c r="BO35" s="1345"/>
      <c r="BP35" s="1345"/>
      <c r="BQ35" s="2072">
        <v>0.91353484299999999</v>
      </c>
      <c r="BR35" s="1316">
        <f t="shared" si="76"/>
        <v>8500</v>
      </c>
      <c r="BS35" s="1316">
        <f t="shared" si="77"/>
        <v>0</v>
      </c>
      <c r="BT35" s="1316">
        <f t="shared" si="78"/>
        <v>199961</v>
      </c>
      <c r="BU35" s="1116">
        <f t="shared" si="80"/>
        <v>0.95749171088362228</v>
      </c>
      <c r="BV35" s="1318">
        <f t="shared" si="85"/>
        <v>4.2508289116377697E-2</v>
      </c>
      <c r="BW35" s="1807">
        <f t="shared" si="81"/>
        <v>339944.98455698858</v>
      </c>
      <c r="BX35" s="1935">
        <f t="shared" si="82"/>
        <v>15092.015443011389</v>
      </c>
      <c r="BY35" s="1456"/>
      <c r="BZ35" s="1468">
        <f t="shared" si="18"/>
        <v>408346</v>
      </c>
      <c r="CA35" s="1469">
        <f t="shared" si="83"/>
        <v>1604</v>
      </c>
      <c r="CB35" s="1469">
        <f t="shared" si="20"/>
        <v>1861</v>
      </c>
      <c r="CC35" s="1470">
        <f t="shared" si="53"/>
        <v>0.87</v>
      </c>
      <c r="CD35" s="1936">
        <f t="shared" si="57"/>
        <v>0.95749171088362228</v>
      </c>
      <c r="CE35" s="1940">
        <v>0.96657491152182495</v>
      </c>
      <c r="CF35" s="1665">
        <f t="shared" ref="CF35:CF46" si="86">(BZ35+CA35-CB35)*CC35*CD35*CE35</f>
        <v>328582.69133006968</v>
      </c>
      <c r="CG35" s="1666">
        <f t="shared" si="84"/>
        <v>342215</v>
      </c>
      <c r="CH35" s="1661">
        <f t="shared" si="58"/>
        <v>13632.308669930324</v>
      </c>
      <c r="CI35" s="1549">
        <f t="shared" si="59"/>
        <v>4.1488212951047758E-2</v>
      </c>
      <c r="CJ35" s="1678">
        <f t="shared" si="60"/>
        <v>2270.0154430114198</v>
      </c>
      <c r="CK35" s="1806">
        <f t="shared" si="61"/>
        <v>6.6775965115934022E-3</v>
      </c>
      <c r="CL35" s="1670"/>
      <c r="CM35" s="1013">
        <f t="shared" si="27"/>
        <v>336850.51949831465</v>
      </c>
      <c r="CN35" s="1014">
        <f t="shared" si="47"/>
        <v>9.102840751442744E-3</v>
      </c>
    </row>
    <row r="36" spans="1:92" s="1448" customFormat="1" x14ac:dyDescent="0.3">
      <c r="A36" s="1552">
        <v>2011</v>
      </c>
      <c r="B36" s="1431">
        <v>187365</v>
      </c>
      <c r="C36" s="1500">
        <f t="shared" si="0"/>
        <v>196529</v>
      </c>
      <c r="D36" s="1538">
        <v>185796</v>
      </c>
      <c r="E36" s="1538">
        <f t="shared" si="79"/>
        <v>194960</v>
      </c>
      <c r="F36" s="1538">
        <v>1561</v>
      </c>
      <c r="G36" s="1508">
        <v>146111</v>
      </c>
      <c r="H36" s="1434">
        <v>132096</v>
      </c>
      <c r="I36" s="1508">
        <f t="shared" si="68"/>
        <v>132096</v>
      </c>
      <c r="J36" s="1433">
        <v>111508</v>
      </c>
      <c r="K36" s="1433">
        <v>97386</v>
      </c>
      <c r="L36" s="2265">
        <v>111508</v>
      </c>
      <c r="M36" s="1526">
        <v>17680</v>
      </c>
      <c r="N36" s="1435" t="str">
        <f t="shared" si="28"/>
        <v/>
      </c>
      <c r="O36" s="1704">
        <f t="shared" si="4"/>
        <v>0.81517870094511213</v>
      </c>
      <c r="P36" s="1815">
        <f t="shared" si="5"/>
        <v>0.90407977496560832</v>
      </c>
      <c r="Q36" s="1436">
        <f t="shared" si="6"/>
        <v>0.76317320393399535</v>
      </c>
      <c r="R36" s="1437">
        <f t="shared" si="7"/>
        <v>0.76317320393399535</v>
      </c>
      <c r="S36" s="1438">
        <v>0.7679999999999999</v>
      </c>
      <c r="T36" s="1438">
        <v>0.85363401434282982</v>
      </c>
      <c r="U36" s="1816">
        <f t="shared" si="70"/>
        <v>0.88</v>
      </c>
      <c r="V36" s="1560">
        <f t="shared" si="71"/>
        <v>0.12100389429953939</v>
      </c>
      <c r="W36" s="1532">
        <f t="shared" si="67"/>
        <v>17680</v>
      </c>
      <c r="X36" s="1533">
        <f t="shared" si="64"/>
        <v>0.17662597455888387</v>
      </c>
      <c r="Y36" s="1433">
        <f t="shared" si="48"/>
        <v>171571.84</v>
      </c>
      <c r="Z36" s="1433">
        <f t="shared" si="49"/>
        <v>148794.3532246032</v>
      </c>
      <c r="AA36" s="1439">
        <f t="shared" si="73"/>
        <v>142691.32799999998</v>
      </c>
      <c r="AB36" s="1500">
        <f t="shared" si="65"/>
        <v>22986.043539792303</v>
      </c>
      <c r="AC36" s="1623">
        <f t="shared" si="29"/>
        <v>22226.2</v>
      </c>
      <c r="AD36" s="2218">
        <f t="shared" si="55"/>
        <v>171572</v>
      </c>
      <c r="AE36" s="2216">
        <f t="shared" si="31"/>
        <v>23396</v>
      </c>
      <c r="AF36" s="2209">
        <f t="shared" si="63"/>
        <v>3797.2184000013235</v>
      </c>
      <c r="AG36" s="1440">
        <v>0.05</v>
      </c>
      <c r="AH36" s="1530">
        <f t="shared" si="66"/>
        <v>0</v>
      </c>
      <c r="AI36" s="1538">
        <v>1569</v>
      </c>
      <c r="AJ36" s="2300">
        <v>12853</v>
      </c>
      <c r="AK36" s="1433"/>
      <c r="AL36" s="1433"/>
      <c r="AM36" s="1433">
        <v>270</v>
      </c>
      <c r="AN36" s="1433">
        <v>0</v>
      </c>
      <c r="AO36" s="1433">
        <v>2607</v>
      </c>
      <c r="AP36" s="1316">
        <f t="shared" si="75"/>
        <v>2877</v>
      </c>
      <c r="AQ36" s="1563">
        <f t="shared" si="36"/>
        <v>14161</v>
      </c>
      <c r="AR36" s="1504">
        <f t="shared" si="37"/>
        <v>15730</v>
      </c>
      <c r="AS36" s="1441">
        <f t="shared" si="38"/>
        <v>1508.8251397909812</v>
      </c>
      <c r="AT36" s="1433">
        <f t="shared" si="39"/>
        <v>11548.24</v>
      </c>
      <c r="AU36" s="2300">
        <f t="shared" si="40"/>
        <v>13842.4</v>
      </c>
      <c r="AV36" s="1433">
        <f t="shared" si="10"/>
        <v>143644.24</v>
      </c>
      <c r="AW36" s="1433">
        <f t="shared" si="11"/>
        <v>125350.39999999999</v>
      </c>
      <c r="AX36" s="1442">
        <f t="shared" si="41"/>
        <v>0.11042964362299602</v>
      </c>
      <c r="AY36" s="1437">
        <f t="shared" si="12"/>
        <v>0.17078841347409252</v>
      </c>
      <c r="AZ36" s="1437">
        <f t="shared" si="13"/>
        <v>0.27741774536501657</v>
      </c>
      <c r="BA36" s="1433">
        <f t="shared" si="14"/>
        <v>24532.771854291779</v>
      </c>
      <c r="BB36" s="1433">
        <f t="shared" si="42"/>
        <v>34774.42534860297</v>
      </c>
      <c r="BC36" s="1433">
        <f t="shared" si="15"/>
        <v>168177.01185429178</v>
      </c>
      <c r="BD36" s="1433">
        <f t="shared" si="16"/>
        <v>160124.82534860296</v>
      </c>
      <c r="BE36" s="2302">
        <v>109</v>
      </c>
      <c r="BF36" s="1433">
        <f t="shared" si="43"/>
        <v>46221.600000000006</v>
      </c>
      <c r="BG36" s="1443">
        <f t="shared" si="44"/>
        <v>0.26940060149674777</v>
      </c>
      <c r="BH36" s="1348">
        <f t="shared" si="35"/>
        <v>0.73059939850325228</v>
      </c>
      <c r="BI36" s="1443">
        <f t="shared" si="33"/>
        <v>0.59865874399879437</v>
      </c>
      <c r="BJ36" s="1444"/>
      <c r="BK36" s="1433">
        <f t="shared" si="45"/>
        <v>171572</v>
      </c>
      <c r="BL36" s="1444" t="b">
        <f t="shared" si="46"/>
        <v>1</v>
      </c>
      <c r="BM36" s="1445"/>
      <c r="BN36" s="1445"/>
      <c r="BO36" s="1445"/>
      <c r="BP36" s="1445"/>
      <c r="BQ36" s="2072">
        <v>0.82856981500000004</v>
      </c>
      <c r="BR36" s="1801">
        <f t="shared" si="76"/>
        <v>1103.3330000000001</v>
      </c>
      <c r="BS36" s="1801">
        <f t="shared" si="77"/>
        <v>22879</v>
      </c>
      <c r="BT36" s="1801">
        <f t="shared" si="78"/>
        <v>35900</v>
      </c>
      <c r="BU36" s="2066">
        <f t="shared" si="80"/>
        <v>0.33196844011142057</v>
      </c>
      <c r="BV36" s="1778">
        <f>SUM(BR36,BS36)/BT36</f>
        <v>0.66803155988857932</v>
      </c>
      <c r="BW36" s="1807">
        <f>AD36*(1-BV36)</f>
        <v>56956.489206796672</v>
      </c>
      <c r="BX36" s="1935">
        <f t="shared" si="82"/>
        <v>114615.51079320333</v>
      </c>
      <c r="BY36" s="1705"/>
      <c r="BZ36" s="1500">
        <f t="shared" si="18"/>
        <v>194960</v>
      </c>
      <c r="CA36" s="1504">
        <f t="shared" si="83"/>
        <v>1569</v>
      </c>
      <c r="CB36" s="1504">
        <f t="shared" si="20"/>
        <v>1561</v>
      </c>
      <c r="CC36" s="1650">
        <f t="shared" si="53"/>
        <v>0.88</v>
      </c>
      <c r="CD36" s="1937">
        <f t="shared" si="57"/>
        <v>0.33196844011142068</v>
      </c>
      <c r="CE36" s="1941">
        <v>0.95924764890282099</v>
      </c>
      <c r="CF36" s="1799">
        <f t="shared" si="86"/>
        <v>54635.327410987295</v>
      </c>
      <c r="CG36" s="1800">
        <f t="shared" si="84"/>
        <v>59581</v>
      </c>
      <c r="CH36" s="1706">
        <f t="shared" si="58"/>
        <v>4945.6725890127054</v>
      </c>
      <c r="CI36" s="1549">
        <f t="shared" si="59"/>
        <v>9.052151462019277E-2</v>
      </c>
      <c r="CJ36" s="1676">
        <f t="shared" si="60"/>
        <v>2624.5107932033279</v>
      </c>
      <c r="CK36" s="1805">
        <f t="shared" si="61"/>
        <v>4.607922345203367E-2</v>
      </c>
      <c r="CL36" s="1670"/>
      <c r="CM36" s="1446">
        <f t="shared" si="27"/>
        <v>34178.842431399869</v>
      </c>
      <c r="CN36" s="1447">
        <f t="shared" si="47"/>
        <v>0.39991311073784941</v>
      </c>
    </row>
    <row r="37" spans="1:92" x14ac:dyDescent="0.3">
      <c r="A37" s="1342">
        <v>2012</v>
      </c>
      <c r="B37" s="1336">
        <v>521159</v>
      </c>
      <c r="C37" s="1468">
        <f t="shared" si="0"/>
        <v>550232</v>
      </c>
      <c r="D37" s="1536">
        <v>515673</v>
      </c>
      <c r="E37" s="1536">
        <f t="shared" si="79"/>
        <v>545637</v>
      </c>
      <c r="F37" s="1536">
        <v>512</v>
      </c>
      <c r="G37" s="1507">
        <v>410620</v>
      </c>
      <c r="H37" s="1346">
        <v>363314</v>
      </c>
      <c r="I37" s="1507">
        <f t="shared" si="68"/>
        <v>363314</v>
      </c>
      <c r="J37" s="1316">
        <v>326107</v>
      </c>
      <c r="K37" s="1316">
        <v>300056</v>
      </c>
      <c r="L37" s="1315">
        <v>326107</v>
      </c>
      <c r="M37" s="1525">
        <v>65448</v>
      </c>
      <c r="N37" s="1380" t="str">
        <f t="shared" si="28"/>
        <v/>
      </c>
      <c r="O37" s="1430">
        <f t="shared" si="4"/>
        <v>0.82120058237204618</v>
      </c>
      <c r="P37" s="1817">
        <f t="shared" si="5"/>
        <v>0.88479372655983635</v>
      </c>
      <c r="Q37" s="1334">
        <f t="shared" si="6"/>
        <v>0.79418196873021285</v>
      </c>
      <c r="R37" s="1335">
        <f t="shared" si="7"/>
        <v>0.79418196873021285</v>
      </c>
      <c r="S37" s="1317">
        <v>0.82400000000000007</v>
      </c>
      <c r="T37" s="1317">
        <v>0.88812599785679791</v>
      </c>
      <c r="U37" s="1816">
        <f t="shared" si="70"/>
        <v>0.84</v>
      </c>
      <c r="V37" s="1560">
        <f t="shared" si="71"/>
        <v>0.1593882421703765</v>
      </c>
      <c r="W37" s="1529">
        <f t="shared" si="67"/>
        <v>65448</v>
      </c>
      <c r="X37" s="1531">
        <f t="shared" si="64"/>
        <v>0.16339251187144566</v>
      </c>
      <c r="Y37" s="1316">
        <f t="shared" si="48"/>
        <v>461764.8</v>
      </c>
      <c r="Z37" s="1316">
        <f t="shared" si="49"/>
        <v>436577.71185037261</v>
      </c>
      <c r="AA37" s="1315">
        <f t="shared" si="73"/>
        <v>424914.55200000003</v>
      </c>
      <c r="AB37" s="1468">
        <f t="shared" si="65"/>
        <v>84075.67174473613</v>
      </c>
      <c r="AC37" s="1622">
        <f t="shared" si="29"/>
        <v>86195.9</v>
      </c>
      <c r="AD37" s="2214">
        <f t="shared" si="55"/>
        <v>461765</v>
      </c>
      <c r="AE37" s="2215">
        <f t="shared" si="31"/>
        <v>87955</v>
      </c>
      <c r="AF37" s="2208">
        <f t="shared" si="63"/>
        <v>12902.380779853764</v>
      </c>
      <c r="AG37" s="1347">
        <v>0.02</v>
      </c>
      <c r="AH37" s="1530">
        <f t="shared" si="66"/>
        <v>0</v>
      </c>
      <c r="AI37" s="1536">
        <v>4595</v>
      </c>
      <c r="AJ37" s="2299">
        <v>45352</v>
      </c>
      <c r="AK37" s="1316"/>
      <c r="AL37" s="1316"/>
      <c r="AM37" s="1404">
        <v>2663</v>
      </c>
      <c r="AN37" s="1404">
        <v>134</v>
      </c>
      <c r="AO37" s="1404">
        <v>1547</v>
      </c>
      <c r="AP37" s="1316">
        <f t="shared" si="75"/>
        <v>4344</v>
      </c>
      <c r="AQ37" s="1562">
        <f t="shared" si="36"/>
        <v>45101</v>
      </c>
      <c r="AR37" s="1469">
        <f t="shared" si="37"/>
        <v>49696</v>
      </c>
      <c r="AS37" s="1429">
        <f t="shared" si="38"/>
        <v>5725.2909648823734</v>
      </c>
      <c r="AT37" s="1316">
        <f t="shared" si="39"/>
        <v>40445.159999999996</v>
      </c>
      <c r="AU37" s="2299">
        <f t="shared" si="40"/>
        <v>41744.639999999999</v>
      </c>
      <c r="AV37" s="1316">
        <f t="shared" si="10"/>
        <v>403759.16</v>
      </c>
      <c r="AW37" s="1316">
        <f t="shared" si="11"/>
        <v>367851.64</v>
      </c>
      <c r="AX37" s="1350">
        <f t="shared" si="41"/>
        <v>0.11348227236393454</v>
      </c>
      <c r="AY37" s="1335">
        <f t="shared" si="12"/>
        <v>0.12749563048937901</v>
      </c>
      <c r="AZ37" s="1335">
        <f t="shared" si="13"/>
        <v>0.20583901192987447</v>
      </c>
      <c r="BA37" s="1316">
        <f t="shared" si="14"/>
        <v>51477.528670062056</v>
      </c>
      <c r="BB37" s="1316">
        <f t="shared" si="42"/>
        <v>75718.218114383897</v>
      </c>
      <c r="BC37" s="1316">
        <f t="shared" si="15"/>
        <v>455236.68867006205</v>
      </c>
      <c r="BD37" s="1316">
        <f t="shared" si="16"/>
        <v>443569.85811438388</v>
      </c>
      <c r="BE37" s="2301">
        <v>23253</v>
      </c>
      <c r="BF37" s="1316">
        <f t="shared" si="43"/>
        <v>93913.359999999986</v>
      </c>
      <c r="BG37" s="1348">
        <f t="shared" si="44"/>
        <v>0.20337912141457232</v>
      </c>
      <c r="BH37" s="1348">
        <f t="shared" si="35"/>
        <v>0.79662087858542763</v>
      </c>
      <c r="BI37" s="1348">
        <f t="shared" si="33"/>
        <v>0.66282438677223743</v>
      </c>
      <c r="BJ37" s="1344"/>
      <c r="BK37" s="1316">
        <f t="shared" si="45"/>
        <v>461765</v>
      </c>
      <c r="BL37" s="1344" t="b">
        <f t="shared" si="46"/>
        <v>1</v>
      </c>
      <c r="BM37" s="1345"/>
      <c r="BN37" s="1345"/>
      <c r="BO37" s="1345"/>
      <c r="BP37" s="1345"/>
      <c r="BQ37" s="2072">
        <v>0.87949323700000004</v>
      </c>
      <c r="BR37" s="1316">
        <f t="shared" si="76"/>
        <v>2704</v>
      </c>
      <c r="BS37" s="1316">
        <f t="shared" si="77"/>
        <v>10994</v>
      </c>
      <c r="BT37" s="1316">
        <f t="shared" si="78"/>
        <v>105059</v>
      </c>
      <c r="BU37" s="1116">
        <f t="shared" si="80"/>
        <v>0.86961612046564307</v>
      </c>
      <c r="BV37" s="1318">
        <f t="shared" si="85"/>
        <v>0.13038387953435687</v>
      </c>
      <c r="BW37" s="1807">
        <f>AD37*(1-BV37)</f>
        <v>401558.28786681773</v>
      </c>
      <c r="BX37" s="1935">
        <f t="shared" si="82"/>
        <v>60206.7121331823</v>
      </c>
      <c r="BY37" s="1456"/>
      <c r="BZ37" s="1468">
        <f t="shared" si="18"/>
        <v>545637</v>
      </c>
      <c r="CA37" s="1469">
        <f t="shared" si="83"/>
        <v>4595</v>
      </c>
      <c r="CB37" s="1469">
        <f t="shared" si="20"/>
        <v>512</v>
      </c>
      <c r="CC37" s="1470">
        <f t="shared" si="53"/>
        <v>0.84</v>
      </c>
      <c r="CD37" s="1936">
        <f t="shared" si="57"/>
        <v>0.86961612046564318</v>
      </c>
      <c r="CE37" s="1940">
        <v>0.97511219910240698</v>
      </c>
      <c r="CF37" s="1665">
        <f t="shared" si="86"/>
        <v>391564.21555495251</v>
      </c>
      <c r="CG37" s="1821">
        <f t="shared" si="84"/>
        <v>403813</v>
      </c>
      <c r="CH37" s="1661">
        <f t="shared" si="58"/>
        <v>12248.784445047495</v>
      </c>
      <c r="CI37" s="1549">
        <f t="shared" si="59"/>
        <v>3.12816747763522E-2</v>
      </c>
      <c r="CJ37" s="1678">
        <f t="shared" si="60"/>
        <v>2254.7121331822709</v>
      </c>
      <c r="CK37" s="1806">
        <f t="shared" si="61"/>
        <v>5.6149062323178267E-3</v>
      </c>
      <c r="CL37" s="1670"/>
      <c r="CM37" s="1013">
        <f t="shared" si="27"/>
        <v>376370.99971719028</v>
      </c>
      <c r="CN37" s="1014">
        <f t="shared" si="47"/>
        <v>6.2723865776569798E-2</v>
      </c>
    </row>
    <row r="38" spans="1:92" x14ac:dyDescent="0.3">
      <c r="A38" s="1342">
        <v>2013</v>
      </c>
      <c r="B38" s="1336">
        <v>186191</v>
      </c>
      <c r="C38" s="1468">
        <f t="shared" si="0"/>
        <v>195327</v>
      </c>
      <c r="D38" s="1536">
        <v>185505</v>
      </c>
      <c r="E38" s="1536">
        <f t="shared" si="79"/>
        <v>194651</v>
      </c>
      <c r="F38" s="1536">
        <v>1011</v>
      </c>
      <c r="G38" s="1507">
        <v>159219</v>
      </c>
      <c r="H38" s="1346">
        <v>131660</v>
      </c>
      <c r="I38" s="1507">
        <f t="shared" si="68"/>
        <v>131660</v>
      </c>
      <c r="J38" s="1316">
        <v>129993</v>
      </c>
      <c r="K38" s="1316">
        <v>113049</v>
      </c>
      <c r="L38" s="1315">
        <v>129993</v>
      </c>
      <c r="M38" s="1525">
        <v>28245</v>
      </c>
      <c r="N38" s="1380" t="str">
        <f t="shared" si="28"/>
        <v/>
      </c>
      <c r="O38" s="1430">
        <f t="shared" si="4"/>
        <v>0.8599506343539528</v>
      </c>
      <c r="P38" s="1817">
        <f t="shared" si="5"/>
        <v>0.82691136108127794</v>
      </c>
      <c r="Q38" s="1334">
        <f t="shared" si="6"/>
        <v>0.81644150509675351</v>
      </c>
      <c r="R38" s="1335">
        <f t="shared" si="7"/>
        <v>0.81644150509675351</v>
      </c>
      <c r="S38" s="1317">
        <v>0.7</v>
      </c>
      <c r="T38" s="1317">
        <v>0.83868307496053995</v>
      </c>
      <c r="U38" s="1816">
        <f t="shared" si="70"/>
        <v>0.82</v>
      </c>
      <c r="V38" s="1560">
        <f t="shared" si="71"/>
        <v>0.17739716993574886</v>
      </c>
      <c r="W38" s="1529">
        <f t="shared" si="67"/>
        <v>28244.999999999996</v>
      </c>
      <c r="X38" s="1531">
        <f t="shared" si="64"/>
        <v>0.13549891857735125</v>
      </c>
      <c r="Y38" s="1316">
        <f t="shared" si="48"/>
        <v>159339.12</v>
      </c>
      <c r="Z38" s="1316">
        <f t="shared" si="49"/>
        <v>158647.64750438076</v>
      </c>
      <c r="AA38" s="1315">
        <f t="shared" si="73"/>
        <v>129853.49999999999</v>
      </c>
      <c r="AB38" s="1468">
        <f t="shared" si="65"/>
        <v>34265.904054979612</v>
      </c>
      <c r="AC38" s="1622">
        <f t="shared" si="29"/>
        <v>33927.69</v>
      </c>
      <c r="AD38" s="2214">
        <f t="shared" si="55"/>
        <v>159339</v>
      </c>
      <c r="AE38" s="2215">
        <f t="shared" si="31"/>
        <v>34977</v>
      </c>
      <c r="AF38" s="2208">
        <f t="shared" si="63"/>
        <v>4434.200502011684</v>
      </c>
      <c r="AG38" s="1347">
        <v>0.03</v>
      </c>
      <c r="AH38" s="1530">
        <f t="shared" si="66"/>
        <v>0</v>
      </c>
      <c r="AI38" s="1536">
        <v>676</v>
      </c>
      <c r="AJ38" s="2299">
        <v>8046</v>
      </c>
      <c r="AK38" s="1316"/>
      <c r="AL38" s="1316"/>
      <c r="AM38" s="1404">
        <v>440</v>
      </c>
      <c r="AN38" s="1404">
        <v>33</v>
      </c>
      <c r="AO38" s="1404">
        <v>648</v>
      </c>
      <c r="AP38" s="1316">
        <f t="shared" si="75"/>
        <v>1121</v>
      </c>
      <c r="AQ38" s="1562">
        <f t="shared" si="36"/>
        <v>8491</v>
      </c>
      <c r="AR38" s="1469">
        <f t="shared" si="37"/>
        <v>9167</v>
      </c>
      <c r="AS38" s="1429">
        <f t="shared" si="38"/>
        <v>1586.7035529679251</v>
      </c>
      <c r="AT38" s="1316">
        <f t="shared" si="39"/>
        <v>6985.58</v>
      </c>
      <c r="AU38" s="2299">
        <f t="shared" si="40"/>
        <v>7516.94</v>
      </c>
      <c r="AV38" s="1316">
        <f t="shared" si="10"/>
        <v>138645.57999999999</v>
      </c>
      <c r="AW38" s="1316">
        <f t="shared" si="11"/>
        <v>137509.94</v>
      </c>
      <c r="AX38" s="1350">
        <f t="shared" si="41"/>
        <v>5.4664702784395072E-2</v>
      </c>
      <c r="AY38" s="1335">
        <f t="shared" si="12"/>
        <v>0.13484145671095388</v>
      </c>
      <c r="AZ38" s="1335">
        <f t="shared" si="13"/>
        <v>0.14195637946638945</v>
      </c>
      <c r="BA38" s="1316">
        <f t="shared" si="14"/>
        <v>18695.17197373509</v>
      </c>
      <c r="BB38" s="1316">
        <f t="shared" si="42"/>
        <v>19520.413223040447</v>
      </c>
      <c r="BC38" s="1316">
        <f t="shared" si="15"/>
        <v>157340.75197373508</v>
      </c>
      <c r="BD38" s="1316">
        <f t="shared" si="16"/>
        <v>157030.35322304044</v>
      </c>
      <c r="BE38" s="2301">
        <v>5197</v>
      </c>
      <c r="BF38" s="1316">
        <f t="shared" si="43"/>
        <v>21829.059999999998</v>
      </c>
      <c r="BG38" s="1348">
        <f t="shared" si="44"/>
        <v>0.13699759631979613</v>
      </c>
      <c r="BH38" s="1348">
        <f t="shared" si="35"/>
        <v>0.86300240368020387</v>
      </c>
      <c r="BI38" s="1348">
        <f t="shared" si="33"/>
        <v>0.64993364060267922</v>
      </c>
      <c r="BJ38" s="1344"/>
      <c r="BK38" s="1316">
        <f t="shared" si="45"/>
        <v>159339</v>
      </c>
      <c r="BL38" s="1344" t="b">
        <f t="shared" si="46"/>
        <v>1</v>
      </c>
      <c r="BM38" s="1345"/>
      <c r="BN38" s="1345"/>
      <c r="BO38" s="1345"/>
      <c r="BP38" s="1345"/>
      <c r="BQ38" s="2072">
        <v>0.772846594</v>
      </c>
      <c r="BR38" s="1316">
        <f t="shared" si="76"/>
        <v>6502</v>
      </c>
      <c r="BS38" s="1316">
        <f t="shared" si="77"/>
        <v>8904</v>
      </c>
      <c r="BT38" s="1316">
        <f t="shared" si="78"/>
        <v>44832</v>
      </c>
      <c r="BU38" s="1116">
        <f t="shared" si="80"/>
        <v>0.65636152748037113</v>
      </c>
      <c r="BV38" s="1318">
        <f t="shared" si="85"/>
        <v>0.34363847251962881</v>
      </c>
      <c r="BW38" s="1807">
        <f t="shared" si="81"/>
        <v>104583.98942719486</v>
      </c>
      <c r="BX38" s="1935">
        <f t="shared" si="82"/>
        <v>54755.010572805135</v>
      </c>
      <c r="BY38" s="1456"/>
      <c r="BZ38" s="1468">
        <f t="shared" si="18"/>
        <v>194651</v>
      </c>
      <c r="CA38" s="1469">
        <f t="shared" si="83"/>
        <v>676</v>
      </c>
      <c r="CB38" s="1469">
        <f t="shared" si="20"/>
        <v>1011</v>
      </c>
      <c r="CC38" s="1470">
        <f t="shared" si="53"/>
        <v>0.82</v>
      </c>
      <c r="CD38" s="1936">
        <f t="shared" si="57"/>
        <v>0.65636152748037113</v>
      </c>
      <c r="CE38" s="1940">
        <v>0.77061469265367299</v>
      </c>
      <c r="CF38" s="1665">
        <f t="shared" si="86"/>
        <v>80594.019565153169</v>
      </c>
      <c r="CG38" s="1821">
        <f t="shared" si="84"/>
        <v>98428</v>
      </c>
      <c r="CH38" s="1661">
        <f t="shared" si="58"/>
        <v>17833.980434846831</v>
      </c>
      <c r="CI38" s="1549">
        <f t="shared" si="59"/>
        <v>0.22128168480825836</v>
      </c>
      <c r="CJ38" s="1678">
        <f t="shared" si="60"/>
        <v>-6155.9894271948579</v>
      </c>
      <c r="CK38" s="1806">
        <f t="shared" si="61"/>
        <v>-5.8861681036563356E-2</v>
      </c>
      <c r="CL38" s="1670"/>
      <c r="CM38" s="1013">
        <f t="shared" si="27"/>
        <v>103892.63693157563</v>
      </c>
      <c r="CN38" s="1014">
        <f t="shared" si="47"/>
        <v>6.6105003204195538E-3</v>
      </c>
    </row>
    <row r="39" spans="1:92" x14ac:dyDescent="0.3">
      <c r="A39" s="1342">
        <v>2014</v>
      </c>
      <c r="B39" s="1336">
        <v>651146</v>
      </c>
      <c r="C39" s="1468">
        <f t="shared" si="0"/>
        <v>651702</v>
      </c>
      <c r="D39" s="1536">
        <v>614179</v>
      </c>
      <c r="E39" s="1536">
        <f t="shared" si="79"/>
        <v>650354</v>
      </c>
      <c r="F39" s="1536">
        <v>2523</v>
      </c>
      <c r="G39" s="1507">
        <v>581121</v>
      </c>
      <c r="H39" s="1346">
        <v>492892</v>
      </c>
      <c r="I39" s="1507">
        <f t="shared" si="68"/>
        <v>492892</v>
      </c>
      <c r="J39" s="1316">
        <v>490804</v>
      </c>
      <c r="K39" s="1316">
        <v>443068</v>
      </c>
      <c r="L39" s="1315">
        <v>490804</v>
      </c>
      <c r="M39" s="1525">
        <v>97672</v>
      </c>
      <c r="N39" s="1380" t="str">
        <f t="shared" si="28"/>
        <v/>
      </c>
      <c r="O39" s="1430">
        <f t="shared" si="4"/>
        <v>0.95169320262422663</v>
      </c>
      <c r="P39" s="1817">
        <f t="shared" si="5"/>
        <v>0.84817447657200484</v>
      </c>
      <c r="Q39" s="1334">
        <f t="shared" si="6"/>
        <v>0.84458142108097967</v>
      </c>
      <c r="R39" s="1335">
        <f t="shared" si="7"/>
        <v>0.84458142108097967</v>
      </c>
      <c r="S39" s="1317">
        <v>0.81100000000000017</v>
      </c>
      <c r="T39" s="1317">
        <v>0.84608240013574598</v>
      </c>
      <c r="U39" s="1816">
        <f t="shared" si="70"/>
        <v>0.83</v>
      </c>
      <c r="V39" s="1560">
        <f t="shared" si="71"/>
        <v>0.16807515130239659</v>
      </c>
      <c r="W39" s="1529">
        <f t="shared" si="67"/>
        <v>97672</v>
      </c>
      <c r="X39" s="1531">
        <f t="shared" si="64"/>
        <v>5.5366769482466473E-2</v>
      </c>
      <c r="Y39" s="1316">
        <f t="shared" si="48"/>
        <v>538818.56999999995</v>
      </c>
      <c r="Z39" s="1316">
        <f t="shared" si="49"/>
        <v>548284.52235592925</v>
      </c>
      <c r="AA39" s="1315">
        <f t="shared" si="73"/>
        <v>498099.16900000011</v>
      </c>
      <c r="AB39" s="1468">
        <f t="shared" si="65"/>
        <v>109196.27546716484</v>
      </c>
      <c r="AC39" s="1622">
        <f t="shared" si="29"/>
        <v>108152.8</v>
      </c>
      <c r="AD39" s="2214">
        <f t="shared" si="55"/>
        <v>538819</v>
      </c>
      <c r="AE39" s="2215">
        <f t="shared" si="31"/>
        <v>110360</v>
      </c>
      <c r="AF39" s="2208">
        <f t="shared" si="63"/>
        <v>5669.7314582579238</v>
      </c>
      <c r="AG39" s="1347">
        <v>0.02</v>
      </c>
      <c r="AH39" s="1530">
        <f t="shared" si="66"/>
        <v>0</v>
      </c>
      <c r="AI39" s="1536">
        <v>1348</v>
      </c>
      <c r="AJ39" s="2299">
        <v>30702</v>
      </c>
      <c r="AK39" s="1316"/>
      <c r="AL39" s="1316"/>
      <c r="AM39" s="1404">
        <v>3569</v>
      </c>
      <c r="AN39" s="1404">
        <v>1330</v>
      </c>
      <c r="AO39" s="1404">
        <v>2960</v>
      </c>
      <c r="AP39" s="1316">
        <f t="shared" si="75"/>
        <v>7859</v>
      </c>
      <c r="AQ39" s="1562">
        <f t="shared" si="36"/>
        <v>37213</v>
      </c>
      <c r="AR39" s="1469">
        <f t="shared" si="37"/>
        <v>38561</v>
      </c>
      <c r="AS39" s="1429">
        <f t="shared" si="38"/>
        <v>5854.5440089069216</v>
      </c>
      <c r="AT39" s="1316">
        <f t="shared" si="39"/>
        <v>29548.829999999998</v>
      </c>
      <c r="AU39" s="2299">
        <f t="shared" si="40"/>
        <v>32005.629999999997</v>
      </c>
      <c r="AV39" s="1316">
        <f t="shared" si="10"/>
        <v>522440.83</v>
      </c>
      <c r="AW39" s="1316">
        <f t="shared" si="11"/>
        <v>522809.63</v>
      </c>
      <c r="AX39" s="1350">
        <f t="shared" si="41"/>
        <v>6.1218516575526731E-2</v>
      </c>
      <c r="AY39" s="1335">
        <f t="shared" si="12"/>
        <v>3.4220158356018139E-2</v>
      </c>
      <c r="AZ39" s="1335">
        <f t="shared" si="13"/>
        <v>3.3536934528075837E-2</v>
      </c>
      <c r="BA39" s="1316">
        <f t="shared" si="14"/>
        <v>17878.007934249552</v>
      </c>
      <c r="BB39" s="1316">
        <f t="shared" si="42"/>
        <v>17533.432331957552</v>
      </c>
      <c r="BC39" s="1316">
        <f t="shared" si="15"/>
        <v>540318.83793424955</v>
      </c>
      <c r="BD39" s="1316">
        <f t="shared" si="16"/>
        <v>540343.06233195751</v>
      </c>
      <c r="BE39" s="2303">
        <v>22782</v>
      </c>
      <c r="BF39" s="1316">
        <f t="shared" si="43"/>
        <v>16009.369999999995</v>
      </c>
      <c r="BG39" s="1348">
        <f t="shared" si="44"/>
        <v>2.9711962644227458E-2</v>
      </c>
      <c r="BH39" s="1348">
        <f t="shared" si="35"/>
        <v>0.97028803735577251</v>
      </c>
      <c r="BI39" s="1348">
        <f t="shared" si="33"/>
        <v>0.77351005162989939</v>
      </c>
      <c r="BJ39" s="1344"/>
      <c r="BK39" s="1316">
        <f t="shared" si="45"/>
        <v>538819</v>
      </c>
      <c r="BL39" s="1344" t="b">
        <f t="shared" si="46"/>
        <v>1</v>
      </c>
      <c r="BM39" s="1345"/>
      <c r="BN39" s="1345"/>
      <c r="BO39" s="1345"/>
      <c r="BP39" s="1345"/>
      <c r="BQ39" s="2072">
        <v>0.96928358400000003</v>
      </c>
      <c r="BR39" s="1316">
        <f t="shared" si="76"/>
        <v>3910</v>
      </c>
      <c r="BS39" s="1316">
        <f t="shared" si="77"/>
        <v>49737</v>
      </c>
      <c r="BT39" s="1316">
        <f t="shared" si="78"/>
        <v>196432</v>
      </c>
      <c r="BU39" s="1116">
        <f t="shared" si="80"/>
        <v>0.72689276696261307</v>
      </c>
      <c r="BV39" s="1318">
        <f>SUM(BR39,BS39)/BT39</f>
        <v>0.27310723303738699</v>
      </c>
      <c r="BW39" s="1807">
        <f t="shared" si="81"/>
        <v>391663.6338020282</v>
      </c>
      <c r="BX39" s="1935">
        <f t="shared" si="82"/>
        <v>147155.36619797183</v>
      </c>
      <c r="BY39" s="1456"/>
      <c r="BZ39" s="1468">
        <f t="shared" si="18"/>
        <v>650354</v>
      </c>
      <c r="CA39" s="1469">
        <f t="shared" si="83"/>
        <v>1348</v>
      </c>
      <c r="CB39" s="1469">
        <f t="shared" si="20"/>
        <v>2523</v>
      </c>
      <c r="CC39" s="1470">
        <f t="shared" si="53"/>
        <v>0.83</v>
      </c>
      <c r="CD39" s="1936">
        <f t="shared" si="57"/>
        <v>0.72689276696261307</v>
      </c>
      <c r="CE39" s="1940">
        <v>0.973941368078176</v>
      </c>
      <c r="CF39" s="1665">
        <f t="shared" si="86"/>
        <v>381457.11091271462</v>
      </c>
      <c r="CG39" s="1821">
        <f t="shared" si="84"/>
        <v>392143</v>
      </c>
      <c r="CH39" s="1661">
        <f t="shared" si="58"/>
        <v>10685.889087285381</v>
      </c>
      <c r="CI39" s="1547">
        <f t="shared" si="59"/>
        <v>2.8013343522990546E-2</v>
      </c>
      <c r="CJ39" s="1678">
        <f t="shared" si="60"/>
        <v>479.36619797180174</v>
      </c>
      <c r="CK39" s="1675">
        <f t="shared" si="61"/>
        <v>1.2239231743790234E-3</v>
      </c>
      <c r="CL39" s="1668"/>
      <c r="CM39" s="1013">
        <f t="shared" si="27"/>
        <v>401129.15615795739</v>
      </c>
      <c r="CN39" s="1014">
        <f t="shared" si="47"/>
        <v>-2.4167478262007012E-2</v>
      </c>
    </row>
    <row r="40" spans="1:92" x14ac:dyDescent="0.3">
      <c r="A40" s="1342">
        <v>2015</v>
      </c>
      <c r="B40" s="1336">
        <v>512455</v>
      </c>
      <c r="C40" s="1468">
        <f t="shared" si="0"/>
        <v>542103</v>
      </c>
      <c r="D40" s="1536">
        <v>510706</v>
      </c>
      <c r="E40" s="1536">
        <f t="shared" si="79"/>
        <v>540357</v>
      </c>
      <c r="F40" s="1536">
        <v>1749</v>
      </c>
      <c r="G40" s="1507">
        <v>264678</v>
      </c>
      <c r="H40" s="1346">
        <v>216389</v>
      </c>
      <c r="I40" s="1507">
        <f t="shared" si="68"/>
        <v>216389</v>
      </c>
      <c r="J40" s="1316">
        <v>187055</v>
      </c>
      <c r="K40" s="1316">
        <v>157149</v>
      </c>
      <c r="L40" s="1315">
        <v>187055</v>
      </c>
      <c r="M40" s="1525">
        <v>49779</v>
      </c>
      <c r="N40" s="1380" t="str">
        <f t="shared" si="28"/>
        <v/>
      </c>
      <c r="O40" s="1430">
        <f t="shared" si="4"/>
        <v>0.52132402967203706</v>
      </c>
      <c r="P40" s="1817">
        <f t="shared" si="5"/>
        <v>0.81755567141961172</v>
      </c>
      <c r="Q40" s="1334">
        <f t="shared" si="6"/>
        <v>0.70672666409750717</v>
      </c>
      <c r="R40" s="1335">
        <f t="shared" si="7"/>
        <v>0.70672666409750717</v>
      </c>
      <c r="S40" s="1317">
        <v>0.78400000000000003</v>
      </c>
      <c r="T40" s="1317">
        <v>0.72614743814231109</v>
      </c>
      <c r="U40" s="1816">
        <f t="shared" si="70"/>
        <v>0.81</v>
      </c>
      <c r="V40" s="1560">
        <f t="shared" si="71"/>
        <v>0.18807381044136648</v>
      </c>
      <c r="W40" s="1529">
        <f t="shared" si="67"/>
        <v>49779</v>
      </c>
      <c r="X40" s="1531">
        <f t="shared" si="64"/>
        <v>0.45124797124863747</v>
      </c>
      <c r="Y40" s="1316">
        <f t="shared" si="48"/>
        <v>437686.74000000005</v>
      </c>
      <c r="Z40" s="1316">
        <f t="shared" si="49"/>
        <v>381882.57985174441</v>
      </c>
      <c r="AA40" s="1315">
        <f t="shared" si="73"/>
        <v>400393.50400000002</v>
      </c>
      <c r="AB40" s="1468">
        <f t="shared" si="65"/>
        <v>98675.468376372519</v>
      </c>
      <c r="AC40" s="1622">
        <f t="shared" si="29"/>
        <v>99586.99</v>
      </c>
      <c r="AD40" s="2214">
        <f t="shared" si="55"/>
        <v>437687</v>
      </c>
      <c r="AE40" s="2215">
        <f t="shared" si="31"/>
        <v>102667</v>
      </c>
      <c r="AF40" s="2208">
        <f t="shared" si="63"/>
        <v>42939.557752812325</v>
      </c>
      <c r="AG40" s="1347">
        <v>0.03</v>
      </c>
      <c r="AH40" s="1530">
        <f t="shared" si="66"/>
        <v>0</v>
      </c>
      <c r="AI40" s="1536">
        <v>1746</v>
      </c>
      <c r="AJ40" s="2299">
        <v>30095</v>
      </c>
      <c r="AK40" s="1316"/>
      <c r="AL40" s="1316"/>
      <c r="AM40" s="1404">
        <v>269.2692721921199</v>
      </c>
      <c r="AN40" s="1404">
        <v>1735.9469278519944</v>
      </c>
      <c r="AO40" s="1404">
        <v>550.3499749163534</v>
      </c>
      <c r="AP40" s="1316">
        <f t="shared" si="75"/>
        <v>2555.5661749604678</v>
      </c>
      <c r="AQ40" s="1562">
        <f t="shared" si="36"/>
        <v>30904.56617496047</v>
      </c>
      <c r="AR40" s="1469">
        <f t="shared" si="37"/>
        <v>32650.56617496047</v>
      </c>
      <c r="AS40" s="1429">
        <f t="shared" si="38"/>
        <v>5956.9106235601994</v>
      </c>
      <c r="AT40" s="1316">
        <f t="shared" si="39"/>
        <v>26001.175122035736</v>
      </c>
      <c r="AU40" s="2299">
        <f t="shared" si="40"/>
        <v>26446.958601717983</v>
      </c>
      <c r="AV40" s="1316">
        <f t="shared" si="10"/>
        <v>242390.17512203573</v>
      </c>
      <c r="AW40" s="1316">
        <f t="shared" si="11"/>
        <v>213501.95860171798</v>
      </c>
      <c r="AX40" s="1350">
        <f t="shared" si="41"/>
        <v>0.12387220602062042</v>
      </c>
      <c r="AY40" s="1335">
        <f t="shared" si="12"/>
        <v>0.44943596588867912</v>
      </c>
      <c r="AZ40" s="1335">
        <f t="shared" si="13"/>
        <v>0.51543763670981868</v>
      </c>
      <c r="BA40" s="1316">
        <f t="shared" si="14"/>
        <v>108938.8624778982</v>
      </c>
      <c r="BB40" s="1316">
        <f t="shared" si="42"/>
        <v>110046.94497458707</v>
      </c>
      <c r="BC40" s="1316">
        <f t="shared" si="15"/>
        <v>351329.03759993392</v>
      </c>
      <c r="BD40" s="1316">
        <f t="shared" si="16"/>
        <v>323548.90357630502</v>
      </c>
      <c r="BE40" s="2301">
        <v>25038</v>
      </c>
      <c r="BF40" s="1316">
        <f t="shared" si="43"/>
        <v>224185.04139828202</v>
      </c>
      <c r="BG40" s="1348">
        <f t="shared" si="44"/>
        <v>0.51220402113446828</v>
      </c>
      <c r="BH40" s="1348">
        <f t="shared" si="35"/>
        <v>0.48779597886553172</v>
      </c>
      <c r="BI40" s="1348">
        <f t="shared" si="33"/>
        <v>0.35949442262616454</v>
      </c>
      <c r="BJ40" s="1344"/>
      <c r="BK40" s="1316">
        <f t="shared" si="45"/>
        <v>437687</v>
      </c>
      <c r="BL40" s="1344" t="b">
        <f t="shared" si="46"/>
        <v>1</v>
      </c>
      <c r="BM40" s="1345"/>
      <c r="BN40" s="1345"/>
      <c r="BO40" s="1345"/>
      <c r="BP40" s="1345"/>
      <c r="BQ40" s="2072">
        <v>0.97961179899999995</v>
      </c>
      <c r="BR40" s="1316">
        <f t="shared" si="76"/>
        <v>170</v>
      </c>
      <c r="BS40" s="1316">
        <f t="shared" si="77"/>
        <v>14407</v>
      </c>
      <c r="BT40" s="1316">
        <f t="shared" si="78"/>
        <v>24848</v>
      </c>
      <c r="BU40" s="1116">
        <f t="shared" si="80"/>
        <v>0.41335318737926596</v>
      </c>
      <c r="BV40" s="1318">
        <f t="shared" si="85"/>
        <v>0.58664681262073404</v>
      </c>
      <c r="BW40" s="1807">
        <f t="shared" si="81"/>
        <v>180919.31652446877</v>
      </c>
      <c r="BX40" s="1935">
        <f t="shared" si="82"/>
        <v>256767.68347553123</v>
      </c>
      <c r="BY40" s="1456"/>
      <c r="BZ40" s="1468">
        <f t="shared" si="18"/>
        <v>540357</v>
      </c>
      <c r="CA40" s="1469">
        <f t="shared" si="83"/>
        <v>1746</v>
      </c>
      <c r="CB40" s="1469">
        <f t="shared" si="20"/>
        <v>1749</v>
      </c>
      <c r="CC40" s="1470">
        <f t="shared" si="53"/>
        <v>0.81</v>
      </c>
      <c r="CD40" s="1936">
        <f t="shared" si="57"/>
        <v>0.41335318737926596</v>
      </c>
      <c r="CE40" s="1940">
        <v>0.97972972972973005</v>
      </c>
      <c r="CF40" s="1665">
        <f t="shared" si="86"/>
        <v>177251.92778805958</v>
      </c>
      <c r="CG40" s="1821">
        <f t="shared" si="84"/>
        <v>180118</v>
      </c>
      <c r="CH40" s="1661">
        <f t="shared" si="58"/>
        <v>2866.0722119404236</v>
      </c>
      <c r="CI40" s="1547">
        <f t="shared" si="59"/>
        <v>1.616948400903933E-2</v>
      </c>
      <c r="CJ40" s="1678">
        <f t="shared" si="60"/>
        <v>-801.31652446876979</v>
      </c>
      <c r="CK40" s="1675">
        <f t="shared" si="61"/>
        <v>-4.429137473335492E-3</v>
      </c>
      <c r="CL40" s="1668"/>
      <c r="CM40" s="1013">
        <f t="shared" si="27"/>
        <v>125114.89637621318</v>
      </c>
      <c r="CN40" s="1014">
        <f t="shared" si="47"/>
        <v>0.30844920940605158</v>
      </c>
    </row>
    <row r="41" spans="1:92" x14ac:dyDescent="0.3">
      <c r="A41" s="1342">
        <v>2016</v>
      </c>
      <c r="B41" s="1336">
        <v>356606</v>
      </c>
      <c r="C41" s="1468">
        <f t="shared" si="0"/>
        <v>363350</v>
      </c>
      <c r="D41" s="1536">
        <v>342498</v>
      </c>
      <c r="E41" s="1536">
        <f t="shared" si="79"/>
        <v>361543</v>
      </c>
      <c r="F41" s="1536">
        <v>946</v>
      </c>
      <c r="G41" s="1507">
        <v>310341</v>
      </c>
      <c r="H41" s="1346">
        <v>235925</v>
      </c>
      <c r="I41" s="1507">
        <f t="shared" si="68"/>
        <v>235925</v>
      </c>
      <c r="J41" s="1316">
        <v>216036</v>
      </c>
      <c r="K41" s="1316">
        <v>183730</v>
      </c>
      <c r="L41" s="1315">
        <v>216036</v>
      </c>
      <c r="M41" s="1525">
        <v>73619</v>
      </c>
      <c r="N41" s="1380" t="str">
        <f t="shared" si="28"/>
        <v/>
      </c>
      <c r="O41" s="1430">
        <f t="shared" si="4"/>
        <v>0.90278917145200988</v>
      </c>
      <c r="P41" s="1543">
        <f t="shared" si="5"/>
        <v>0.7602121537276737</v>
      </c>
      <c r="Q41" s="1334">
        <f t="shared" si="6"/>
        <v>0.69612458553655499</v>
      </c>
      <c r="R41" s="1335">
        <f t="shared" si="7"/>
        <v>0.69612458553655499</v>
      </c>
      <c r="S41" s="1317">
        <v>0.70099999999999996</v>
      </c>
      <c r="T41" s="1317">
        <v>0.73560301084842705</v>
      </c>
      <c r="U41" s="1559">
        <f t="shared" si="70"/>
        <v>0.76</v>
      </c>
      <c r="V41" s="1560">
        <f t="shared" si="71"/>
        <v>0.2397878462723263</v>
      </c>
      <c r="W41" s="1529">
        <f t="shared" si="67"/>
        <v>74416.000000000015</v>
      </c>
      <c r="X41" s="1531">
        <f t="shared" si="64"/>
        <v>9.2860323668277359E-2</v>
      </c>
      <c r="Y41" s="1316">
        <f t="shared" si="48"/>
        <v>275427.03999999998</v>
      </c>
      <c r="Z41" s="1316">
        <f t="shared" si="49"/>
        <v>252278.33429678966</v>
      </c>
      <c r="AA41" s="1315">
        <f t="shared" si="73"/>
        <v>240091.098</v>
      </c>
      <c r="AB41" s="1468">
        <f t="shared" si="65"/>
        <v>85704.230849186017</v>
      </c>
      <c r="AC41" s="1622">
        <f t="shared" si="29"/>
        <v>86977</v>
      </c>
      <c r="AD41" s="2214">
        <f t="shared" si="55"/>
        <v>275427</v>
      </c>
      <c r="AE41" s="2215">
        <f t="shared" si="31"/>
        <v>86977</v>
      </c>
      <c r="AF41" s="2208">
        <f t="shared" si="63"/>
        <v>7614.1466675922238</v>
      </c>
      <c r="AG41" s="1347">
        <v>0</v>
      </c>
      <c r="AH41" s="1529">
        <f t="shared" si="66"/>
        <v>797.00000000001455</v>
      </c>
      <c r="AI41" s="1536">
        <v>1807</v>
      </c>
      <c r="AJ41" s="2299">
        <v>16683</v>
      </c>
      <c r="AK41" s="1316"/>
      <c r="AL41" s="1316"/>
      <c r="AM41" s="1404">
        <v>366</v>
      </c>
      <c r="AN41" s="1404">
        <v>437</v>
      </c>
      <c r="AO41" s="1404">
        <v>1160</v>
      </c>
      <c r="AP41" s="1316">
        <f t="shared" si="75"/>
        <v>1963</v>
      </c>
      <c r="AQ41" s="1562">
        <f t="shared" si="36"/>
        <v>16839</v>
      </c>
      <c r="AR41" s="1469">
        <f t="shared" si="37"/>
        <v>18646</v>
      </c>
      <c r="AS41" s="1429">
        <f t="shared" si="38"/>
        <v>4471.0841815937965</v>
      </c>
      <c r="AT41" s="1316">
        <f t="shared" si="39"/>
        <v>13289.36</v>
      </c>
      <c r="AU41" s="2299">
        <f t="shared" si="40"/>
        <v>14170.960000000001</v>
      </c>
      <c r="AV41" s="1316">
        <f t="shared" si="10"/>
        <v>249214.36</v>
      </c>
      <c r="AW41" s="1316">
        <f t="shared" si="11"/>
        <v>230206.96</v>
      </c>
      <c r="AX41" s="1350">
        <f t="shared" si="41"/>
        <v>6.1557478540179678E-2</v>
      </c>
      <c r="AY41" s="1335">
        <f t="shared" si="12"/>
        <v>9.8014256730327015E-2</v>
      </c>
      <c r="AZ41" s="1335">
        <f t="shared" si="13"/>
        <v>0.16718925622445432</v>
      </c>
      <c r="BA41" s="1316">
        <f t="shared" si="14"/>
        <v>24426.56026192414</v>
      </c>
      <c r="BB41" s="1316">
        <f t="shared" si="42"/>
        <v>38488.130420092704</v>
      </c>
      <c r="BC41" s="1316">
        <f t="shared" si="15"/>
        <v>273640.92026192416</v>
      </c>
      <c r="BD41" s="1316">
        <f t="shared" si="16"/>
        <v>268695.09042009269</v>
      </c>
      <c r="BE41" s="2301">
        <v>4610</v>
      </c>
      <c r="BF41" s="1316">
        <f t="shared" si="43"/>
        <v>45220.040000000008</v>
      </c>
      <c r="BG41" s="1348">
        <f t="shared" si="44"/>
        <v>0.16418157987415907</v>
      </c>
      <c r="BH41" s="1348">
        <f t="shared" si="35"/>
        <v>0.83581842012584096</v>
      </c>
      <c r="BI41" s="1348">
        <f t="shared" si="33"/>
        <v>0.57781639600815182</v>
      </c>
      <c r="BJ41" s="1344"/>
      <c r="BK41" s="1316">
        <f t="shared" si="45"/>
        <v>275427</v>
      </c>
      <c r="BL41" s="1344" t="b">
        <f t="shared" si="46"/>
        <v>1</v>
      </c>
      <c r="BM41" s="1345"/>
      <c r="BN41" s="1345"/>
      <c r="BO41" s="1345"/>
      <c r="BP41" s="1345"/>
      <c r="BQ41" s="2072">
        <v>0.99157803799999999</v>
      </c>
      <c r="BR41" s="1316">
        <f t="shared" si="76"/>
        <v>380</v>
      </c>
      <c r="BS41" s="1316">
        <f t="shared" si="77"/>
        <v>36853</v>
      </c>
      <c r="BT41" s="1316">
        <f t="shared" si="78"/>
        <v>91665.565999999992</v>
      </c>
      <c r="BU41" s="1116">
        <f t="shared" si="80"/>
        <v>0.59381694103105187</v>
      </c>
      <c r="BV41" s="1318">
        <f t="shared" si="85"/>
        <v>0.40618305896894807</v>
      </c>
      <c r="BW41" s="1807">
        <f t="shared" ref="BW41:BW46" si="87">AD41*CD41*CE41</f>
        <v>162368.05036650912</v>
      </c>
      <c r="BX41" s="1935">
        <f t="shared" si="82"/>
        <v>111873.78138264046</v>
      </c>
      <c r="BY41" s="1456"/>
      <c r="BZ41" s="1468">
        <f t="shared" si="18"/>
        <v>361543</v>
      </c>
      <c r="CA41" s="1469">
        <f t="shared" si="83"/>
        <v>1807</v>
      </c>
      <c r="CB41" s="1469">
        <f t="shared" si="20"/>
        <v>946</v>
      </c>
      <c r="CC41" s="1470">
        <f t="shared" si="53"/>
        <v>0.76</v>
      </c>
      <c r="CD41" s="1936">
        <f t="shared" si="57"/>
        <v>0.59381694103105187</v>
      </c>
      <c r="CE41" s="1940">
        <v>0.99275362318840599</v>
      </c>
      <c r="CF41" s="1665">
        <f t="shared" si="86"/>
        <v>162368.07394706592</v>
      </c>
      <c r="CG41" s="1821">
        <f t="shared" si="84"/>
        <v>163322</v>
      </c>
      <c r="CH41" s="1661">
        <f t="shared" si="58"/>
        <v>953.92605293408269</v>
      </c>
      <c r="CI41" s="1547">
        <f t="shared" si="59"/>
        <v>5.8750838742170144E-3</v>
      </c>
      <c r="CJ41" s="1678">
        <f t="shared" si="60"/>
        <v>953.94963349087629</v>
      </c>
      <c r="CK41" s="1675">
        <f t="shared" si="61"/>
        <v>5.8752299564942172E-3</v>
      </c>
      <c r="CL41" s="1668"/>
      <c r="CM41" s="1013">
        <f t="shared" si="27"/>
        <v>140404.55291414919</v>
      </c>
      <c r="CN41" s="1014">
        <f t="shared" si="47"/>
        <v>0.13526982311349009</v>
      </c>
    </row>
    <row r="42" spans="1:92" s="1448" customFormat="1" x14ac:dyDescent="0.3">
      <c r="A42" s="1703">
        <v>2017</v>
      </c>
      <c r="B42" s="1431">
        <v>88263</v>
      </c>
      <c r="C42" s="1500">
        <f t="shared" si="0"/>
        <v>91242</v>
      </c>
      <c r="D42" s="1538">
        <v>87693</v>
      </c>
      <c r="E42" s="1851">
        <f>ROUND(D42*VLOOKUP(A42,BON_Count_Adjustment,5)+VLOOKUP(A42,BON_Count_Adjustment,4),0)+1</f>
        <v>90672</v>
      </c>
      <c r="F42" s="1538">
        <v>444</v>
      </c>
      <c r="G42" s="1508">
        <v>73218</v>
      </c>
      <c r="H42" s="1434">
        <v>46701</v>
      </c>
      <c r="I42" s="1508">
        <f t="shared" si="68"/>
        <v>46701</v>
      </c>
      <c r="J42" s="1433">
        <v>42299</v>
      </c>
      <c r="K42" s="1433">
        <v>36720</v>
      </c>
      <c r="L42" s="1439">
        <v>42299</v>
      </c>
      <c r="M42" s="1526">
        <v>23845</v>
      </c>
      <c r="N42" s="1435" t="str">
        <f t="shared" si="28"/>
        <v/>
      </c>
      <c r="O42" s="1704">
        <f t="shared" si="4"/>
        <v>0.85090706241937542</v>
      </c>
      <c r="P42" s="1544">
        <f t="shared" si="5"/>
        <v>0.63783495861673356</v>
      </c>
      <c r="Q42" s="1436">
        <f t="shared" si="6"/>
        <v>0.57771313065093288</v>
      </c>
      <c r="R42" s="1437">
        <f t="shared" si="7"/>
        <v>0.57771313065093288</v>
      </c>
      <c r="S42" s="1438">
        <v>0.59199999999999997</v>
      </c>
      <c r="T42" s="1438"/>
      <c r="U42" s="1559">
        <f t="shared" ref="U42:U48" si="88">MIN(ROUND(P42,2),ROUND(1-V42,2))</f>
        <v>0.64</v>
      </c>
      <c r="V42" s="1560">
        <f t="shared" ref="V42:V48" si="89">MAX(1-P42,M42/G42)</f>
        <v>0.36216504138326644</v>
      </c>
      <c r="W42" s="1532">
        <f t="shared" si="67"/>
        <v>26517.000000000004</v>
      </c>
      <c r="X42" s="1533">
        <f t="shared" si="64"/>
        <v>0.13819040056467266</v>
      </c>
      <c r="Y42" s="1433">
        <f t="shared" si="48"/>
        <v>58110.720000000001</v>
      </c>
      <c r="Z42" s="1433">
        <f t="shared" si="49"/>
        <v>52455.196836843403</v>
      </c>
      <c r="AA42" s="1439">
        <f t="shared" si="73"/>
        <v>51914.255999999994</v>
      </c>
      <c r="AB42" s="1500">
        <f t="shared" si="65"/>
        <v>29843.576111680693</v>
      </c>
      <c r="AC42" s="1623">
        <f t="shared" si="29"/>
        <v>32687</v>
      </c>
      <c r="AD42" s="2218">
        <f t="shared" si="55"/>
        <v>58111</v>
      </c>
      <c r="AE42" s="2216">
        <f t="shared" si="31"/>
        <v>32687</v>
      </c>
      <c r="AF42" s="2209">
        <f t="shared" si="63"/>
        <v>4277.9300000687954</v>
      </c>
      <c r="AG42" s="1440">
        <v>0</v>
      </c>
      <c r="AH42" s="1532">
        <f t="shared" si="66"/>
        <v>2672.0000000000036</v>
      </c>
      <c r="AI42" s="1538">
        <v>570</v>
      </c>
      <c r="AJ42" s="2300">
        <v>4480</v>
      </c>
      <c r="AK42" s="1433"/>
      <c r="AL42" s="1433"/>
      <c r="AM42" s="1450">
        <v>222</v>
      </c>
      <c r="AN42" s="1450">
        <v>23</v>
      </c>
      <c r="AO42" s="1450">
        <v>26</v>
      </c>
      <c r="AP42" s="1316">
        <f t="shared" si="75"/>
        <v>271</v>
      </c>
      <c r="AQ42" s="1563">
        <f t="shared" si="36"/>
        <v>4181</v>
      </c>
      <c r="AR42" s="1504">
        <f t="shared" si="37"/>
        <v>4751</v>
      </c>
      <c r="AS42" s="1441">
        <f t="shared" si="38"/>
        <v>1720.646111611899</v>
      </c>
      <c r="AT42" s="1433">
        <f t="shared" si="39"/>
        <v>3024</v>
      </c>
      <c r="AU42" s="2300">
        <f t="shared" si="40"/>
        <v>3040.64</v>
      </c>
      <c r="AV42" s="1433">
        <f t="shared" si="10"/>
        <v>49725</v>
      </c>
      <c r="AW42" s="1433">
        <f t="shared" si="11"/>
        <v>45339.64</v>
      </c>
      <c r="AX42" s="1442">
        <f t="shared" si="41"/>
        <v>6.7063611444643137E-2</v>
      </c>
      <c r="AY42" s="1437">
        <f t="shared" si="12"/>
        <v>0.14940320606140817</v>
      </c>
      <c r="AZ42" s="1437">
        <f t="shared" si="13"/>
        <v>0.22497366882830425</v>
      </c>
      <c r="BA42" s="1433">
        <f t="shared" si="14"/>
        <v>7429.0744214035212</v>
      </c>
      <c r="BB42" s="1433">
        <f t="shared" si="42"/>
        <v>10200.225154154536</v>
      </c>
      <c r="BC42" s="1433">
        <f t="shared" si="15"/>
        <v>57154.074421403522</v>
      </c>
      <c r="BD42" s="1433">
        <f t="shared" si="16"/>
        <v>55539.865154154533</v>
      </c>
      <c r="BE42" s="2302">
        <v>2338</v>
      </c>
      <c r="BF42" s="1433">
        <f t="shared" si="43"/>
        <v>12771.36</v>
      </c>
      <c r="BG42" s="1443">
        <f t="shared" si="44"/>
        <v>0.21977525769647743</v>
      </c>
      <c r="BH42" s="1348">
        <f t="shared" si="35"/>
        <v>0.78022474230352257</v>
      </c>
      <c r="BI42" s="1443">
        <f t="shared" si="33"/>
        <v>0.45340722748680051</v>
      </c>
      <c r="BJ42" s="1444"/>
      <c r="BK42" s="1433">
        <f t="shared" si="45"/>
        <v>58111</v>
      </c>
      <c r="BL42" s="1444" t="b">
        <f t="shared" si="46"/>
        <v>1</v>
      </c>
      <c r="BM42" s="1445"/>
      <c r="BN42" s="1445"/>
      <c r="BO42" s="1445"/>
      <c r="BP42" s="1445"/>
      <c r="BQ42" s="2072">
        <v>0.99802788600000003</v>
      </c>
      <c r="BR42" s="1433">
        <f t="shared" si="76"/>
        <v>0</v>
      </c>
      <c r="BS42" s="1316">
        <f t="shared" si="77"/>
        <v>27136</v>
      </c>
      <c r="BT42" s="1433">
        <f t="shared" si="78"/>
        <v>37194</v>
      </c>
      <c r="BU42" s="2067">
        <f t="shared" si="80"/>
        <v>0.27041996020863579</v>
      </c>
      <c r="BV42" s="1649">
        <f>SUM(BR42,BS42)/BT42</f>
        <v>0.72958003979136421</v>
      </c>
      <c r="BW42" s="1807">
        <f t="shared" si="87"/>
        <v>15714.374307684035</v>
      </c>
      <c r="BX42" s="1935">
        <f t="shared" si="82"/>
        <v>42396.625692315967</v>
      </c>
      <c r="BY42" s="1705"/>
      <c r="BZ42" s="1500">
        <f t="shared" si="18"/>
        <v>90672</v>
      </c>
      <c r="CA42" s="1504">
        <f t="shared" si="83"/>
        <v>570</v>
      </c>
      <c r="CB42" s="1504">
        <f t="shared" si="20"/>
        <v>444</v>
      </c>
      <c r="CC42" s="1650">
        <f t="shared" si="53"/>
        <v>0.64</v>
      </c>
      <c r="CD42" s="1936">
        <f t="shared" si="57"/>
        <v>0.27041996020863579</v>
      </c>
      <c r="CE42" s="1941">
        <v>1</v>
      </c>
      <c r="CF42" s="1665">
        <f t="shared" si="86"/>
        <v>15714.298590095177</v>
      </c>
      <c r="CG42" s="1821">
        <f t="shared" si="84"/>
        <v>15680</v>
      </c>
      <c r="CH42" s="1706">
        <f t="shared" si="58"/>
        <v>-34.298590095177133</v>
      </c>
      <c r="CI42" s="1549">
        <f t="shared" si="59"/>
        <v>-2.1826357631256768E-3</v>
      </c>
      <c r="CJ42" s="1676">
        <f t="shared" si="60"/>
        <v>-34.374307684034648</v>
      </c>
      <c r="CK42" s="1707">
        <f t="shared" si="61"/>
        <v>-2.1874436112436406E-3</v>
      </c>
      <c r="CL42" s="1670"/>
      <c r="CM42" s="1446">
        <f t="shared" si="27"/>
        <v>10058.571144527436</v>
      </c>
      <c r="CN42" s="1447">
        <f t="shared" si="47"/>
        <v>0.35991271764419008</v>
      </c>
    </row>
    <row r="43" spans="1:92" x14ac:dyDescent="0.3">
      <c r="A43" s="1342">
        <v>2018</v>
      </c>
      <c r="B43" s="1336">
        <v>210915</v>
      </c>
      <c r="C43" s="1468">
        <f t="shared" si="0"/>
        <v>203637</v>
      </c>
      <c r="D43" s="1536">
        <v>193816</v>
      </c>
      <c r="E43" s="1536">
        <f t="shared" si="79"/>
        <v>203486</v>
      </c>
      <c r="F43" s="1536">
        <v>297</v>
      </c>
      <c r="G43" s="1507">
        <v>172009</v>
      </c>
      <c r="H43" s="1346">
        <v>162684</v>
      </c>
      <c r="I43" s="1507">
        <f t="shared" si="68"/>
        <v>162684</v>
      </c>
      <c r="J43" s="1316">
        <v>153637</v>
      </c>
      <c r="K43" s="1316">
        <v>129762</v>
      </c>
      <c r="L43" s="1315">
        <v>153637</v>
      </c>
      <c r="M43" s="1525">
        <v>13976</v>
      </c>
      <c r="N43" s="1380" t="str">
        <f t="shared" si="28"/>
        <v/>
      </c>
      <c r="O43" s="1430">
        <f t="shared" si="4"/>
        <v>0.89088291199883984</v>
      </c>
      <c r="P43" s="1817">
        <f t="shared" si="5"/>
        <v>0.94578772040997849</v>
      </c>
      <c r="Q43" s="1334">
        <f t="shared" si="6"/>
        <v>0.89319163532140755</v>
      </c>
      <c r="R43" s="1335">
        <f t="shared" si="7"/>
        <v>0.89319163532140755</v>
      </c>
      <c r="S43" s="1317">
        <v>0.90199999999999991</v>
      </c>
      <c r="T43" s="1317"/>
      <c r="U43" s="1816">
        <f t="shared" si="88"/>
        <v>0.92</v>
      </c>
      <c r="V43" s="1560">
        <f t="shared" si="89"/>
        <v>8.1251562418245563E-2</v>
      </c>
      <c r="W43" s="1529">
        <f t="shared" si="67"/>
        <v>13976.000000000002</v>
      </c>
      <c r="X43" s="1531">
        <f t="shared" si="64"/>
        <v>0.11527082944281179</v>
      </c>
      <c r="Y43" s="1316">
        <f t="shared" si="48"/>
        <v>187072.80000000002</v>
      </c>
      <c r="Z43" s="1316">
        <f t="shared" si="49"/>
        <v>181621.58712625501</v>
      </c>
      <c r="AA43" s="1315">
        <f t="shared" si="73"/>
        <v>174822.03199999998</v>
      </c>
      <c r="AB43" s="1468">
        <f t="shared" si="65"/>
        <v>16339.312999983656</v>
      </c>
      <c r="AC43" s="1622">
        <f t="shared" si="29"/>
        <v>16267</v>
      </c>
      <c r="AD43" s="2214">
        <f t="shared" si="55"/>
        <v>187073</v>
      </c>
      <c r="AE43" s="2215">
        <f t="shared" si="31"/>
        <v>16267</v>
      </c>
      <c r="AF43" s="2208">
        <f t="shared" si="63"/>
        <v>1806.9323745512659</v>
      </c>
      <c r="AG43" s="1347">
        <v>0</v>
      </c>
      <c r="AH43" s="1530">
        <f t="shared" si="66"/>
        <v>0</v>
      </c>
      <c r="AI43" s="1536">
        <v>151</v>
      </c>
      <c r="AJ43" s="2299">
        <v>7724</v>
      </c>
      <c r="AK43" s="1316"/>
      <c r="AL43" s="1316"/>
      <c r="AM43" s="1404">
        <v>863</v>
      </c>
      <c r="AN43" s="1404">
        <v>299</v>
      </c>
      <c r="AO43" s="1404">
        <v>1377</v>
      </c>
      <c r="AP43" s="1316">
        <f t="shared" si="75"/>
        <v>2539</v>
      </c>
      <c r="AQ43" s="1562">
        <f t="shared" si="36"/>
        <v>10112</v>
      </c>
      <c r="AR43" s="1469">
        <f t="shared" si="37"/>
        <v>10263</v>
      </c>
      <c r="AS43" s="1429">
        <f t="shared" si="38"/>
        <v>556.38062543239073</v>
      </c>
      <c r="AT43" s="1316">
        <f t="shared" si="39"/>
        <v>8175.1200000000008</v>
      </c>
      <c r="AU43" s="2299">
        <f t="shared" si="40"/>
        <v>9441.9600000000009</v>
      </c>
      <c r="AV43" s="1316">
        <f t="shared" si="10"/>
        <v>170859.12</v>
      </c>
      <c r="AW43" s="1316">
        <f t="shared" si="11"/>
        <v>163078.96</v>
      </c>
      <c r="AX43" s="1350">
        <f t="shared" si="41"/>
        <v>5.7898088140861344E-2</v>
      </c>
      <c r="AY43" s="1335">
        <f t="shared" si="12"/>
        <v>8.8067804258726887E-2</v>
      </c>
      <c r="AZ43" s="1335">
        <f t="shared" si="13"/>
        <v>0.12962690735266905</v>
      </c>
      <c r="BA43" s="1316">
        <f t="shared" si="14"/>
        <v>15047.187535978328</v>
      </c>
      <c r="BB43" s="1316">
        <f t="shared" si="42"/>
        <v>21139.421239089621</v>
      </c>
      <c r="BC43" s="1316">
        <f t="shared" si="15"/>
        <v>185906.30753597833</v>
      </c>
      <c r="BD43" s="1316">
        <f t="shared" si="16"/>
        <v>184218.38123908962</v>
      </c>
      <c r="BE43" s="2301">
        <v>13637</v>
      </c>
      <c r="BF43" s="1316">
        <f t="shared" si="43"/>
        <v>23994.040000000008</v>
      </c>
      <c r="BG43" s="1348">
        <f t="shared" si="44"/>
        <v>0.12826030480079972</v>
      </c>
      <c r="BH43" s="1348">
        <f t="shared" si="35"/>
        <v>0.87173969519920025</v>
      </c>
      <c r="BI43" s="1348">
        <f t="shared" si="33"/>
        <v>0.71822739092747756</v>
      </c>
      <c r="BJ43" s="1344"/>
      <c r="BK43" s="1316">
        <f t="shared" si="45"/>
        <v>187073</v>
      </c>
      <c r="BL43" s="1344" t="b">
        <f t="shared" si="46"/>
        <v>1</v>
      </c>
      <c r="BM43" s="1345"/>
      <c r="BN43" s="1345"/>
      <c r="BO43" s="1345"/>
      <c r="BP43" s="1345"/>
      <c r="BQ43" s="2072">
        <v>0.95987486600000005</v>
      </c>
      <c r="BR43" s="1316">
        <f t="shared" si="76"/>
        <v>219</v>
      </c>
      <c r="BS43" s="1316">
        <f t="shared" si="77"/>
        <v>41746</v>
      </c>
      <c r="BT43" s="1316">
        <f t="shared" si="78"/>
        <v>72751</v>
      </c>
      <c r="BU43" s="1116">
        <f t="shared" si="80"/>
        <v>0.42316944096988357</v>
      </c>
      <c r="BV43" s="1318">
        <f t="shared" si="85"/>
        <v>0.57683055903011637</v>
      </c>
      <c r="BW43" s="1807">
        <f t="shared" si="87"/>
        <v>78967.627382958686</v>
      </c>
      <c r="BX43" s="1935">
        <f t="shared" si="82"/>
        <v>107909.42316944095</v>
      </c>
      <c r="BY43" s="1456"/>
      <c r="BZ43" s="1468">
        <f t="shared" si="18"/>
        <v>203486</v>
      </c>
      <c r="CA43" s="1469">
        <f t="shared" si="83"/>
        <v>151</v>
      </c>
      <c r="CB43" s="1469">
        <f t="shared" si="20"/>
        <v>297</v>
      </c>
      <c r="CC43" s="1470">
        <f t="shared" si="53"/>
        <v>0.92</v>
      </c>
      <c r="CD43" s="1936">
        <f t="shared" si="57"/>
        <v>0.42316944096988363</v>
      </c>
      <c r="CE43" s="1940">
        <v>0.99752475247524797</v>
      </c>
      <c r="CF43" s="1665">
        <f t="shared" si="86"/>
        <v>78967.542958560312</v>
      </c>
      <c r="CG43" s="1821">
        <f t="shared" si="84"/>
        <v>79516</v>
      </c>
      <c r="CH43" s="1662">
        <f t="shared" si="58"/>
        <v>548.4570414396876</v>
      </c>
      <c r="CI43" s="1643">
        <f t="shared" si="59"/>
        <v>6.9453476819900635E-3</v>
      </c>
      <c r="CJ43" s="1678">
        <f t="shared" si="60"/>
        <v>548.37261704131379</v>
      </c>
      <c r="CK43" s="1675">
        <f t="shared" si="61"/>
        <v>6.9442711553424899E-3</v>
      </c>
      <c r="CL43" s="1668"/>
      <c r="CM43" s="1013">
        <f t="shared" si="27"/>
        <v>73712.163956814053</v>
      </c>
      <c r="CN43" s="1014">
        <f t="shared" si="47"/>
        <v>6.6552125222883035E-2</v>
      </c>
    </row>
    <row r="44" spans="1:92" x14ac:dyDescent="0.3">
      <c r="A44" s="1342">
        <v>2019</v>
      </c>
      <c r="B44" s="1336">
        <v>63222</v>
      </c>
      <c r="C44" s="1468">
        <f t="shared" si="0"/>
        <v>64511</v>
      </c>
      <c r="D44" s="1536">
        <v>63046</v>
      </c>
      <c r="E44" s="1536">
        <f t="shared" si="79"/>
        <v>64470</v>
      </c>
      <c r="F44" s="1536">
        <v>335</v>
      </c>
      <c r="G44" s="1507">
        <v>58562</v>
      </c>
      <c r="H44" s="1346">
        <v>50464</v>
      </c>
      <c r="I44" s="1507">
        <f t="shared" si="68"/>
        <v>50464</v>
      </c>
      <c r="J44" s="1316">
        <v>49862</v>
      </c>
      <c r="K44" s="1316">
        <v>42140</v>
      </c>
      <c r="L44" s="1315">
        <v>49862</v>
      </c>
      <c r="M44" s="1525">
        <v>8877</v>
      </c>
      <c r="N44" s="1380" t="str">
        <f t="shared" si="28"/>
        <v/>
      </c>
      <c r="O44" s="1430">
        <f t="shared" si="4"/>
        <v>0.9288183980967486</v>
      </c>
      <c r="P44" s="1817">
        <f t="shared" si="5"/>
        <v>0.86171920357911269</v>
      </c>
      <c r="Q44" s="1334">
        <f t="shared" si="6"/>
        <v>0.85143950001707591</v>
      </c>
      <c r="R44" s="1335">
        <f t="shared" si="7"/>
        <v>0.85143950001707591</v>
      </c>
      <c r="S44" s="1317">
        <v>0.85500000000000009</v>
      </c>
      <c r="T44" s="1317"/>
      <c r="U44" s="1816">
        <f t="shared" si="88"/>
        <v>0.85</v>
      </c>
      <c r="V44" s="1560">
        <f t="shared" si="89"/>
        <v>0.15158293774119735</v>
      </c>
      <c r="W44" s="1529">
        <f t="shared" si="67"/>
        <v>8877</v>
      </c>
      <c r="X44" s="1531">
        <f t="shared" si="64"/>
        <v>6.9101907864122847E-2</v>
      </c>
      <c r="Y44" s="1316">
        <f t="shared" si="48"/>
        <v>54549.599999999999</v>
      </c>
      <c r="Z44" s="1316">
        <f t="shared" si="49"/>
        <v>54641.981353095864</v>
      </c>
      <c r="AA44" s="1315">
        <f t="shared" si="73"/>
        <v>53904.330000000009</v>
      </c>
      <c r="AB44" s="1468">
        <f t="shared" si="65"/>
        <v>9692.7026712483112</v>
      </c>
      <c r="AC44" s="1622">
        <f t="shared" si="29"/>
        <v>9626</v>
      </c>
      <c r="AD44" s="2214">
        <f t="shared" si="55"/>
        <v>54550</v>
      </c>
      <c r="AE44" s="2215">
        <f t="shared" si="31"/>
        <v>9626</v>
      </c>
      <c r="AF44" s="2208">
        <f t="shared" si="63"/>
        <v>659.99849447839131</v>
      </c>
      <c r="AG44" s="1347">
        <v>0</v>
      </c>
      <c r="AH44" s="1530">
        <f t="shared" si="66"/>
        <v>0</v>
      </c>
      <c r="AI44" s="1536">
        <v>41</v>
      </c>
      <c r="AJ44" s="2299">
        <v>1118</v>
      </c>
      <c r="AK44" s="1316"/>
      <c r="AL44" s="1316"/>
      <c r="AM44" s="1404">
        <v>0</v>
      </c>
      <c r="AN44" s="1404">
        <v>0</v>
      </c>
      <c r="AO44" s="1404">
        <v>8</v>
      </c>
      <c r="AP44" s="1316">
        <f t="shared" si="75"/>
        <v>8</v>
      </c>
      <c r="AQ44" s="1562">
        <f t="shared" si="36"/>
        <v>1085</v>
      </c>
      <c r="AR44" s="1469">
        <f t="shared" si="37"/>
        <v>1126</v>
      </c>
      <c r="AS44" s="1429">
        <f t="shared" si="38"/>
        <v>155.70417676991912</v>
      </c>
      <c r="AT44" s="1316">
        <f t="shared" si="39"/>
        <v>950.3</v>
      </c>
      <c r="AU44" s="2299">
        <f t="shared" si="40"/>
        <v>957.1</v>
      </c>
      <c r="AV44" s="1316">
        <f t="shared" si="10"/>
        <v>51414.3</v>
      </c>
      <c r="AW44" s="1316">
        <f t="shared" si="11"/>
        <v>50819.1</v>
      </c>
      <c r="AX44" s="1350">
        <f t="shared" si="41"/>
        <v>1.8833470092937499E-2</v>
      </c>
      <c r="AY44" s="1335">
        <f t="shared" si="12"/>
        <v>6.241024096935191E-2</v>
      </c>
      <c r="AZ44" s="1335">
        <f t="shared" si="13"/>
        <v>7.3271653938448339E-2</v>
      </c>
      <c r="BA44" s="1349">
        <f t="shared" si="14"/>
        <v>3208.77885227055</v>
      </c>
      <c r="BB44" s="1316">
        <f t="shared" si="42"/>
        <v>3723.5995086633998</v>
      </c>
      <c r="BC44" s="1316">
        <f t="shared" si="15"/>
        <v>54623.078852270555</v>
      </c>
      <c r="BD44" s="1316">
        <f t="shared" si="16"/>
        <v>54542.699508663398</v>
      </c>
      <c r="BE44" s="2301">
        <v>1228</v>
      </c>
      <c r="BF44" s="1316">
        <f t="shared" si="43"/>
        <v>3730.9000000000015</v>
      </c>
      <c r="BG44" s="1348">
        <f t="shared" si="44"/>
        <v>6.8394133822181513E-2</v>
      </c>
      <c r="BH44" s="1348">
        <f t="shared" si="35"/>
        <v>0.93160586617781849</v>
      </c>
      <c r="BI44" s="1348">
        <f t="shared" si="33"/>
        <v>0.68358182914062748</v>
      </c>
      <c r="BJ44" s="1344"/>
      <c r="BK44" s="1316">
        <f t="shared" si="45"/>
        <v>54550</v>
      </c>
      <c r="BL44" s="1344" t="b">
        <f t="shared" si="46"/>
        <v>1</v>
      </c>
      <c r="BM44" s="1345"/>
      <c r="BN44" s="1345"/>
      <c r="BO44" s="1345"/>
      <c r="BP44" s="1345"/>
      <c r="BQ44" s="2073">
        <v>0.96115906399999995</v>
      </c>
      <c r="BR44" s="1316">
        <f t="shared" si="76"/>
        <v>542.99164999999994</v>
      </c>
      <c r="BS44" s="1316">
        <f t="shared" si="77"/>
        <v>10175</v>
      </c>
      <c r="BT44" s="1316">
        <f t="shared" si="78"/>
        <v>23142</v>
      </c>
      <c r="BU44" s="1116">
        <f t="shared" si="80"/>
        <v>0.53685975066977787</v>
      </c>
      <c r="BV44" s="1318">
        <f t="shared" si="85"/>
        <v>0.46314024933022213</v>
      </c>
      <c r="BW44" s="1807">
        <f t="shared" si="87"/>
        <v>27808.12446155211</v>
      </c>
      <c r="BX44" s="1935">
        <f t="shared" si="82"/>
        <v>25264.300600963616</v>
      </c>
      <c r="BY44" s="1456"/>
      <c r="BZ44" s="1468">
        <f t="shared" si="18"/>
        <v>64470</v>
      </c>
      <c r="CA44" s="1469">
        <f t="shared" si="83"/>
        <v>41</v>
      </c>
      <c r="CB44" s="1469">
        <f t="shared" si="20"/>
        <v>335</v>
      </c>
      <c r="CC44" s="1470">
        <f t="shared" si="53"/>
        <v>0.85</v>
      </c>
      <c r="CD44" s="1936">
        <f t="shared" si="57"/>
        <v>0.53685975066977787</v>
      </c>
      <c r="CE44" s="1940">
        <v>0.94954619599991896</v>
      </c>
      <c r="CF44" s="1665">
        <f t="shared" si="86"/>
        <v>27807.920552298496</v>
      </c>
      <c r="CG44" s="1821">
        <f t="shared" si="84"/>
        <v>27804</v>
      </c>
      <c r="CH44" s="1661">
        <f t="shared" si="58"/>
        <v>-3.9205522984957497</v>
      </c>
      <c r="CI44" s="1549">
        <f t="shared" si="59"/>
        <v>-1.4098689224612633E-4</v>
      </c>
      <c r="CJ44" s="1678">
        <f t="shared" si="60"/>
        <v>-4.1244615521100059</v>
      </c>
      <c r="CK44" s="1675">
        <f t="shared" si="61"/>
        <v>-1.4831858070156952E-4</v>
      </c>
      <c r="CL44" s="1670"/>
      <c r="CM44" s="1013">
        <f t="shared" si="27"/>
        <v>29377.680752132248</v>
      </c>
      <c r="CN44" s="1014">
        <f t="shared" si="47"/>
        <v>-5.6442364272003595E-2</v>
      </c>
    </row>
    <row r="45" spans="1:92" ht="15" thickBot="1" x14ac:dyDescent="0.35">
      <c r="A45" s="1342">
        <v>2020</v>
      </c>
      <c r="B45" s="1336">
        <v>345018</v>
      </c>
      <c r="C45" s="1471">
        <f t="shared" si="0"/>
        <v>364015</v>
      </c>
      <c r="D45" s="1536">
        <v>341739</v>
      </c>
      <c r="E45" s="1536">
        <f t="shared" si="79"/>
        <v>360736</v>
      </c>
      <c r="F45" s="1536">
        <v>750</v>
      </c>
      <c r="G45" s="1507">
        <v>280440</v>
      </c>
      <c r="H45" s="1346">
        <v>249521</v>
      </c>
      <c r="I45" s="1507">
        <f t="shared" si="68"/>
        <v>249521</v>
      </c>
      <c r="J45" s="1316">
        <v>226107</v>
      </c>
      <c r="K45" s="1316">
        <v>198627</v>
      </c>
      <c r="L45" s="1315">
        <v>226107</v>
      </c>
      <c r="M45" s="1525">
        <v>43391</v>
      </c>
      <c r="N45" s="1380" t="str">
        <f t="shared" si="28"/>
        <v/>
      </c>
      <c r="O45" s="1430">
        <f t="shared" si="4"/>
        <v>0.82692001486120692</v>
      </c>
      <c r="P45" s="1817">
        <f t="shared" si="5"/>
        <v>0.88974825274568536</v>
      </c>
      <c r="Q45" s="1334">
        <f t="shared" si="6"/>
        <v>0.80625802310654682</v>
      </c>
      <c r="R45" s="1335">
        <f t="shared" si="7"/>
        <v>0.80625802310654682</v>
      </c>
      <c r="S45" s="1317">
        <v>0.80700000000000005</v>
      </c>
      <c r="T45" s="1317"/>
      <c r="U45" s="1816">
        <f t="shared" si="88"/>
        <v>0.85</v>
      </c>
      <c r="V45" s="1560">
        <f t="shared" si="89"/>
        <v>0.15472471829981457</v>
      </c>
      <c r="W45" s="1529">
        <f t="shared" si="67"/>
        <v>43391</v>
      </c>
      <c r="X45" s="1531">
        <f t="shared" si="64"/>
        <v>0.17821343032023418</v>
      </c>
      <c r="Y45" s="1316">
        <f t="shared" si="48"/>
        <v>308775.25</v>
      </c>
      <c r="Z45" s="1316">
        <f t="shared" si="49"/>
        <v>292885.32076379971</v>
      </c>
      <c r="AA45" s="1315">
        <f t="shared" si="73"/>
        <v>275783.37300000002</v>
      </c>
      <c r="AB45" s="1468">
        <f t="shared" si="65"/>
        <v>55312.027630779616</v>
      </c>
      <c r="AC45" s="1622">
        <f t="shared" si="29"/>
        <v>54490</v>
      </c>
      <c r="AD45" s="2214">
        <f t="shared" si="55"/>
        <v>308775</v>
      </c>
      <c r="AE45" s="2215">
        <f t="shared" si="31"/>
        <v>54490</v>
      </c>
      <c r="AF45" s="2208">
        <f t="shared" si="63"/>
        <v>9260.9837247747673</v>
      </c>
      <c r="AG45" s="1347">
        <v>0</v>
      </c>
      <c r="AH45" s="1530">
        <f t="shared" si="66"/>
        <v>0</v>
      </c>
      <c r="AI45" s="1536">
        <v>3279</v>
      </c>
      <c r="AJ45" s="2299">
        <v>15258</v>
      </c>
      <c r="AK45" s="1316"/>
      <c r="AL45" s="1316"/>
      <c r="AM45" s="1316">
        <v>3125</v>
      </c>
      <c r="AN45" s="1316">
        <v>4545</v>
      </c>
      <c r="AO45" s="1316">
        <v>1199</v>
      </c>
      <c r="AP45" s="1316">
        <f t="shared" si="75"/>
        <v>8869</v>
      </c>
      <c r="AQ45" s="1562">
        <f t="shared" si="36"/>
        <v>20848</v>
      </c>
      <c r="AR45" s="1469">
        <f t="shared" si="37"/>
        <v>24127</v>
      </c>
      <c r="AS45" s="1429">
        <f t="shared" si="38"/>
        <v>2660.0439060048493</v>
      </c>
      <c r="AT45" s="1316">
        <f t="shared" si="39"/>
        <v>19488.8</v>
      </c>
      <c r="AU45" s="2299">
        <f t="shared" si="40"/>
        <v>20507.95</v>
      </c>
      <c r="AV45" s="1316">
        <f t="shared" si="10"/>
        <v>269009.8</v>
      </c>
      <c r="AW45" s="1316">
        <f t="shared" si="11"/>
        <v>246614.95</v>
      </c>
      <c r="AX45" s="1350">
        <f t="shared" si="41"/>
        <v>8.3157772876299677E-2</v>
      </c>
      <c r="AY45" s="1335">
        <f t="shared" si="12"/>
        <v>0.13176639523901457</v>
      </c>
      <c r="AZ45" s="1335">
        <f t="shared" si="13"/>
        <v>0.20480286055697886</v>
      </c>
      <c r="BA45" s="1316">
        <f t="shared" si="14"/>
        <v>35446.451629968258</v>
      </c>
      <c r="BB45" s="1316">
        <f t="shared" si="42"/>
        <v>50507.447216116314</v>
      </c>
      <c r="BC45" s="1316">
        <f t="shared" si="15"/>
        <v>304456.25162996823</v>
      </c>
      <c r="BD45" s="1316">
        <f t="shared" si="16"/>
        <v>297122.39721611631</v>
      </c>
      <c r="BE45" s="2301">
        <v>18178</v>
      </c>
      <c r="BF45" s="1316">
        <f t="shared" si="43"/>
        <v>62160.049999999988</v>
      </c>
      <c r="BG45" s="1348">
        <f t="shared" si="44"/>
        <v>0.20131179661565862</v>
      </c>
      <c r="BH45" s="1348">
        <f t="shared" si="35"/>
        <v>0.79868820338434143</v>
      </c>
      <c r="BI45" s="1348">
        <f t="shared" si="33"/>
        <v>0.64123483126011371</v>
      </c>
      <c r="BJ45" s="1344"/>
      <c r="BK45" s="1316">
        <f t="shared" si="45"/>
        <v>308775</v>
      </c>
      <c r="BL45" s="1344" t="b">
        <f t="shared" si="46"/>
        <v>1</v>
      </c>
      <c r="BM45" s="1345"/>
      <c r="BN45" s="1345"/>
      <c r="BO45" s="1345"/>
      <c r="BP45" s="1345"/>
      <c r="BQ45" s="2072">
        <v>0.97313830599999995</v>
      </c>
      <c r="BR45" s="1433">
        <f t="shared" si="76"/>
        <v>1248</v>
      </c>
      <c r="BS45" s="1316">
        <f t="shared" si="77"/>
        <v>39864</v>
      </c>
      <c r="BT45" s="1433">
        <f t="shared" si="78"/>
        <v>87815</v>
      </c>
      <c r="BU45" s="2067">
        <f t="shared" si="80"/>
        <v>0.53183396913966863</v>
      </c>
      <c r="BV45" s="1649">
        <f>SUM(BR45,BS45)/BT45</f>
        <v>0.46816603086033137</v>
      </c>
      <c r="BW45" s="1807">
        <f t="shared" si="87"/>
        <v>159970.04156710723</v>
      </c>
      <c r="BX45" s="1935">
        <f t="shared" si="82"/>
        <v>144557.96617889882</v>
      </c>
      <c r="BY45" s="1456"/>
      <c r="BZ45" s="1468">
        <f t="shared" si="18"/>
        <v>360736</v>
      </c>
      <c r="CA45" s="1469">
        <f t="shared" si="83"/>
        <v>3279</v>
      </c>
      <c r="CB45" s="1469">
        <f t="shared" si="20"/>
        <v>750</v>
      </c>
      <c r="CC45" s="1650">
        <f t="shared" si="53"/>
        <v>0.85</v>
      </c>
      <c r="CD45" s="1936">
        <f t="shared" si="57"/>
        <v>0.53183396913966863</v>
      </c>
      <c r="CE45" s="1941">
        <v>0.97413793103448298</v>
      </c>
      <c r="CF45" s="1665">
        <f t="shared" si="86"/>
        <v>159970.17108701781</v>
      </c>
      <c r="CG45" s="1821">
        <f t="shared" si="84"/>
        <v>165132</v>
      </c>
      <c r="CH45" s="1661">
        <f t="shared" si="58"/>
        <v>5161.8289129821933</v>
      </c>
      <c r="CI45" s="1549">
        <f t="shared" si="59"/>
        <v>3.2267446348946835E-2</v>
      </c>
      <c r="CJ45" s="1678">
        <f t="shared" si="60"/>
        <v>5161.958432892774</v>
      </c>
      <c r="CK45" s="1675">
        <f t="shared" si="61"/>
        <v>3.2268282125358698E-2</v>
      </c>
      <c r="CL45" s="1670"/>
      <c r="CM45" s="1013">
        <f t="shared" si="27"/>
        <v>148327.3545849009</v>
      </c>
      <c r="CN45" s="1014">
        <f t="shared" si="47"/>
        <v>7.278042105979099E-2</v>
      </c>
    </row>
    <row r="46" spans="1:92" ht="15" thickBot="1" x14ac:dyDescent="0.35">
      <c r="A46" s="1343">
        <v>2021</v>
      </c>
      <c r="B46" s="1379">
        <v>152309</v>
      </c>
      <c r="C46" s="1471">
        <f t="shared" si="0"/>
        <v>159340</v>
      </c>
      <c r="D46" s="1536">
        <v>151765</v>
      </c>
      <c r="E46" s="1536">
        <f t="shared" si="79"/>
        <v>158783</v>
      </c>
      <c r="F46" s="1536">
        <v>952</v>
      </c>
      <c r="G46" s="1509">
        <v>109367</v>
      </c>
      <c r="H46" s="1371">
        <v>82643</v>
      </c>
      <c r="I46" s="1509">
        <f t="shared" si="68"/>
        <v>82643</v>
      </c>
      <c r="J46" s="1319">
        <f>L46</f>
        <v>76255</v>
      </c>
      <c r="K46" s="1319">
        <v>64035</v>
      </c>
      <c r="L46" s="1386">
        <v>76255</v>
      </c>
      <c r="M46" s="1525">
        <v>30826</v>
      </c>
      <c r="N46" s="1381" t="str">
        <f t="shared" si="28"/>
        <v/>
      </c>
      <c r="O46" s="1430">
        <f t="shared" si="4"/>
        <v>0.75341861794834697</v>
      </c>
      <c r="P46" s="1818">
        <f t="shared" si="5"/>
        <v>0.75564841314107545</v>
      </c>
      <c r="Q46" s="1384">
        <f t="shared" si="6"/>
        <v>0.69723956952279942</v>
      </c>
      <c r="R46" s="1372">
        <f t="shared" si="7"/>
        <v>0.69723956952279942</v>
      </c>
      <c r="S46" s="1373">
        <v>0.69262486130169598</v>
      </c>
      <c r="T46" s="1373"/>
      <c r="U46" s="1819">
        <f t="shared" si="88"/>
        <v>0.72</v>
      </c>
      <c r="V46" s="1560">
        <f t="shared" si="89"/>
        <v>0.28185833020929529</v>
      </c>
      <c r="W46" s="1529">
        <f t="shared" si="67"/>
        <v>30826</v>
      </c>
      <c r="X46" s="1531">
        <f t="shared" si="64"/>
        <v>0.24521516787061587</v>
      </c>
      <c r="Y46" s="1319">
        <f t="shared" si="48"/>
        <v>114039.36</v>
      </c>
      <c r="Z46" s="1319">
        <f t="shared" si="49"/>
        <v>110434.38093757715</v>
      </c>
      <c r="AA46" s="1386">
        <f t="shared" si="73"/>
        <v>105116.21207545188</v>
      </c>
      <c r="AB46" s="1468">
        <f t="shared" si="65"/>
        <v>44052.47950294138</v>
      </c>
      <c r="AC46" s="1622">
        <f t="shared" si="29"/>
        <v>44349</v>
      </c>
      <c r="AD46" s="2219">
        <f t="shared" si="55"/>
        <v>114039</v>
      </c>
      <c r="AE46" s="2220">
        <f t="shared" si="31"/>
        <v>44349</v>
      </c>
      <c r="AF46" s="2208">
        <f t="shared" si="63"/>
        <v>9994.4410635583845</v>
      </c>
      <c r="AG46" s="1374">
        <v>0</v>
      </c>
      <c r="AH46" s="1530">
        <f t="shared" si="66"/>
        <v>0</v>
      </c>
      <c r="AI46" s="1536">
        <v>557</v>
      </c>
      <c r="AJ46" s="2299">
        <v>9528</v>
      </c>
      <c r="AK46" s="1316">
        <f>2069+373</f>
        <v>2442</v>
      </c>
      <c r="AL46" s="1316"/>
      <c r="AM46" s="1316">
        <v>441</v>
      </c>
      <c r="AN46" s="1316">
        <v>358</v>
      </c>
      <c r="AO46" s="1316">
        <v>458</v>
      </c>
      <c r="AP46" s="1316">
        <f t="shared" si="75"/>
        <v>3699</v>
      </c>
      <c r="AQ46" s="1562">
        <f>SUM(-AI46,AJ46,AP46)</f>
        <v>12670</v>
      </c>
      <c r="AR46" s="1469">
        <f>AJ46+AP46</f>
        <v>13227</v>
      </c>
      <c r="AS46" s="1429">
        <f t="shared" si="38"/>
        <v>3232.038439382995</v>
      </c>
      <c r="AT46" s="1319">
        <f t="shared" si="39"/>
        <v>9193.68</v>
      </c>
      <c r="AU46" s="2308">
        <f t="shared" si="40"/>
        <v>9523.44</v>
      </c>
      <c r="AV46" s="1319">
        <f t="shared" si="10"/>
        <v>91836.68</v>
      </c>
      <c r="AW46" s="1319">
        <f t="shared" si="11"/>
        <v>85778.44</v>
      </c>
      <c r="AX46" s="1375">
        <f t="shared" si="41"/>
        <v>0.11102370245949915</v>
      </c>
      <c r="AY46" s="1372">
        <f t="shared" si="12"/>
        <v>0.20020440195458927</v>
      </c>
      <c r="AZ46" s="1372">
        <f t="shared" si="13"/>
        <v>0.25319636093144587</v>
      </c>
      <c r="BA46" s="1319">
        <f t="shared" si="14"/>
        <v>18386.107596894988</v>
      </c>
      <c r="BB46" s="1319">
        <f t="shared" si="42"/>
        <v>21718.788854376373</v>
      </c>
      <c r="BC46" s="1319">
        <f t="shared" si="15"/>
        <v>110222.78759689498</v>
      </c>
      <c r="BD46" s="1319">
        <f t="shared" si="16"/>
        <v>107497.22885437637</v>
      </c>
      <c r="BE46" s="2304">
        <v>13287</v>
      </c>
      <c r="BF46" s="1319">
        <f t="shared" si="43"/>
        <v>28260.559999999998</v>
      </c>
      <c r="BG46" s="1376">
        <f t="shared" si="44"/>
        <v>0.24781487035137101</v>
      </c>
      <c r="BH46" s="1348">
        <f t="shared" si="35"/>
        <v>0.75218512964862905</v>
      </c>
      <c r="BI46" s="1376">
        <f t="shared" si="33"/>
        <v>0.48468645603399996</v>
      </c>
      <c r="BJ46" s="1377"/>
      <c r="BK46" s="1319">
        <f t="shared" si="45"/>
        <v>114039</v>
      </c>
      <c r="BL46" s="1377" t="b">
        <f t="shared" si="46"/>
        <v>1</v>
      </c>
      <c r="BM46" s="1378"/>
      <c r="BN46" s="1378"/>
      <c r="BO46" s="1378"/>
      <c r="BP46" s="1378"/>
      <c r="BQ46" s="2072">
        <v>0.94310713800000001</v>
      </c>
      <c r="BR46" s="1319">
        <f>VLOOKUP($A46,SkahaPercentWithWild,8)*1</f>
        <v>609.34800000000052</v>
      </c>
      <c r="BS46" s="1316">
        <f t="shared" si="77"/>
        <v>8687</v>
      </c>
      <c r="BT46" s="1319">
        <f>VLOOKUP($A46,OK_AUC_Deadpitch_Summary,9)*1</f>
        <v>19184</v>
      </c>
      <c r="BU46" s="2068">
        <f t="shared" si="80"/>
        <v>0.51541138448707258</v>
      </c>
      <c r="BV46" s="2157">
        <f t="shared" si="85"/>
        <v>0.48458861551292742</v>
      </c>
      <c r="BW46" s="2228">
        <f t="shared" si="87"/>
        <v>55371.464605909532</v>
      </c>
      <c r="BX46" s="2227">
        <f t="shared" si="82"/>
        <v>55262.001124478731</v>
      </c>
      <c r="BY46" s="1456"/>
      <c r="BZ46" s="1468">
        <f t="shared" si="18"/>
        <v>158783</v>
      </c>
      <c r="CA46" s="1469">
        <f t="shared" si="83"/>
        <v>557</v>
      </c>
      <c r="CB46" s="1469">
        <f t="shared" si="20"/>
        <v>952</v>
      </c>
      <c r="CC46" s="1470">
        <f t="shared" si="53"/>
        <v>0.72</v>
      </c>
      <c r="CD46" s="1936">
        <f t="shared" si="57"/>
        <v>0.51541138448707258</v>
      </c>
      <c r="CE46" s="1940">
        <v>0.94206008583691003</v>
      </c>
      <c r="CF46" s="1665">
        <f t="shared" si="86"/>
        <v>55371.639403367051</v>
      </c>
      <c r="CG46" s="1821">
        <f t="shared" si="84"/>
        <v>56431</v>
      </c>
      <c r="CH46" s="1661">
        <f t="shared" si="58"/>
        <v>1059.3605966329487</v>
      </c>
      <c r="CI46" s="1549">
        <f t="shared" si="59"/>
        <v>1.9131826473762142E-2</v>
      </c>
      <c r="CJ46" s="1678">
        <f t="shared" si="60"/>
        <v>1059.5353940904679</v>
      </c>
      <c r="CK46" s="1675">
        <f t="shared" si="61"/>
        <v>1.9135043684168483E-2</v>
      </c>
      <c r="CL46" s="1670"/>
      <c r="CM46" s="1013">
        <f t="shared" si="27"/>
        <v>55172.379813098421</v>
      </c>
      <c r="CN46" s="1014">
        <f t="shared" si="47"/>
        <v>3.5954402547962098E-3</v>
      </c>
    </row>
    <row r="47" spans="1:92" ht="15" thickBot="1" x14ac:dyDescent="0.35">
      <c r="A47" s="1342">
        <v>2022</v>
      </c>
      <c r="B47" s="1515">
        <f>D47</f>
        <v>663253</v>
      </c>
      <c r="C47" s="1471">
        <f t="shared" si="0"/>
        <v>704203</v>
      </c>
      <c r="D47" s="1536">
        <v>663253</v>
      </c>
      <c r="E47" s="1536">
        <f t="shared" si="79"/>
        <v>702522</v>
      </c>
      <c r="F47" s="1536">
        <v>2329</v>
      </c>
      <c r="G47" s="1516">
        <v>659933</v>
      </c>
      <c r="H47" s="1364">
        <v>562721</v>
      </c>
      <c r="I47" s="1516">
        <f t="shared" si="68"/>
        <v>562721</v>
      </c>
      <c r="J47" s="1319">
        <f>L47</f>
        <v>478418</v>
      </c>
      <c r="K47" s="1319">
        <v>421642</v>
      </c>
      <c r="L47" s="1524">
        <v>478418</v>
      </c>
      <c r="M47" s="1525">
        <v>135837</v>
      </c>
      <c r="N47" s="1382" t="str">
        <f t="shared" si="28"/>
        <v/>
      </c>
      <c r="O47" s="1430">
        <f t="shared" si="4"/>
        <v>1.0006246958019533</v>
      </c>
      <c r="P47" s="1818">
        <f t="shared" si="5"/>
        <v>0.85269413713210285</v>
      </c>
      <c r="Q47" s="1384">
        <f t="shared" si="6"/>
        <v>0.72494935091895696</v>
      </c>
      <c r="R47" s="1367">
        <f t="shared" si="7"/>
        <v>0.72494935091895696</v>
      </c>
      <c r="S47" s="1517"/>
      <c r="T47" s="1517"/>
      <c r="U47" s="1820">
        <f t="shared" si="88"/>
        <v>0.79</v>
      </c>
      <c r="V47" s="1560">
        <f t="shared" si="89"/>
        <v>0.20583453168730764</v>
      </c>
      <c r="W47" s="1529">
        <f t="shared" si="67"/>
        <v>135837</v>
      </c>
      <c r="X47" s="1531">
        <f t="shared" si="64"/>
        <v>1.671122043153097E-2</v>
      </c>
      <c r="Y47" s="1364">
        <f>(C47-F47)*U47</f>
        <v>554480.46000000008</v>
      </c>
      <c r="Z47" s="1364">
        <f>(C47-F47)*R47</f>
        <v>508823.10072689201</v>
      </c>
      <c r="AA47" s="1620"/>
      <c r="AB47" s="1468">
        <f t="shared" si="65"/>
        <v>144338.64787093952</v>
      </c>
      <c r="AC47" s="1624">
        <f t="shared" si="29"/>
        <v>147394</v>
      </c>
      <c r="AD47" s="2221">
        <f t="shared" si="55"/>
        <v>554480</v>
      </c>
      <c r="AE47" s="2222">
        <f t="shared" si="31"/>
        <v>147394</v>
      </c>
      <c r="AF47" s="2208">
        <f t="shared" si="63"/>
        <v>2262.8026608954524</v>
      </c>
      <c r="AG47" s="1365">
        <v>0</v>
      </c>
      <c r="AH47" s="1530">
        <f t="shared" si="66"/>
        <v>0</v>
      </c>
      <c r="AI47" s="1536">
        <v>1681</v>
      </c>
      <c r="AJ47" s="2299">
        <v>28520</v>
      </c>
      <c r="AK47" s="1316"/>
      <c r="AL47" s="1316"/>
      <c r="AM47" s="1316">
        <v>9343</v>
      </c>
      <c r="AN47" s="1316">
        <v>3342</v>
      </c>
      <c r="AO47" s="1316">
        <v>1148</v>
      </c>
      <c r="AP47" s="1316">
        <f t="shared" si="75"/>
        <v>13833</v>
      </c>
      <c r="AQ47" s="1564">
        <f t="shared" si="36"/>
        <v>40672</v>
      </c>
      <c r="AR47" s="1514">
        <f t="shared" si="37"/>
        <v>42353</v>
      </c>
      <c r="AS47" s="1363">
        <f t="shared" si="38"/>
        <v>6238.8452100440481</v>
      </c>
      <c r="AT47" s="1319">
        <f t="shared" si="39"/>
        <v>32551.95</v>
      </c>
      <c r="AU47" s="2308">
        <f t="shared" si="40"/>
        <v>33458.870000000003</v>
      </c>
      <c r="AV47" s="1366">
        <f t="shared" si="10"/>
        <v>595272.94999999995</v>
      </c>
      <c r="AW47" s="1366">
        <f t="shared" si="11"/>
        <v>511876.87</v>
      </c>
      <c r="AX47" s="1362"/>
      <c r="AY47" s="1367">
        <f t="shared" si="12"/>
        <v>-7.0185792460790181E-2</v>
      </c>
      <c r="AZ47" s="1367">
        <f t="shared" si="13"/>
        <v>8.0079477847966124E-2</v>
      </c>
      <c r="BA47" s="1364">
        <f t="shared" si="14"/>
        <v>-41779.703726222324</v>
      </c>
      <c r="BB47" s="1319">
        <f t="shared" si="42"/>
        <v>40990.832472051232</v>
      </c>
      <c r="BC47" s="1366">
        <f t="shared" si="15"/>
        <v>553493.24627377768</v>
      </c>
      <c r="BD47" s="1369">
        <f t="shared" si="16"/>
        <v>552867.70247205126</v>
      </c>
      <c r="BE47" s="2305">
        <v>42226</v>
      </c>
      <c r="BF47" s="1265">
        <f t="shared" si="43"/>
        <v>42603.130000000005</v>
      </c>
      <c r="BG47" s="1376">
        <f t="shared" si="44"/>
        <v>7.6834385370076475E-2</v>
      </c>
      <c r="BH47" s="1348">
        <f t="shared" si="35"/>
        <v>0.92316561462992353</v>
      </c>
      <c r="BI47" s="1376">
        <f t="shared" si="33"/>
        <v>0.68616481191943346</v>
      </c>
      <c r="BJ47" s="1362"/>
      <c r="BK47" s="1362"/>
      <c r="BL47" s="1362"/>
      <c r="BM47" s="1370"/>
      <c r="BN47" s="1370"/>
      <c r="BO47" s="1370"/>
      <c r="BP47" s="1370"/>
      <c r="BQ47" s="813"/>
      <c r="BR47" s="1401">
        <f>VLOOKUP($A47,SkahaPercentage,3)*$AD47</f>
        <v>0</v>
      </c>
      <c r="BS47" s="2346">
        <v>29521</v>
      </c>
      <c r="BT47" s="1364">
        <f>BS47+75437</f>
        <v>104958</v>
      </c>
      <c r="BU47" s="2068">
        <f>CD47</f>
        <v>0.71899999999999997</v>
      </c>
      <c r="BV47" s="2158">
        <v>0.28100000000000003</v>
      </c>
      <c r="BW47" s="2229">
        <f>(BZ47+CA47-CB47)*CC47*(1-BV47)*CE47</f>
        <v>394603.40725664911</v>
      </c>
      <c r="BX47" s="2230">
        <f>AD47*BV47+((1-CE47)*((BZ47+CA47-CB47)*CC47))</f>
        <v>161466.79861383999</v>
      </c>
      <c r="BY47" s="1457"/>
      <c r="BZ47" s="1471">
        <f t="shared" si="18"/>
        <v>702522</v>
      </c>
      <c r="CA47" s="1850">
        <f t="shared" si="83"/>
        <v>1681</v>
      </c>
      <c r="CB47" s="1472">
        <f t="shared" si="20"/>
        <v>2329</v>
      </c>
      <c r="CC47" s="1473">
        <f t="shared" si="53"/>
        <v>0.79</v>
      </c>
      <c r="CD47" s="2160">
        <v>0.71899999999999997</v>
      </c>
      <c r="CE47" s="2160">
        <v>0.98979600000000001</v>
      </c>
      <c r="CF47" s="1743">
        <f>(BZ47+CA47-CB47)*CC47*CD47*CE47</f>
        <v>394603.40725664911</v>
      </c>
      <c r="CG47" s="1667"/>
      <c r="CH47" s="1663"/>
      <c r="CI47" s="1550"/>
      <c r="CJ47" s="1680"/>
      <c r="CK47" s="1681"/>
      <c r="CL47" s="1671"/>
      <c r="CM47" s="1013">
        <f t="shared" si="27"/>
        <v>347356.30211305199</v>
      </c>
      <c r="CN47" s="1014">
        <f t="shared" si="47"/>
        <v>0.11973314034986959</v>
      </c>
    </row>
    <row r="48" spans="1:92" ht="15" thickBot="1" x14ac:dyDescent="0.35">
      <c r="A48" s="1343">
        <v>2023</v>
      </c>
      <c r="B48" s="1515">
        <v>327600</v>
      </c>
      <c r="C48" s="1471">
        <f t="shared" si="0"/>
        <v>347145</v>
      </c>
      <c r="D48" s="1536">
        <v>327600</v>
      </c>
      <c r="E48" s="1536">
        <f t="shared" si="79"/>
        <v>345705</v>
      </c>
      <c r="F48" s="1536">
        <v>1999</v>
      </c>
      <c r="G48" s="1509">
        <v>247772</v>
      </c>
      <c r="H48" s="1371">
        <v>149525</v>
      </c>
      <c r="I48" s="1509">
        <f t="shared" si="68"/>
        <v>149525</v>
      </c>
      <c r="J48" s="1319">
        <f>L48</f>
        <v>136956</v>
      </c>
      <c r="K48" s="1808">
        <f>L48/1.132</f>
        <v>120985.86572438164</v>
      </c>
      <c r="L48" s="1386">
        <v>136956</v>
      </c>
      <c r="M48" s="1525">
        <v>84473</v>
      </c>
      <c r="N48" s="534" t="str">
        <f t="shared" si="28"/>
        <v/>
      </c>
      <c r="P48" s="1818">
        <f t="shared" si="5"/>
        <v>0.60347819769788358</v>
      </c>
      <c r="Q48" s="1384">
        <f t="shared" si="6"/>
        <v>0.55275010897115084</v>
      </c>
      <c r="R48" s="2131">
        <f t="shared" si="7"/>
        <v>0.55275010897115084</v>
      </c>
      <c r="U48" s="1819">
        <f t="shared" si="88"/>
        <v>0.6</v>
      </c>
      <c r="V48" s="1560">
        <f t="shared" si="89"/>
        <v>0.39652180230211642</v>
      </c>
      <c r="W48" s="1529">
        <f t="shared" si="67"/>
        <v>98246.999999999985</v>
      </c>
      <c r="X48" s="1531">
        <f t="shared" si="64"/>
        <v>0.21368797095789763</v>
      </c>
      <c r="Y48" s="1319">
        <f>(C48-F48)*U48</f>
        <v>207087.6</v>
      </c>
      <c r="Z48" s="1319">
        <f>(C48-F48)*R48</f>
        <v>190779.48911095684</v>
      </c>
      <c r="AA48" s="1386"/>
      <c r="AB48" s="1468">
        <f>M48+AF48+AS48</f>
        <v>121248.1345604869</v>
      </c>
      <c r="AC48" s="1624">
        <f>AE48-AE48*AG48</f>
        <v>138058</v>
      </c>
      <c r="AD48" s="2221">
        <f t="shared" si="55"/>
        <v>207088</v>
      </c>
      <c r="AE48" s="2222">
        <f>C48-AD48-F48</f>
        <v>138058</v>
      </c>
      <c r="AF48" s="2208">
        <f>(E48-F48-AR48)*X48*V48</f>
        <v>27043.299966586059</v>
      </c>
      <c r="AG48" s="1365">
        <v>0</v>
      </c>
      <c r="AH48" s="1532">
        <f t="shared" si="66"/>
        <v>13773.999999999985</v>
      </c>
      <c r="AI48" s="1536">
        <v>1440</v>
      </c>
      <c r="AJ48" s="2299">
        <v>22061</v>
      </c>
      <c r="AK48" s="1316">
        <v>1365</v>
      </c>
      <c r="AL48" s="1316">
        <v>1117</v>
      </c>
      <c r="AM48" s="1316"/>
      <c r="AN48" s="1316"/>
      <c r="AO48" s="1316"/>
      <c r="AP48" s="1316">
        <f t="shared" si="75"/>
        <v>2482</v>
      </c>
      <c r="AQ48" s="1562">
        <f>SUM(-AI48,AJ48,AP48)</f>
        <v>23103</v>
      </c>
      <c r="AR48" s="1469">
        <f>AJ48+AP48</f>
        <v>24543</v>
      </c>
      <c r="AS48" s="1363">
        <f t="shared" si="38"/>
        <v>9731.8345939008432</v>
      </c>
      <c r="AT48" s="1319">
        <f t="shared" si="39"/>
        <v>14725.8</v>
      </c>
      <c r="AU48" s="2308">
        <f t="shared" si="40"/>
        <v>14725.8</v>
      </c>
      <c r="AV48" s="1366">
        <f>AT48+I48</f>
        <v>164250.79999999999</v>
      </c>
      <c r="AW48" s="1366">
        <f>L48+AU48</f>
        <v>151681.79999999999</v>
      </c>
      <c r="AY48" s="1367">
        <f t="shared" si="12"/>
        <v>0.21230143233874738</v>
      </c>
      <c r="AZ48" s="1367">
        <f t="shared" si="13"/>
        <v>0.27289741253380773</v>
      </c>
      <c r="BA48" s="1364">
        <f>AY48*AV48</f>
        <v>34870.680102785125</v>
      </c>
      <c r="BB48" s="1368">
        <f>AW48*AZ48</f>
        <v>41393.570748470513</v>
      </c>
      <c r="BC48" s="1366">
        <f>I48+AT48+BA48</f>
        <v>199121.48010278511</v>
      </c>
      <c r="BD48" s="1369">
        <f>L48+AU48+BB48</f>
        <v>193075.37074847051</v>
      </c>
      <c r="BE48" s="2304">
        <v>13228</v>
      </c>
      <c r="BF48" s="1265">
        <f t="shared" si="43"/>
        <v>55406.200000000012</v>
      </c>
      <c r="BG48" s="1376">
        <f t="shared" si="44"/>
        <v>0.26754906126863948</v>
      </c>
      <c r="BH48" s="1348">
        <f t="shared" si="35"/>
        <v>0.73245093873136058</v>
      </c>
      <c r="BI48" s="1376">
        <f t="shared" si="33"/>
        <v>0.41426027388394882</v>
      </c>
      <c r="BR48" s="1399"/>
      <c r="BS48" s="2346">
        <v>14892</v>
      </c>
      <c r="BT48" s="1364">
        <f>BS48+17238</f>
        <v>32130</v>
      </c>
      <c r="BU48" s="2068">
        <f>CD48</f>
        <v>0.54200000000000004</v>
      </c>
      <c r="BV48" s="2159">
        <v>0.45800000000000002</v>
      </c>
      <c r="BW48" s="2231">
        <f>(BZ48+CA48-CB48)*CC48*(1-BV48)*CE48</f>
        <v>109627.63797347041</v>
      </c>
      <c r="BX48" s="2232">
        <f>AD48*BV48+((1-CE48)*((BZ48+CA48-CB48)*CC48))</f>
        <v>99506.889288799997</v>
      </c>
      <c r="BY48" s="1399"/>
      <c r="BZ48" s="1471">
        <f t="shared" si="18"/>
        <v>345705</v>
      </c>
      <c r="CA48" s="1850">
        <f>AI48</f>
        <v>1440</v>
      </c>
      <c r="CB48" s="1850">
        <v>2269</v>
      </c>
      <c r="CC48" s="1473">
        <f t="shared" si="53"/>
        <v>0.6</v>
      </c>
      <c r="CD48" s="2160">
        <v>0.54200000000000004</v>
      </c>
      <c r="CE48" s="2160">
        <v>0.97747700000000004</v>
      </c>
      <c r="CF48" s="1743">
        <f>(BZ48+CA48-CB48)*CC48*CD48*CE48</f>
        <v>109627.63797347041</v>
      </c>
    </row>
    <row r="49" spans="1:83" x14ac:dyDescent="0.3">
      <c r="A49"/>
      <c r="B49"/>
      <c r="C49" s="1475"/>
      <c r="D49" s="1540"/>
      <c r="E49" s="1540"/>
      <c r="F49" s="1540"/>
      <c r="G49" s="1511"/>
      <c r="H49"/>
      <c r="I49" s="1511"/>
      <c r="J49"/>
      <c r="K49"/>
      <c r="L49"/>
      <c r="M49" s="1522"/>
      <c r="N49"/>
      <c r="O49"/>
      <c r="P49" s="1540"/>
      <c r="BX49" s="1398"/>
      <c r="BY49" s="1398"/>
      <c r="BZ49" s="1398"/>
      <c r="CA49" s="1398"/>
      <c r="CB49" s="1398"/>
      <c r="CC49" s="1398"/>
      <c r="CD49" s="1398"/>
      <c r="CE49" s="1398"/>
    </row>
    <row r="50" spans="1:83" ht="14.7" customHeight="1" x14ac:dyDescent="0.3">
      <c r="A50"/>
      <c r="B50"/>
      <c r="C50" s="1475"/>
      <c r="D50" s="1541">
        <v>0</v>
      </c>
      <c r="E50" s="2615" t="s">
        <v>735</v>
      </c>
      <c r="F50" s="2615"/>
      <c r="G50" s="2615"/>
      <c r="H50" s="2615"/>
      <c r="I50" s="2615"/>
      <c r="J50" s="2616"/>
      <c r="K50" s="2616"/>
      <c r="L50" s="2615"/>
      <c r="M50" s="1523"/>
      <c r="N50"/>
      <c r="O50" s="1565">
        <f>1-AVERAGE($O$2:$O$19,$O$21:$O$23,$O$25:$O$31,$O$33:$O$44)</f>
        <v>0.15203895246846133</v>
      </c>
      <c r="P50" s="1545" t="s">
        <v>736</v>
      </c>
    </row>
    <row r="51" spans="1:83" x14ac:dyDescent="0.3">
      <c r="A51"/>
      <c r="B51"/>
      <c r="C51" s="1475"/>
      <c r="D51" s="1494"/>
      <c r="E51" s="2615"/>
      <c r="F51" s="2615"/>
      <c r="G51" s="2615"/>
      <c r="H51" s="2615"/>
      <c r="I51" s="2615"/>
      <c r="J51" s="2616"/>
      <c r="K51" s="2616"/>
      <c r="L51" s="2615"/>
      <c r="M51" s="1523"/>
      <c r="N51"/>
      <c r="O51" s="1497">
        <f>_xlfn.STDEV.S($O$2:$O$19,$O$21:$O$23,$O$25:$O$31,$O$33:$O$46)</f>
        <v>9.436874823320815E-2</v>
      </c>
      <c r="P51" s="1546" t="str">
        <f>"Std dev of long-term average natural mortality rate"</f>
        <v>Std dev of long-term average natural mortality rate</v>
      </c>
    </row>
    <row r="52" spans="1:83" x14ac:dyDescent="0.3">
      <c r="A52"/>
      <c r="B52"/>
      <c r="C52" s="1475"/>
      <c r="D52" s="1494"/>
      <c r="E52" s="1553"/>
      <c r="F52" s="1553"/>
      <c r="G52" s="1553"/>
      <c r="H52" s="1553"/>
      <c r="I52" s="1553"/>
      <c r="J52" s="1476"/>
      <c r="K52" s="1476"/>
      <c r="L52" s="1553"/>
      <c r="M52" s="1523"/>
      <c r="N52"/>
      <c r="O52"/>
      <c r="P52" s="1540"/>
      <c r="BV52" s="1397">
        <f>SUM(BR33:BS46)/SUM($BT$33:$BT$46)</f>
        <v>0.27729519962896448</v>
      </c>
      <c r="BW52" s="1398" t="s">
        <v>737</v>
      </c>
      <c r="BX52" s="1519"/>
    </row>
    <row r="53" spans="1:83" x14ac:dyDescent="0.3">
      <c r="A53"/>
      <c r="B53"/>
      <c r="C53" s="1475"/>
      <c r="D53" s="1541">
        <v>1</v>
      </c>
      <c r="E53" s="2613" t="s">
        <v>738</v>
      </c>
      <c r="F53" s="2613"/>
      <c r="G53" s="2613"/>
      <c r="H53" s="2613"/>
      <c r="I53" s="2613"/>
      <c r="J53" s="2614"/>
      <c r="K53" s="2614"/>
      <c r="L53" s="2613"/>
      <c r="M53" s="1522"/>
      <c r="N53"/>
      <c r="O53"/>
      <c r="P53" s="1540"/>
      <c r="BV53" s="1400">
        <f>AVERAGE(BV33:BV46)</f>
        <v>0.38356879153031687</v>
      </c>
      <c r="BW53" s="1398" t="s">
        <v>739</v>
      </c>
      <c r="BX53" s="1519"/>
    </row>
    <row r="54" spans="1:83" ht="15" thickBot="1" x14ac:dyDescent="0.35">
      <c r="A54"/>
      <c r="B54"/>
      <c r="C54" s="1475"/>
      <c r="D54" s="1494"/>
      <c r="E54" s="2613"/>
      <c r="F54" s="2613"/>
      <c r="G54" s="2613"/>
      <c r="H54" s="2613"/>
      <c r="I54" s="2613"/>
      <c r="J54" s="2614"/>
      <c r="K54" s="2614"/>
      <c r="L54" s="2613"/>
      <c r="M54" s="1522"/>
      <c r="N54"/>
      <c r="O54"/>
      <c r="P54" s="1540"/>
    </row>
    <row r="55" spans="1:83" x14ac:dyDescent="0.3">
      <c r="A55"/>
      <c r="B55"/>
      <c r="C55" s="1475"/>
      <c r="D55" s="1494"/>
      <c r="E55" s="1554"/>
      <c r="F55" s="1554"/>
      <c r="G55" s="1554"/>
      <c r="H55" s="1554"/>
      <c r="I55" s="1554"/>
      <c r="J55"/>
      <c r="K55"/>
      <c r="L55" s="1554"/>
      <c r="M55" s="1522"/>
      <c r="N55"/>
      <c r="O55"/>
      <c r="P55" s="1540"/>
      <c r="AD55" s="1943" t="s">
        <v>740</v>
      </c>
      <c r="AE55" s="1943"/>
      <c r="AH55" s="1943" t="s">
        <v>740</v>
      </c>
      <c r="AI55" s="1943"/>
    </row>
    <row r="56" spans="1:83" x14ac:dyDescent="0.3">
      <c r="D56" s="1554"/>
      <c r="E56" s="1494"/>
      <c r="F56" s="1494"/>
      <c r="G56" s="1494"/>
      <c r="H56" s="1494"/>
      <c r="I56" s="1494"/>
      <c r="L56" s="1555"/>
      <c r="AD56"/>
      <c r="AE56"/>
      <c r="AH56"/>
      <c r="AI56"/>
    </row>
    <row r="57" spans="1:83" x14ac:dyDescent="0.3">
      <c r="AD57" t="s">
        <v>425</v>
      </c>
      <c r="AE57">
        <v>266024.1875</v>
      </c>
      <c r="AH57" t="s">
        <v>425</v>
      </c>
      <c r="AI57" s="1944">
        <v>266024.1875</v>
      </c>
    </row>
    <row r="58" spans="1:83" x14ac:dyDescent="0.3">
      <c r="L58" s="535">
        <f>LN(L36)</f>
        <v>11.621851616187406</v>
      </c>
      <c r="AD58" t="s">
        <v>741</v>
      </c>
      <c r="AE58">
        <v>41377.456612187867</v>
      </c>
      <c r="AH58" t="s">
        <v>741</v>
      </c>
      <c r="AI58" s="1944">
        <v>41377.456612187867</v>
      </c>
    </row>
    <row r="59" spans="1:83" x14ac:dyDescent="0.3">
      <c r="L59" s="535">
        <f>0.73*L58-2.04</f>
        <v>6.4439516798168066</v>
      </c>
      <c r="AD59" t="s">
        <v>742</v>
      </c>
      <c r="AE59">
        <v>199170.5</v>
      </c>
      <c r="AH59" t="s">
        <v>742</v>
      </c>
      <c r="AI59" s="1944">
        <v>199170.5</v>
      </c>
    </row>
    <row r="60" spans="1:83" x14ac:dyDescent="0.3">
      <c r="AD60" t="s">
        <v>743</v>
      </c>
      <c r="AE60" t="e">
        <v>#N/A</v>
      </c>
      <c r="AH60" t="s">
        <v>743</v>
      </c>
      <c r="AI60" t="e">
        <v>#N/A</v>
      </c>
    </row>
    <row r="61" spans="1:83" x14ac:dyDescent="0.3">
      <c r="L61" s="1456">
        <f>L36</f>
        <v>111508</v>
      </c>
      <c r="AD61" t="s">
        <v>744</v>
      </c>
      <c r="AE61">
        <v>165509.82644875147</v>
      </c>
      <c r="AH61" t="s">
        <v>744</v>
      </c>
      <c r="AI61" s="1944">
        <v>165509.82644875147</v>
      </c>
    </row>
    <row r="62" spans="1:83" x14ac:dyDescent="0.3">
      <c r="L62" s="535">
        <f>LN(L61)</f>
        <v>11.621851616187406</v>
      </c>
      <c r="AD62" t="s">
        <v>745</v>
      </c>
      <c r="AE62">
        <v>27393502651.095833</v>
      </c>
      <c r="AH62" t="s">
        <v>745</v>
      </c>
      <c r="AI62">
        <v>27393502651.095833</v>
      </c>
    </row>
    <row r="63" spans="1:83" x14ac:dyDescent="0.3">
      <c r="AD63" t="s">
        <v>746</v>
      </c>
      <c r="AE63">
        <v>-0.68869567843970048</v>
      </c>
      <c r="AH63" t="s">
        <v>746</v>
      </c>
      <c r="AI63">
        <v>-0.68869567843970048</v>
      </c>
    </row>
    <row r="64" spans="1:83" x14ac:dyDescent="0.3">
      <c r="AD64" t="s">
        <v>747</v>
      </c>
      <c r="AE64">
        <v>0.64970265208324585</v>
      </c>
      <c r="AH64" t="s">
        <v>747</v>
      </c>
      <c r="AI64">
        <v>0.64970265208324585</v>
      </c>
    </row>
    <row r="65" spans="30:35" x14ac:dyDescent="0.3">
      <c r="AD65" t="s">
        <v>748</v>
      </c>
      <c r="AE65">
        <v>527008</v>
      </c>
      <c r="AH65" t="s">
        <v>748</v>
      </c>
      <c r="AI65" s="1944">
        <v>527008</v>
      </c>
    </row>
    <row r="66" spans="30:35" x14ac:dyDescent="0.3">
      <c r="AD66" t="s">
        <v>749</v>
      </c>
      <c r="AE66">
        <v>54550</v>
      </c>
      <c r="AH66" t="s">
        <v>749</v>
      </c>
      <c r="AI66" s="1944">
        <v>54550</v>
      </c>
    </row>
    <row r="67" spans="30:35" x14ac:dyDescent="0.3">
      <c r="AD67" t="s">
        <v>750</v>
      </c>
      <c r="AE67">
        <v>581558</v>
      </c>
      <c r="AH67" t="s">
        <v>750</v>
      </c>
      <c r="AI67" s="1944">
        <v>581558</v>
      </c>
    </row>
    <row r="68" spans="30:35" x14ac:dyDescent="0.3">
      <c r="AD68" t="s">
        <v>751</v>
      </c>
      <c r="AE68">
        <v>4256387</v>
      </c>
      <c r="AH68" t="s">
        <v>751</v>
      </c>
      <c r="AI68" s="1944">
        <v>4256387</v>
      </c>
    </row>
    <row r="69" spans="30:35" x14ac:dyDescent="0.3">
      <c r="AD69" t="s">
        <v>752</v>
      </c>
      <c r="AE69">
        <v>16</v>
      </c>
      <c r="AH69" t="s">
        <v>752</v>
      </c>
      <c r="AI69" s="1944">
        <v>16</v>
      </c>
    </row>
    <row r="70" spans="30:35" x14ac:dyDescent="0.3">
      <c r="AD70" t="s">
        <v>753</v>
      </c>
      <c r="AE70">
        <v>437526</v>
      </c>
      <c r="AH70" t="s">
        <v>754</v>
      </c>
      <c r="AI70" s="1944">
        <v>581558</v>
      </c>
    </row>
    <row r="71" spans="30:35" x14ac:dyDescent="0.3">
      <c r="AD71" t="s">
        <v>755</v>
      </c>
      <c r="AE71">
        <v>154595</v>
      </c>
      <c r="AH71" t="s">
        <v>756</v>
      </c>
      <c r="AI71" s="1944">
        <v>54550</v>
      </c>
    </row>
    <row r="72" spans="30:35" ht="15" thickBot="1" x14ac:dyDescent="0.35">
      <c r="AD72" s="1024" t="s">
        <v>757</v>
      </c>
      <c r="AE72" s="1024">
        <v>88193.9610924671</v>
      </c>
      <c r="AH72" s="1024" t="s">
        <v>757</v>
      </c>
      <c r="AI72" s="1945">
        <v>88193.9610924671</v>
      </c>
    </row>
  </sheetData>
  <sheetProtection formatCells="0" formatRows="0" sort="0" pivotTables="0"/>
  <autoFilter ref="A1:BI48" xr:uid="{7D34537F-DE70-4AB1-91C4-EAA738ECA5E3}"/>
  <mergeCells count="2">
    <mergeCell ref="E53:L54"/>
    <mergeCell ref="E50:L51"/>
  </mergeCells>
  <conditionalFormatting sqref="B47:B48">
    <cfRule type="colorScale" priority="45">
      <colorScale>
        <cfvo type="min"/>
        <cfvo type="percentile" val="50"/>
        <cfvo type="max"/>
        <color rgb="FFF8696B"/>
        <color rgb="FFFFEB84"/>
        <color rgb="FF63BE7B"/>
      </colorScale>
    </cfRule>
  </conditionalFormatting>
  <conditionalFormatting sqref="G47">
    <cfRule type="colorScale" priority="44">
      <colorScale>
        <cfvo type="min"/>
        <cfvo type="percentile" val="50"/>
        <cfvo type="max"/>
        <color rgb="FFF8696B"/>
        <color rgb="FFFFEB84"/>
        <color rgb="FF63BE7B"/>
      </colorScale>
    </cfRule>
  </conditionalFormatting>
  <conditionalFormatting sqref="H47:I47">
    <cfRule type="colorScale" priority="43">
      <colorScale>
        <cfvo type="min"/>
        <cfvo type="percentile" val="50"/>
        <cfvo type="max"/>
        <color rgb="FFF8696B"/>
        <color rgb="FFFFEB84"/>
        <color rgb="FF63BE7B"/>
      </colorScale>
    </cfRule>
  </conditionalFormatting>
  <conditionalFormatting sqref="L47:M47">
    <cfRule type="colorScale" priority="42">
      <colorScale>
        <cfvo type="min"/>
        <cfvo type="percentile" val="50"/>
        <cfvo type="max"/>
        <color rgb="FFF8696B"/>
        <color rgb="FFFFEB84"/>
        <color rgb="FF63BE7B"/>
      </colorScale>
    </cfRule>
  </conditionalFormatting>
  <conditionalFormatting sqref="R47:U47">
    <cfRule type="colorScale" priority="41">
      <colorScale>
        <cfvo type="min"/>
        <cfvo type="percentile" val="50"/>
        <cfvo type="max"/>
        <color rgb="FFF8696B"/>
        <color rgb="FFFCFCFF"/>
        <color rgb="FF5A8AC6"/>
      </colorScale>
    </cfRule>
  </conditionalFormatting>
  <conditionalFormatting sqref="Y47:AA47">
    <cfRule type="colorScale" priority="40">
      <colorScale>
        <cfvo type="min"/>
        <cfvo type="percentile" val="50"/>
        <cfvo type="max"/>
        <color rgb="FFF8696B"/>
        <color rgb="FFFFEB84"/>
        <color rgb="FF63BE7B"/>
      </colorScale>
    </cfRule>
  </conditionalFormatting>
  <conditionalFormatting sqref="AC47:AC48">
    <cfRule type="colorScale" priority="10">
      <colorScale>
        <cfvo type="min"/>
        <cfvo type="percentile" val="50"/>
        <cfvo type="max"/>
        <color rgb="FFF8696B"/>
        <color rgb="FFFFEB84"/>
        <color rgb="FF63BE7B"/>
      </colorScale>
    </cfRule>
  </conditionalFormatting>
  <conditionalFormatting sqref="AD47:AD48">
    <cfRule type="colorScale" priority="12">
      <colorScale>
        <cfvo type="min"/>
        <cfvo type="percentile" val="50"/>
        <cfvo type="max"/>
        <color rgb="FFF8696B"/>
        <color rgb="FFFFEB84"/>
        <color rgb="FF63BE7B"/>
      </colorScale>
    </cfRule>
  </conditionalFormatting>
  <conditionalFormatting sqref="AE47:AE48">
    <cfRule type="colorScale" priority="11">
      <colorScale>
        <cfvo type="min"/>
        <cfvo type="percentile" val="50"/>
        <cfvo type="max"/>
        <color rgb="FFF8696B"/>
        <color rgb="FFFFEB84"/>
        <color rgb="FF63BE7B"/>
      </colorScale>
    </cfRule>
  </conditionalFormatting>
  <conditionalFormatting sqref="AV47:AW48">
    <cfRule type="colorScale" priority="15">
      <colorScale>
        <cfvo type="min"/>
        <cfvo type="max"/>
        <color rgb="FFFFEF9C"/>
        <color rgb="FF63BE7B"/>
      </colorScale>
    </cfRule>
  </conditionalFormatting>
  <conditionalFormatting sqref="AY47:AY48">
    <cfRule type="colorScale" priority="17">
      <colorScale>
        <cfvo type="min"/>
        <cfvo type="max"/>
        <color rgb="FFFCFCFF"/>
        <color rgb="FFF8696B"/>
      </colorScale>
    </cfRule>
    <cfRule type="colorScale" priority="18">
      <colorScale>
        <cfvo type="min"/>
        <cfvo type="max"/>
        <color rgb="FFFCFCFF"/>
        <color rgb="FFF8696B"/>
      </colorScale>
    </cfRule>
    <cfRule type="colorScale" priority="19">
      <colorScale>
        <cfvo type="min"/>
        <cfvo type="percentile" val="50"/>
        <cfvo type="max"/>
        <color rgb="FFF8696B"/>
        <color rgb="FFFFEB84"/>
        <color rgb="FF63BE7B"/>
      </colorScale>
    </cfRule>
    <cfRule type="colorScale" priority="20">
      <colorScale>
        <cfvo type="min"/>
        <cfvo type="percentile" val="50"/>
        <cfvo type="max"/>
        <color rgb="FFF8696B"/>
        <color rgb="FFFFEB84"/>
        <color rgb="FF63BE7B"/>
      </colorScale>
    </cfRule>
  </conditionalFormatting>
  <conditionalFormatting sqref="AZ47:AZ48">
    <cfRule type="colorScale" priority="21">
      <colorScale>
        <cfvo type="min"/>
        <cfvo type="max"/>
        <color rgb="FFFCFCFF"/>
        <color rgb="FFF8696B"/>
      </colorScale>
    </cfRule>
    <cfRule type="colorScale" priority="22">
      <colorScale>
        <cfvo type="min"/>
        <cfvo type="max"/>
        <color rgb="FFFCFCFF"/>
        <color rgb="FFF8696B"/>
      </colorScale>
    </cfRule>
    <cfRule type="colorScale" priority="23">
      <colorScale>
        <cfvo type="min"/>
        <cfvo type="percentile" val="50"/>
        <cfvo type="max"/>
        <color rgb="FFF8696B"/>
        <color rgb="FFFFEB84"/>
        <color rgb="FF63BE7B"/>
      </colorScale>
    </cfRule>
    <cfRule type="colorScale" priority="24">
      <colorScale>
        <cfvo type="min"/>
        <cfvo type="percentile" val="50"/>
        <cfvo type="max"/>
        <color rgb="FFF8696B"/>
        <color rgb="FFFFEB84"/>
        <color rgb="FF63BE7B"/>
      </colorScale>
    </cfRule>
  </conditionalFormatting>
  <conditionalFormatting sqref="BA47:BA48">
    <cfRule type="colorScale" priority="50">
      <colorScale>
        <cfvo type="min"/>
        <cfvo type="max"/>
        <color rgb="FFFCFCFF"/>
        <color rgb="FFF8696B"/>
      </colorScale>
    </cfRule>
  </conditionalFormatting>
  <conditionalFormatting sqref="BB48">
    <cfRule type="colorScale" priority="104">
      <colorScale>
        <cfvo type="min"/>
        <cfvo type="max"/>
        <color rgb="FFFCFCFF"/>
        <color rgb="FFF8696B"/>
      </colorScale>
    </cfRule>
  </conditionalFormatting>
  <conditionalFormatting sqref="BC47:BC48 BF47:BF48">
    <cfRule type="colorScale" priority="60">
      <colorScale>
        <cfvo type="min"/>
        <cfvo type="percentile" val="50"/>
        <cfvo type="max"/>
        <color rgb="FFF8696B"/>
        <color rgb="FFFCFCFF"/>
        <color rgb="FF63BE7B"/>
      </colorScale>
    </cfRule>
  </conditionalFormatting>
  <conditionalFormatting sqref="BC47:BC48">
    <cfRule type="colorScale" priority="63">
      <colorScale>
        <cfvo type="min"/>
        <cfvo type="percentile" val="50"/>
        <cfvo type="max"/>
        <color rgb="FFF8696B"/>
        <color rgb="FFFFEB84"/>
        <color rgb="FF63BE7B"/>
      </colorScale>
    </cfRule>
    <cfRule type="colorScale" priority="64">
      <colorScale>
        <cfvo type="min"/>
        <cfvo type="percentile" val="50"/>
        <cfvo type="max"/>
        <color rgb="FFF8696B"/>
        <color rgb="FFFFEB84"/>
        <color rgb="FF63BE7B"/>
      </colorScale>
    </cfRule>
  </conditionalFormatting>
  <conditionalFormatting sqref="BD47:BE47 BB48 BD48">
    <cfRule type="colorScale" priority="166">
      <colorScale>
        <cfvo type="min"/>
        <cfvo type="percentile" val="50"/>
        <cfvo type="max"/>
        <color rgb="FFF8696B"/>
        <color rgb="FFFFEB84"/>
        <color rgb="FF63BE7B"/>
      </colorScale>
    </cfRule>
  </conditionalFormatting>
  <conditionalFormatting sqref="BF47:BF48">
    <cfRule type="colorScale" priority="131">
      <colorScale>
        <cfvo type="min"/>
        <cfvo type="max"/>
        <color rgb="FFFCFCFF"/>
        <color rgb="FFF8696B"/>
      </colorScale>
    </cfRule>
  </conditionalFormatting>
  <conditionalFormatting sqref="BR47 BY47">
    <cfRule type="colorScale" priority="218">
      <colorScale>
        <cfvo type="min"/>
        <cfvo type="max"/>
        <color rgb="FFFCFCFF"/>
        <color rgb="FF63BE7B"/>
      </colorScale>
    </cfRule>
  </conditionalFormatting>
  <conditionalFormatting sqref="CM2:CM47">
    <cfRule type="colorScale" priority="38">
      <colorScale>
        <cfvo type="min"/>
        <cfvo type="percentile" val="50"/>
        <cfvo type="max"/>
        <color rgb="FFF8696B"/>
        <color rgb="FFFFEB84"/>
        <color rgb="FF63BE7B"/>
      </colorScale>
    </cfRule>
  </conditionalFormatting>
  <conditionalFormatting sqref="CN2:CN47 BA47:BA48">
    <cfRule type="colorScale" priority="187">
      <colorScale>
        <cfvo type="min"/>
        <cfvo type="percentile" val="50"/>
        <cfvo type="max"/>
        <color rgb="FFF8696B"/>
        <color rgb="FFFFEB84"/>
        <color rgb="FF63BE7B"/>
      </colorScale>
    </cfRule>
    <cfRule type="colorScale" priority="200">
      <colorScale>
        <cfvo type="min"/>
        <cfvo type="max"/>
        <color rgb="FFFCFCFF"/>
        <color rgb="FFF8696B"/>
      </colorScale>
    </cfRule>
  </conditionalFormatting>
  <conditionalFormatting sqref="CN2:CN47">
    <cfRule type="colorScale" priority="59">
      <colorScale>
        <cfvo type="min"/>
        <cfvo type="max"/>
        <color rgb="FFFCFCFF"/>
        <color rgb="FFF8696B"/>
      </colorScale>
    </cfRule>
    <cfRule type="colorScale" priority="191">
      <colorScale>
        <cfvo type="min"/>
        <cfvo type="percentile" val="50"/>
        <cfvo type="max"/>
        <color rgb="FFF8696B"/>
        <color rgb="FFFFEB84"/>
        <color rgb="FF63BE7B"/>
      </colorScale>
    </cfRule>
  </conditionalFormatting>
  <conditionalFormatting sqref="CL10:CL46 CI2:CI46">
    <cfRule type="colorScale" priority="4">
      <colorScale>
        <cfvo type="min"/>
        <cfvo type="percentile" val="50"/>
        <cfvo type="max"/>
        <color rgb="FF63BE7B"/>
        <color rgb="FFFFEB84"/>
        <color rgb="FFF8696B"/>
      </colorScale>
    </cfRule>
  </conditionalFormatting>
  <pageMargins left="0.7" right="0.7" top="0.75" bottom="0.75" header="0.3" footer="0.3"/>
  <pageSetup orientation="portrait" r:id="rId1"/>
  <drawing r:id="rId2"/>
  <legacyDrawing r:id="rId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5F6EAE-F6F7-4D65-8377-5050842DDEF2}">
  <sheetPr>
    <tabColor rgb="FFFF0000"/>
  </sheetPr>
  <dimension ref="A1:AM39"/>
  <sheetViews>
    <sheetView zoomScale="75" zoomScaleNormal="75" workbookViewId="0">
      <pane xSplit="2" ySplit="1" topLeftCell="M2" activePane="bottomRight" state="frozen"/>
      <selection pane="topRight" activeCell="C1" sqref="C1"/>
      <selection pane="bottomLeft" activeCell="A2" sqref="A2"/>
      <selection pane="bottomRight" activeCell="AL20" sqref="AL20"/>
    </sheetView>
  </sheetViews>
  <sheetFormatPr defaultRowHeight="14.4" x14ac:dyDescent="0.3"/>
  <cols>
    <col min="1" max="1" width="4" style="664" bestFit="1" customWidth="1"/>
    <col min="2" max="2" width="6.6640625" style="664" customWidth="1"/>
    <col min="3" max="3" width="9.6640625" customWidth="1"/>
    <col min="4" max="4" width="7.33203125" customWidth="1"/>
    <col min="5" max="5" width="2.6640625" customWidth="1"/>
    <col min="6" max="6" width="10.33203125" customWidth="1"/>
    <col min="7" max="7" width="7.33203125" bestFit="1" customWidth="1"/>
    <col min="8" max="8" width="2.6640625" customWidth="1"/>
    <col min="9" max="9" width="9.6640625" customWidth="1"/>
    <col min="10" max="10" width="6.88671875" bestFit="1" customWidth="1"/>
    <col min="11" max="11" width="2.6640625" customWidth="1"/>
    <col min="12" max="13" width="9.33203125" customWidth="1"/>
    <col min="14" max="14" width="3.44140625" customWidth="1"/>
    <col min="15" max="15" width="11" customWidth="1"/>
    <col min="16" max="16" width="7.6640625" customWidth="1"/>
    <col min="17" max="17" width="4" customWidth="1"/>
    <col min="18" max="18" width="8" customWidth="1"/>
    <col min="19" max="19" width="14.44140625" customWidth="1"/>
    <col min="20" max="20" width="9" customWidth="1"/>
    <col min="21" max="21" width="13" customWidth="1"/>
    <col min="22" max="22" width="8.33203125" customWidth="1"/>
    <col min="23" max="23" width="7.33203125" customWidth="1"/>
    <col min="24" max="24" width="8.6640625" customWidth="1"/>
    <col min="25" max="25" width="2.6640625" customWidth="1"/>
    <col min="26" max="26" width="11.44140625" bestFit="1" customWidth="1"/>
    <col min="27" max="27" width="10.33203125" customWidth="1"/>
    <col min="28" max="28" width="11.33203125" customWidth="1"/>
    <col min="29" max="29" width="2.44140625" customWidth="1"/>
    <col min="30" max="30" width="11.33203125" bestFit="1" customWidth="1"/>
    <col min="31" max="32" width="11.33203125" customWidth="1"/>
    <col min="33" max="33" width="2.109375" customWidth="1"/>
    <col min="34" max="34" width="9.5546875" bestFit="1" customWidth="1"/>
    <col min="35" max="35" width="1.5546875" customWidth="1"/>
    <col min="36" max="36" width="9.5546875" bestFit="1" customWidth="1"/>
    <col min="37" max="37" width="9.5546875" customWidth="1"/>
    <col min="38" max="38" width="12.5546875" customWidth="1"/>
  </cols>
  <sheetData>
    <row r="1" spans="1:38" ht="72" x14ac:dyDescent="0.3">
      <c r="A1" s="2080" t="s">
        <v>758</v>
      </c>
      <c r="B1" s="2088" t="s">
        <v>759</v>
      </c>
      <c r="C1" s="2088" t="s">
        <v>760</v>
      </c>
      <c r="D1" s="2081" t="s">
        <v>761</v>
      </c>
      <c r="E1" s="2056"/>
      <c r="F1" s="2088" t="s">
        <v>762</v>
      </c>
      <c r="G1" s="2081" t="s">
        <v>761</v>
      </c>
      <c r="H1" s="2056"/>
      <c r="I1" s="2088" t="s">
        <v>763</v>
      </c>
      <c r="J1" s="2081" t="s">
        <v>761</v>
      </c>
      <c r="K1" s="2056"/>
      <c r="L1" s="2088" t="s">
        <v>764</v>
      </c>
      <c r="M1" s="2081" t="s">
        <v>761</v>
      </c>
      <c r="N1" s="2056"/>
      <c r="O1" s="2088" t="s">
        <v>765</v>
      </c>
      <c r="P1" s="2081" t="s">
        <v>766</v>
      </c>
      <c r="Q1" s="2056">
        <v>0</v>
      </c>
      <c r="R1" s="2088" t="s">
        <v>767</v>
      </c>
      <c r="S1" s="2056"/>
      <c r="T1" s="2088" t="s">
        <v>768</v>
      </c>
      <c r="U1" s="2056"/>
      <c r="V1" s="2088" t="s">
        <v>769</v>
      </c>
      <c r="W1" s="2105" t="s">
        <v>770</v>
      </c>
      <c r="X1" s="2081" t="s">
        <v>771</v>
      </c>
      <c r="Y1" s="2056"/>
      <c r="Z1" s="2092" t="s">
        <v>772</v>
      </c>
      <c r="AA1" s="2093" t="str">
        <f>'Sockeye Returns Data'!C1</f>
        <v>Total Sox (Mouth)  [24-hour]</v>
      </c>
      <c r="AB1" s="2081" t="s">
        <v>773</v>
      </c>
      <c r="AC1" s="2056"/>
      <c r="AD1" s="2081" t="s">
        <v>774</v>
      </c>
      <c r="AE1" s="2081" t="str">
        <f>'Sockeye Returns Data'!AD1</f>
        <v>Estimated Okanagan Sockeye Returns</v>
      </c>
      <c r="AF1" s="2081" t="s">
        <v>775</v>
      </c>
      <c r="AG1" s="2056"/>
      <c r="AH1" s="2081" t="s">
        <v>776</v>
      </c>
      <c r="AI1" s="2056"/>
      <c r="AJ1" s="2082" t="s">
        <v>777</v>
      </c>
      <c r="AK1" s="2075" t="str">
        <f>'Sockeye Returns Data'!BW1</f>
        <v>Estimated Osoyoos Sockeye Returns (N-O)</v>
      </c>
      <c r="AL1" s="2076" t="s">
        <v>778</v>
      </c>
    </row>
    <row r="2" spans="1:38" x14ac:dyDescent="0.3">
      <c r="A2" s="854">
        <v>1</v>
      </c>
      <c r="B2" s="2089">
        <v>1984</v>
      </c>
      <c r="C2" s="2074">
        <v>152545</v>
      </c>
      <c r="D2" s="2099" t="b">
        <f>C2='Sockeye Returns Data'!D9</f>
        <v>1</v>
      </c>
      <c r="E2" s="2074"/>
      <c r="F2" s="2074">
        <v>149</v>
      </c>
      <c r="G2" s="2099" t="b">
        <f>F2='Sockeye Returns Data'!F9</f>
        <v>1</v>
      </c>
      <c r="H2" s="2074"/>
      <c r="I2" s="1103">
        <v>0.84</v>
      </c>
      <c r="J2" s="2099" t="b">
        <f>I2='Sockeye Returns Data'!U9</f>
        <v>1</v>
      </c>
      <c r="K2" s="2074"/>
      <c r="L2" s="2074">
        <v>9345</v>
      </c>
      <c r="M2" s="2099" t="b">
        <f>L2='Sockeye Returns Data'!AI9</f>
        <v>1</v>
      </c>
      <c r="N2" s="2074"/>
      <c r="O2" s="2113">
        <v>159537.197945041</v>
      </c>
      <c r="P2" s="2056">
        <f>'Sockeye Returns Data'!E9/O2</f>
        <v>0.99608558889033427</v>
      </c>
      <c r="Q2" s="2074"/>
      <c r="R2" s="1103">
        <v>1</v>
      </c>
      <c r="S2" s="1103"/>
      <c r="T2" s="1103">
        <v>1</v>
      </c>
      <c r="U2" s="1103"/>
      <c r="V2" s="1103">
        <v>1</v>
      </c>
      <c r="W2" s="2106"/>
      <c r="X2" s="2101" t="b">
        <f>V2='Sockeye Returns Data'!BQ9</f>
        <v>1</v>
      </c>
      <c r="Y2" s="1103"/>
      <c r="Z2" s="2094">
        <v>168733.197945041</v>
      </c>
      <c r="AA2" s="2094">
        <f>'Sockeye Returns Data'!C9</f>
        <v>168257.70376499998</v>
      </c>
      <c r="AB2" s="2056">
        <f>AA2/Z2</f>
        <v>0.99718197612661919</v>
      </c>
      <c r="AC2" s="2056"/>
      <c r="AD2" s="2074">
        <v>141735.88627383401</v>
      </c>
      <c r="AE2" s="2074">
        <f>'Sockeye Returns Data'!AD9</f>
        <v>141211.31116259997</v>
      </c>
      <c r="AF2" s="2056">
        <f>AE2/AD2</f>
        <v>0.99629892524028418</v>
      </c>
      <c r="AG2" s="2074"/>
      <c r="AH2" s="2074">
        <v>141681.96</v>
      </c>
      <c r="AI2" s="2096"/>
      <c r="AJ2" s="2083">
        <v>141735.88627383401</v>
      </c>
      <c r="AK2" s="2077">
        <f t="shared" ref="AK2:AK28" si="0">VLOOKUP(B2,SockeyeReturnsData,75)</f>
        <v>0</v>
      </c>
      <c r="AL2" s="485">
        <f t="shared" ref="AL2:AL28" si="1">AK2/AJ2</f>
        <v>0</v>
      </c>
    </row>
    <row r="3" spans="1:38" x14ac:dyDescent="0.3">
      <c r="A3" s="854">
        <v>2</v>
      </c>
      <c r="B3" s="2089">
        <v>1985</v>
      </c>
      <c r="C3" s="2074">
        <v>166340</v>
      </c>
      <c r="D3" s="2099" t="b">
        <f>C3='Sockeye Returns Data'!D10</f>
        <v>1</v>
      </c>
      <c r="E3" s="2074"/>
      <c r="F3" s="2074">
        <v>59</v>
      </c>
      <c r="G3" s="2099" t="b">
        <f>F3='Sockeye Returns Data'!F10</f>
        <v>1</v>
      </c>
      <c r="H3" s="2074"/>
      <c r="I3" s="1103">
        <v>0.59</v>
      </c>
      <c r="J3" s="2101" t="b">
        <f>I3='Sockeye Returns Data'!U10</f>
        <v>1</v>
      </c>
      <c r="K3" s="1103"/>
      <c r="L3" s="2074">
        <v>32213</v>
      </c>
      <c r="M3" s="2099" t="b">
        <f>L3='Sockeye Returns Data'!AI10</f>
        <v>1</v>
      </c>
      <c r="N3" s="2074"/>
      <c r="O3" s="2113">
        <v>174065.29717571099</v>
      </c>
      <c r="P3" s="2056">
        <f>'Sockeye Returns Data'!E10/O3</f>
        <v>0.99564935005426991</v>
      </c>
      <c r="Q3" s="2074"/>
      <c r="R3" s="1103">
        <v>1</v>
      </c>
      <c r="S3" s="1103"/>
      <c r="T3" s="1103">
        <v>1</v>
      </c>
      <c r="U3" s="1103"/>
      <c r="V3" s="1103">
        <v>1</v>
      </c>
      <c r="W3" s="2106"/>
      <c r="X3" s="2101" t="b">
        <f>V3='Sockeye Returns Data'!BQ10</f>
        <v>1</v>
      </c>
      <c r="Y3" s="1103"/>
      <c r="Z3" s="2094">
        <v>206219.29717571099</v>
      </c>
      <c r="AA3" s="2094">
        <f>'Sockeye Returns Data'!C10</f>
        <v>205521</v>
      </c>
      <c r="AB3" s="2056">
        <f t="shared" ref="AB3:AB39" si="2">AA3/Z3</f>
        <v>0.99661381264859994</v>
      </c>
      <c r="AC3" s="2056"/>
      <c r="AD3" s="2074">
        <v>121669.38533366899</v>
      </c>
      <c r="AE3" s="2074">
        <f>'Sockeye Returns Data'!AD10</f>
        <v>121223</v>
      </c>
      <c r="AF3" s="2056">
        <f t="shared" ref="AF3:AF39" si="3">AE3/AD3</f>
        <v>0.99633116143025779</v>
      </c>
      <c r="AG3" s="2074"/>
      <c r="AH3" s="2074">
        <v>121611.98</v>
      </c>
      <c r="AI3" s="2096"/>
      <c r="AJ3" s="2083">
        <v>121669.38533366899</v>
      </c>
      <c r="AK3" s="2077">
        <f t="shared" si="0"/>
        <v>0</v>
      </c>
      <c r="AL3" s="485">
        <f t="shared" si="1"/>
        <v>0</v>
      </c>
    </row>
    <row r="4" spans="1:38" x14ac:dyDescent="0.3">
      <c r="A4" s="854">
        <v>3</v>
      </c>
      <c r="B4" s="2089">
        <v>1986</v>
      </c>
      <c r="C4" s="2074">
        <v>58123</v>
      </c>
      <c r="D4" s="2099" t="b">
        <f>C4='Sockeye Returns Data'!D11</f>
        <v>1</v>
      </c>
      <c r="E4" s="2074"/>
      <c r="F4" s="2074">
        <v>24</v>
      </c>
      <c r="G4" s="2099" t="b">
        <f>F4='Sockeye Returns Data'!F11</f>
        <v>1</v>
      </c>
      <c r="H4" s="2074"/>
      <c r="I4" s="1103">
        <v>0.79</v>
      </c>
      <c r="J4" s="2101" t="b">
        <f>I4='Sockeye Returns Data'!U11</f>
        <v>1</v>
      </c>
      <c r="K4" s="1103"/>
      <c r="L4" s="2074">
        <v>1840</v>
      </c>
      <c r="M4" s="2099" t="b">
        <f>L4='Sockeye Returns Data'!AI11</f>
        <v>1</v>
      </c>
      <c r="N4" s="2074"/>
      <c r="O4" s="2113">
        <v>60424.466406549604</v>
      </c>
      <c r="P4" s="2056">
        <f>'Sockeye Returns Data'!E11/O4</f>
        <v>0.9992640993095343</v>
      </c>
      <c r="Q4" s="2074"/>
      <c r="R4" s="1103">
        <v>1</v>
      </c>
      <c r="S4" s="1103"/>
      <c r="T4" s="1103">
        <v>1</v>
      </c>
      <c r="U4" s="1103"/>
      <c r="V4" s="1103">
        <v>1</v>
      </c>
      <c r="W4" s="2106"/>
      <c r="X4" s="2101" t="b">
        <f>V4='Sockeye Returns Data'!BQ11</f>
        <v>1</v>
      </c>
      <c r="Y4" s="1103"/>
      <c r="Z4" s="2094">
        <v>62240.466406549604</v>
      </c>
      <c r="AA4" s="2094">
        <f>'Sockeye Returns Data'!C11</f>
        <v>62220</v>
      </c>
      <c r="AB4" s="2056">
        <f t="shared" si="2"/>
        <v>0.99967117202470945</v>
      </c>
      <c r="AC4" s="2056"/>
      <c r="AD4" s="2074">
        <v>49169.968461174198</v>
      </c>
      <c r="AE4" s="2074">
        <f>'Sockeye Returns Data'!AD11</f>
        <v>49135</v>
      </c>
      <c r="AF4" s="2056">
        <f t="shared" si="3"/>
        <v>0.99928882481993431</v>
      </c>
      <c r="AG4" s="2074"/>
      <c r="AH4" s="2074">
        <v>49205.94</v>
      </c>
      <c r="AI4" s="2096"/>
      <c r="AJ4" s="2083">
        <v>49169.968461174198</v>
      </c>
      <c r="AK4" s="2077">
        <f t="shared" si="0"/>
        <v>0</v>
      </c>
      <c r="AL4" s="485">
        <f t="shared" si="1"/>
        <v>0</v>
      </c>
    </row>
    <row r="5" spans="1:38" x14ac:dyDescent="0.3">
      <c r="A5" s="854">
        <v>4</v>
      </c>
      <c r="B5" s="2089">
        <v>1987</v>
      </c>
      <c r="C5" s="2074">
        <v>116993</v>
      </c>
      <c r="D5" s="2099" t="b">
        <f>C5='Sockeye Returns Data'!D12</f>
        <v>1</v>
      </c>
      <c r="E5" s="2074"/>
      <c r="F5" s="2074">
        <v>55</v>
      </c>
      <c r="G5" s="2099" t="b">
        <f>F5='Sockeye Returns Data'!F12</f>
        <v>1</v>
      </c>
      <c r="H5" s="2074"/>
      <c r="I5" s="1103">
        <v>0.66</v>
      </c>
      <c r="J5" s="2101" t="b">
        <f>I5='Sockeye Returns Data'!U12</f>
        <v>1</v>
      </c>
      <c r="K5" s="1103"/>
      <c r="L5" s="2074">
        <v>28553</v>
      </c>
      <c r="M5" s="2099" t="b">
        <f>L5='Sockeye Returns Data'!AI12</f>
        <v>1</v>
      </c>
      <c r="N5" s="2074"/>
      <c r="O5" s="2113">
        <v>122144.064092691</v>
      </c>
      <c r="P5" s="2056">
        <f>'Sockeye Returns Data'!E12/O5</f>
        <v>0.99728956052715123</v>
      </c>
      <c r="Q5" s="2074"/>
      <c r="R5" s="1103">
        <v>1</v>
      </c>
      <c r="S5" s="1103"/>
      <c r="T5" s="1103">
        <v>1</v>
      </c>
      <c r="U5" s="1103"/>
      <c r="V5" s="1103">
        <v>1</v>
      </c>
      <c r="W5" s="2106"/>
      <c r="X5" s="2101" t="b">
        <f>V5='Sockeye Returns Data'!BQ12</f>
        <v>1</v>
      </c>
      <c r="Y5" s="1103"/>
      <c r="Z5" s="2094">
        <v>150642.064092691</v>
      </c>
      <c r="AA5" s="2094">
        <f>'Sockeye Returns Data'!C12</f>
        <v>150366</v>
      </c>
      <c r="AB5" s="2056">
        <f t="shared" si="2"/>
        <v>0.99816741695386535</v>
      </c>
      <c r="AC5" s="2056"/>
      <c r="AD5" s="2074">
        <v>99423.762301176204</v>
      </c>
      <c r="AE5" s="2074">
        <f>'Sockeye Returns Data'!AD12</f>
        <v>99205</v>
      </c>
      <c r="AF5" s="2056">
        <f t="shared" si="3"/>
        <v>0.99779969801873392</v>
      </c>
      <c r="AG5" s="2074"/>
      <c r="AH5" s="2074">
        <v>99421.74</v>
      </c>
      <c r="AI5" s="2096"/>
      <c r="AJ5" s="2083">
        <v>99423.762301176204</v>
      </c>
      <c r="AK5" s="2077">
        <f t="shared" si="0"/>
        <v>0</v>
      </c>
      <c r="AL5" s="485">
        <f t="shared" si="1"/>
        <v>0</v>
      </c>
    </row>
    <row r="6" spans="1:38" x14ac:dyDescent="0.3">
      <c r="A6" s="854">
        <v>5</v>
      </c>
      <c r="B6" s="2089">
        <v>1988</v>
      </c>
      <c r="C6" s="2074">
        <v>79714</v>
      </c>
      <c r="D6" s="2099" t="b">
        <f>C6='Sockeye Returns Data'!D13</f>
        <v>1</v>
      </c>
      <c r="E6" s="2074"/>
      <c r="F6" s="2074">
        <v>45</v>
      </c>
      <c r="G6" s="2099" t="b">
        <f>F6='Sockeye Returns Data'!F13</f>
        <v>1</v>
      </c>
      <c r="H6" s="2074"/>
      <c r="I6" s="1103">
        <v>0.78</v>
      </c>
      <c r="J6" s="2101" t="b">
        <f>I6='Sockeye Returns Data'!U13</f>
        <v>1</v>
      </c>
      <c r="K6" s="1103"/>
      <c r="L6" s="2074">
        <v>17632</v>
      </c>
      <c r="M6" s="2099" t="b">
        <f>L6='Sockeye Returns Data'!AI13</f>
        <v>1</v>
      </c>
      <c r="N6" s="2074"/>
      <c r="O6" s="2113">
        <v>83025.302844712496</v>
      </c>
      <c r="P6" s="2056">
        <f>'Sockeye Returns Data'!E13/O6</f>
        <v>0.99862327699151809</v>
      </c>
      <c r="Q6" s="2074"/>
      <c r="R6" s="1103">
        <v>1</v>
      </c>
      <c r="S6" s="1103"/>
      <c r="T6" s="1103">
        <v>1</v>
      </c>
      <c r="U6" s="1103"/>
      <c r="V6" s="1103">
        <v>1</v>
      </c>
      <c r="W6" s="2106"/>
      <c r="X6" s="2101" t="b">
        <f>V6='Sockeye Returns Data'!BQ13</f>
        <v>1</v>
      </c>
      <c r="Y6" s="1103"/>
      <c r="Z6" s="2094">
        <v>100612.302844712</v>
      </c>
      <c r="AA6" s="2094">
        <f>'Sockeye Returns Data'!C13</f>
        <v>100543</v>
      </c>
      <c r="AB6" s="2056">
        <f t="shared" si="2"/>
        <v>0.9993111891612404</v>
      </c>
      <c r="AC6" s="2056"/>
      <c r="AD6" s="2074">
        <v>78477.596218875799</v>
      </c>
      <c r="AE6" s="2074">
        <f>'Sockeye Returns Data'!AD13</f>
        <v>78388</v>
      </c>
      <c r="AF6" s="2056">
        <f t="shared" si="3"/>
        <v>0.99885832105986128</v>
      </c>
      <c r="AG6" s="2074"/>
      <c r="AH6" s="2074">
        <v>78514.02</v>
      </c>
      <c r="AI6" s="2096"/>
      <c r="AJ6" s="2083">
        <v>78477.596218875799</v>
      </c>
      <c r="AK6" s="2077">
        <f t="shared" si="0"/>
        <v>0</v>
      </c>
      <c r="AL6" s="485">
        <f t="shared" si="1"/>
        <v>0</v>
      </c>
    </row>
    <row r="7" spans="1:38" x14ac:dyDescent="0.3">
      <c r="A7" s="854">
        <v>6</v>
      </c>
      <c r="B7" s="2089">
        <v>1989</v>
      </c>
      <c r="C7" s="2074">
        <v>41884</v>
      </c>
      <c r="D7" s="2099" t="b">
        <f>C7='Sockeye Returns Data'!D14</f>
        <v>1</v>
      </c>
      <c r="E7" s="2074"/>
      <c r="F7" s="2074">
        <v>4</v>
      </c>
      <c r="G7" s="2099" t="b">
        <f>F7='Sockeye Returns Data'!F14</f>
        <v>1</v>
      </c>
      <c r="H7" s="2074"/>
      <c r="I7" s="1103">
        <v>0.42</v>
      </c>
      <c r="J7" s="2101" t="b">
        <f>I7='Sockeye Returns Data'!U14</f>
        <v>1</v>
      </c>
      <c r="K7" s="1103"/>
      <c r="L7" s="2074">
        <v>36</v>
      </c>
      <c r="M7" s="2099" t="b">
        <f>L7='Sockeye Returns Data'!AI14</f>
        <v>1</v>
      </c>
      <c r="N7" s="2074"/>
      <c r="O7" s="2113">
        <v>43462.052806105799</v>
      </c>
      <c r="P7" s="2056">
        <f>'Sockeye Returns Data'!E14/O7</f>
        <v>0.99935454484326935</v>
      </c>
      <c r="Q7" s="2074"/>
      <c r="R7" s="1103">
        <v>1</v>
      </c>
      <c r="S7" s="1103"/>
      <c r="T7" s="1103">
        <v>1</v>
      </c>
      <c r="U7" s="1103"/>
      <c r="V7" s="1103">
        <v>1</v>
      </c>
      <c r="W7" s="2106"/>
      <c r="X7" s="2101" t="b">
        <f>V7='Sockeye Returns Data'!BQ14</f>
        <v>1</v>
      </c>
      <c r="Y7" s="1103"/>
      <c r="Z7" s="2094">
        <v>43494.052806105799</v>
      </c>
      <c r="AA7" s="2094">
        <f>'Sockeye Returns Data'!C14</f>
        <v>43470</v>
      </c>
      <c r="AB7" s="2056">
        <f t="shared" si="2"/>
        <v>0.99944698632217543</v>
      </c>
      <c r="AC7" s="2056"/>
      <c r="AD7" s="2074">
        <v>18267.502178564398</v>
      </c>
      <c r="AE7" s="2074">
        <f>'Sockeye Returns Data'!AD14</f>
        <v>18256</v>
      </c>
      <c r="AF7" s="2056">
        <f t="shared" si="3"/>
        <v>0.99937034749184839</v>
      </c>
      <c r="AG7" s="2074"/>
      <c r="AH7" s="2074">
        <v>18294.36</v>
      </c>
      <c r="AI7" s="2096"/>
      <c r="AJ7" s="2083">
        <v>18267.502178564398</v>
      </c>
      <c r="AK7" s="2077">
        <f t="shared" si="0"/>
        <v>0</v>
      </c>
      <c r="AL7" s="485">
        <f t="shared" si="1"/>
        <v>0</v>
      </c>
    </row>
    <row r="8" spans="1:38" x14ac:dyDescent="0.3">
      <c r="A8" s="854">
        <v>7</v>
      </c>
      <c r="B8" s="2089">
        <v>1990</v>
      </c>
      <c r="C8" s="2074">
        <v>49581</v>
      </c>
      <c r="D8" s="2099" t="b">
        <f>C8='Sockeye Returns Data'!D15</f>
        <v>1</v>
      </c>
      <c r="E8" s="2074"/>
      <c r="F8" s="2074">
        <v>1</v>
      </c>
      <c r="G8" s="2099" t="b">
        <f>F8='Sockeye Returns Data'!F15</f>
        <v>1</v>
      </c>
      <c r="H8" s="2074"/>
      <c r="I8" s="1103">
        <v>0.24</v>
      </c>
      <c r="J8" s="2101" t="b">
        <f>I8='Sockeye Returns Data'!U15</f>
        <v>1</v>
      </c>
      <c r="K8" s="1103"/>
      <c r="L8" s="2074">
        <v>173</v>
      </c>
      <c r="M8" s="2099" t="b">
        <f>L8='Sockeye Returns Data'!AI15</f>
        <v>1</v>
      </c>
      <c r="N8" s="2074"/>
      <c r="O8" s="2113">
        <v>51497.467264459003</v>
      </c>
      <c r="P8" s="2056">
        <f>'Sockeye Returns Data'!E15/O8</f>
        <v>0.99938895510535686</v>
      </c>
      <c r="Q8" s="2074"/>
      <c r="R8" s="1103">
        <v>1</v>
      </c>
      <c r="S8" s="1103"/>
      <c r="T8" s="1103">
        <v>1</v>
      </c>
      <c r="U8" s="1103"/>
      <c r="V8" s="1103">
        <v>1</v>
      </c>
      <c r="W8" s="2106"/>
      <c r="X8" s="2101" t="b">
        <f>V8='Sockeye Returns Data'!BQ15</f>
        <v>1</v>
      </c>
      <c r="Y8" s="1103"/>
      <c r="Z8" s="2094">
        <v>51669.467264459003</v>
      </c>
      <c r="AA8" s="2094">
        <f>'Sockeye Returns Data'!C15</f>
        <v>51639</v>
      </c>
      <c r="AB8" s="2056">
        <f t="shared" si="2"/>
        <v>0.99941034297289999</v>
      </c>
      <c r="AC8" s="2056"/>
      <c r="AD8" s="2074">
        <v>12400.672143470199</v>
      </c>
      <c r="AE8" s="2074">
        <f>'Sockeye Returns Data'!AD15</f>
        <v>12393</v>
      </c>
      <c r="AF8" s="2056">
        <f t="shared" si="3"/>
        <v>0.99938131228844407</v>
      </c>
      <c r="AG8" s="2074"/>
      <c r="AH8" s="2074">
        <v>12415.44</v>
      </c>
      <c r="AI8" s="2096"/>
      <c r="AJ8" s="2083">
        <v>12400.672143470199</v>
      </c>
      <c r="AK8" s="2077">
        <f t="shared" si="0"/>
        <v>0</v>
      </c>
      <c r="AL8" s="485">
        <f t="shared" si="1"/>
        <v>0</v>
      </c>
    </row>
    <row r="9" spans="1:38" x14ac:dyDescent="0.3">
      <c r="A9" s="854">
        <v>8</v>
      </c>
      <c r="B9" s="2089">
        <v>1991</v>
      </c>
      <c r="C9" s="2074">
        <v>76481</v>
      </c>
      <c r="D9" s="2099" t="b">
        <f>C9='Sockeye Returns Data'!D16</f>
        <v>1</v>
      </c>
      <c r="E9" s="2074"/>
      <c r="F9" s="2074">
        <v>10</v>
      </c>
      <c r="G9" s="2099" t="b">
        <f>F9='Sockeye Returns Data'!F16</f>
        <v>1</v>
      </c>
      <c r="H9" s="2074"/>
      <c r="I9" s="1103">
        <v>0.5</v>
      </c>
      <c r="J9" s="2101" t="b">
        <f>I9='Sockeye Returns Data'!U16</f>
        <v>1</v>
      </c>
      <c r="K9" s="1103"/>
      <c r="L9" s="2074">
        <v>3</v>
      </c>
      <c r="M9" s="2099" t="b">
        <f>L9='Sockeye Returns Data'!AI16</f>
        <v>1</v>
      </c>
      <c r="N9" s="2074"/>
      <c r="O9" s="2113">
        <v>79638.116404690794</v>
      </c>
      <c r="P9" s="2056">
        <f>'Sockeye Returns Data'!E16/O9</f>
        <v>0.99873030140269814</v>
      </c>
      <c r="Q9" s="2074"/>
      <c r="R9" s="1103">
        <v>1</v>
      </c>
      <c r="S9" s="1103"/>
      <c r="T9" s="1103">
        <v>1</v>
      </c>
      <c r="U9" s="1103"/>
      <c r="V9" s="1103">
        <v>1</v>
      </c>
      <c r="W9" s="2106"/>
      <c r="X9" s="2101" t="b">
        <f>V9='Sockeye Returns Data'!BQ16</f>
        <v>1</v>
      </c>
      <c r="Y9" s="1103"/>
      <c r="Z9" s="2094">
        <v>79631.116404690794</v>
      </c>
      <c r="AA9" s="2094">
        <f>'Sockeye Returns Data'!C16</f>
        <v>79540</v>
      </c>
      <c r="AB9" s="2056">
        <f t="shared" si="2"/>
        <v>0.99885576884006333</v>
      </c>
      <c r="AC9" s="2056"/>
      <c r="AD9" s="2074">
        <v>39815.558202345397</v>
      </c>
      <c r="AE9" s="2074">
        <f>'Sockeye Returns Data'!AD16</f>
        <v>39765</v>
      </c>
      <c r="AF9" s="2056">
        <f t="shared" si="3"/>
        <v>0.99873018978941708</v>
      </c>
      <c r="AG9" s="2074"/>
      <c r="AH9" s="2074">
        <v>39836.75</v>
      </c>
      <c r="AI9" s="2096"/>
      <c r="AJ9" s="2083">
        <v>39815.558202345397</v>
      </c>
      <c r="AK9" s="2077">
        <f t="shared" si="0"/>
        <v>0</v>
      </c>
      <c r="AL9" s="485">
        <f t="shared" si="1"/>
        <v>0</v>
      </c>
    </row>
    <row r="10" spans="1:38" x14ac:dyDescent="0.3">
      <c r="A10" s="854">
        <v>9</v>
      </c>
      <c r="B10" s="2089">
        <v>1992</v>
      </c>
      <c r="C10" s="2074">
        <v>84992</v>
      </c>
      <c r="D10" s="2099" t="b">
        <f>C10='Sockeye Returns Data'!D17</f>
        <v>1</v>
      </c>
      <c r="E10" s="2074"/>
      <c r="F10" s="2074">
        <v>35</v>
      </c>
      <c r="G10" s="2099" t="b">
        <f>F10='Sockeye Returns Data'!F17</f>
        <v>1</v>
      </c>
      <c r="H10" s="2074"/>
      <c r="I10" s="1103">
        <v>0.69</v>
      </c>
      <c r="J10" s="2101" t="b">
        <f>I10='Sockeye Returns Data'!U17</f>
        <v>1</v>
      </c>
      <c r="K10" s="1103"/>
      <c r="L10" s="2074">
        <v>8</v>
      </c>
      <c r="M10" s="2099" t="b">
        <f>L10='Sockeye Returns Data'!AI17</f>
        <v>1</v>
      </c>
      <c r="N10" s="2074"/>
      <c r="O10" s="2113">
        <v>88557.048848219303</v>
      </c>
      <c r="P10" s="2056">
        <f>'Sockeye Returns Data'!E17/O10</f>
        <v>0.99844113088664566</v>
      </c>
      <c r="Q10" s="2074"/>
      <c r="R10" s="1103">
        <v>1</v>
      </c>
      <c r="S10" s="1103"/>
      <c r="T10" s="1103">
        <v>1</v>
      </c>
      <c r="U10" s="1103"/>
      <c r="V10" s="1103">
        <v>1</v>
      </c>
      <c r="W10" s="2106"/>
      <c r="X10" s="2101" t="b">
        <f>V10='Sockeye Returns Data'!BQ17</f>
        <v>1</v>
      </c>
      <c r="Y10" s="1103"/>
      <c r="Z10" s="2094">
        <v>88530.048848219303</v>
      </c>
      <c r="AA10" s="2094">
        <f>'Sockeye Returns Data'!C17</f>
        <v>88427</v>
      </c>
      <c r="AB10" s="2056">
        <f t="shared" si="2"/>
        <v>0.99883600145306628</v>
      </c>
      <c r="AC10" s="2056"/>
      <c r="AD10" s="2074">
        <v>61085.733705271297</v>
      </c>
      <c r="AE10" s="2074">
        <f>'Sockeye Returns Data'!AD17</f>
        <v>60990</v>
      </c>
      <c r="AF10" s="2056">
        <f t="shared" si="3"/>
        <v>0.99843279765234227</v>
      </c>
      <c r="AG10" s="2074"/>
      <c r="AH10" s="2074">
        <v>61112.264999999999</v>
      </c>
      <c r="AI10" s="2096"/>
      <c r="AJ10" s="2083">
        <v>61085.733705271297</v>
      </c>
      <c r="AK10" s="2077">
        <f t="shared" si="0"/>
        <v>0</v>
      </c>
      <c r="AL10" s="485">
        <f t="shared" si="1"/>
        <v>0</v>
      </c>
    </row>
    <row r="11" spans="1:38" x14ac:dyDescent="0.3">
      <c r="A11" s="854">
        <v>10</v>
      </c>
      <c r="B11" s="2089">
        <v>1993</v>
      </c>
      <c r="C11" s="2074">
        <v>80178</v>
      </c>
      <c r="D11" s="2099" t="b">
        <f>C11='Sockeye Returns Data'!D18</f>
        <v>1</v>
      </c>
      <c r="E11" s="2074"/>
      <c r="F11" s="2074">
        <v>18</v>
      </c>
      <c r="G11" s="2099" t="b">
        <f>F11='Sockeye Returns Data'!F18</f>
        <v>1</v>
      </c>
      <c r="H11" s="2074"/>
      <c r="I11" s="1103">
        <v>0.48</v>
      </c>
      <c r="J11" s="2101" t="b">
        <f>I11='Sockeye Returns Data'!U18</f>
        <v>1</v>
      </c>
      <c r="K11" s="1103"/>
      <c r="L11" s="2074">
        <v>64</v>
      </c>
      <c r="M11" s="2099" t="b">
        <f>L11='Sockeye Returns Data'!AI18</f>
        <v>1</v>
      </c>
      <c r="N11" s="2074"/>
      <c r="O11" s="2113">
        <v>83511.510531361797</v>
      </c>
      <c r="P11" s="2056">
        <f>'Sockeye Returns Data'!E18/O11</f>
        <v>0.99860485661652543</v>
      </c>
      <c r="Q11" s="2074"/>
      <c r="R11" s="1103">
        <v>1</v>
      </c>
      <c r="S11" s="1103"/>
      <c r="T11" s="1103">
        <v>1</v>
      </c>
      <c r="U11" s="1103"/>
      <c r="V11" s="1103">
        <v>1</v>
      </c>
      <c r="W11" s="2106"/>
      <c r="X11" s="2101" t="b">
        <f>V11='Sockeye Returns Data'!BQ18</f>
        <v>1</v>
      </c>
      <c r="Y11" s="1103"/>
      <c r="Z11" s="2094">
        <v>83557.510531361797</v>
      </c>
      <c r="AA11" s="2094">
        <f>'Sockeye Returns Data'!C18</f>
        <v>83459</v>
      </c>
      <c r="AB11" s="2056">
        <f t="shared" si="2"/>
        <v>0.99882104516116688</v>
      </c>
      <c r="AC11" s="2056"/>
      <c r="AD11" s="2074">
        <v>40107.605055053602</v>
      </c>
      <c r="AE11" s="2074">
        <f>'Sockeye Returns Data'!AD18</f>
        <v>40052</v>
      </c>
      <c r="AF11" s="2056">
        <f t="shared" si="3"/>
        <v>0.99861360320624293</v>
      </c>
      <c r="AG11" s="2074"/>
      <c r="AH11" s="2074">
        <v>40130.879999999997</v>
      </c>
      <c r="AI11" s="2096"/>
      <c r="AJ11" s="2083">
        <v>40107.605055053602</v>
      </c>
      <c r="AK11" s="2077">
        <f t="shared" si="0"/>
        <v>0</v>
      </c>
      <c r="AL11" s="485">
        <f t="shared" si="1"/>
        <v>0</v>
      </c>
    </row>
    <row r="12" spans="1:38" x14ac:dyDescent="0.3">
      <c r="A12" s="854">
        <v>11</v>
      </c>
      <c r="B12" s="2089">
        <v>1994</v>
      </c>
      <c r="C12" s="2074">
        <v>12678</v>
      </c>
      <c r="D12" s="2099" t="b">
        <f>C12='Sockeye Returns Data'!D19</f>
        <v>1</v>
      </c>
      <c r="E12" s="2074"/>
      <c r="F12" s="2074">
        <v>5</v>
      </c>
      <c r="G12" s="2099" t="b">
        <f>F12='Sockeye Returns Data'!F19</f>
        <v>1</v>
      </c>
      <c r="H12" s="2074"/>
      <c r="I12" s="1103">
        <v>0.17</v>
      </c>
      <c r="J12" s="2101" t="b">
        <f>I12='Sockeye Returns Data'!U19</f>
        <v>1</v>
      </c>
      <c r="K12" s="1103"/>
      <c r="L12" s="2074">
        <v>1</v>
      </c>
      <c r="M12" s="2099" t="b">
        <f>L12='Sockeye Returns Data'!AI19</f>
        <v>1</v>
      </c>
      <c r="N12" s="2074"/>
      <c r="O12" s="2113">
        <v>13076.479099477499</v>
      </c>
      <c r="P12" s="2056">
        <f>'Sockeye Returns Data'!E19/O12</f>
        <v>0.99078657958606664</v>
      </c>
      <c r="Q12" s="2074"/>
      <c r="R12" s="1103">
        <v>1</v>
      </c>
      <c r="S12" s="1103"/>
      <c r="T12" s="1103">
        <v>1</v>
      </c>
      <c r="U12" s="1103"/>
      <c r="V12" s="1103">
        <v>1</v>
      </c>
      <c r="W12" s="2106"/>
      <c r="X12" s="2101" t="b">
        <f>V12='Sockeye Returns Data'!BQ19</f>
        <v>1</v>
      </c>
      <c r="Y12" s="1103"/>
      <c r="Z12" s="2094">
        <v>13072.479099477499</v>
      </c>
      <c r="AA12" s="2094">
        <f>'Sockeye Returns Data'!C19</f>
        <v>12957</v>
      </c>
      <c r="AB12" s="2056">
        <f t="shared" si="2"/>
        <v>0.99116624332701242</v>
      </c>
      <c r="AC12" s="2056"/>
      <c r="AD12" s="2074">
        <v>2222.3214469111699</v>
      </c>
      <c r="AE12" s="2074">
        <f>'Sockeye Returns Data'!AD19</f>
        <v>2202</v>
      </c>
      <c r="AF12" s="2056">
        <f t="shared" si="3"/>
        <v>0.99085575719056529</v>
      </c>
      <c r="AG12" s="2074"/>
      <c r="AH12" s="2074">
        <v>2227.17</v>
      </c>
      <c r="AI12" s="2096"/>
      <c r="AJ12" s="2083">
        <v>2222.3214469111699</v>
      </c>
      <c r="AK12" s="2077">
        <f t="shared" si="0"/>
        <v>2202</v>
      </c>
      <c r="AL12" s="485">
        <f t="shared" si="1"/>
        <v>0.99085575719056529</v>
      </c>
    </row>
    <row r="13" spans="1:38" x14ac:dyDescent="0.3">
      <c r="A13" s="854">
        <v>12</v>
      </c>
      <c r="B13" s="2089">
        <v>1995</v>
      </c>
      <c r="C13" s="2074">
        <v>8774</v>
      </c>
      <c r="D13" s="2099" t="b">
        <f>C13='Sockeye Returns Data'!D20</f>
        <v>1</v>
      </c>
      <c r="E13" s="2074"/>
      <c r="F13" s="2074">
        <v>5</v>
      </c>
      <c r="G13" s="2099" t="b">
        <f>F13='Sockeye Returns Data'!F20</f>
        <v>1</v>
      </c>
      <c r="H13" s="2074"/>
      <c r="I13" s="1103">
        <v>0.59</v>
      </c>
      <c r="J13" s="2101" t="b">
        <f>I13='Sockeye Returns Data'!U20</f>
        <v>1</v>
      </c>
      <c r="K13" s="1103"/>
      <c r="L13" s="2074">
        <v>1</v>
      </c>
      <c r="M13" s="2099" t="b">
        <f>L13='Sockeye Returns Data'!AI20</f>
        <v>1</v>
      </c>
      <c r="N13" s="2074"/>
      <c r="O13" s="2113">
        <v>9034.7995370563094</v>
      </c>
      <c r="P13" s="2056">
        <f>'Sockeye Returns Data'!E20/O13</f>
        <v>0.9830876671441795</v>
      </c>
      <c r="Q13" s="2074"/>
      <c r="R13" s="1103">
        <v>1</v>
      </c>
      <c r="S13" s="1103"/>
      <c r="T13" s="1103">
        <v>1</v>
      </c>
      <c r="U13" s="1103"/>
      <c r="V13" s="1103">
        <v>1</v>
      </c>
      <c r="W13" s="2106"/>
      <c r="X13" s="2101" t="b">
        <f>V13='Sockeye Returns Data'!BQ20</f>
        <v>1</v>
      </c>
      <c r="Y13" s="1103"/>
      <c r="Z13" s="2094">
        <v>9030.7995370563094</v>
      </c>
      <c r="AA13" s="2094">
        <f>'Sockeye Returns Data'!C20</f>
        <v>8883</v>
      </c>
      <c r="AB13" s="2056">
        <f t="shared" si="2"/>
        <v>0.9836338370207599</v>
      </c>
      <c r="AC13" s="2056"/>
      <c r="AD13" s="2074">
        <v>5328.1717268632201</v>
      </c>
      <c r="AE13" s="2074">
        <f>'Sockeye Returns Data'!AD20</f>
        <v>5238</v>
      </c>
      <c r="AF13" s="2056">
        <f t="shared" si="3"/>
        <v>0.98307642255436356</v>
      </c>
      <c r="AG13" s="2074"/>
      <c r="AH13" s="2074">
        <v>5342.7449999999999</v>
      </c>
      <c r="AI13" s="2096"/>
      <c r="AJ13" s="2083">
        <v>5328.1717268632201</v>
      </c>
      <c r="AK13" s="2077">
        <f t="shared" si="0"/>
        <v>5238</v>
      </c>
      <c r="AL13" s="485">
        <f t="shared" si="1"/>
        <v>0.98307642255436356</v>
      </c>
    </row>
    <row r="14" spans="1:38" x14ac:dyDescent="0.3">
      <c r="A14" s="854">
        <v>13</v>
      </c>
      <c r="B14" s="2089">
        <v>1996</v>
      </c>
      <c r="C14" s="2074">
        <v>30232</v>
      </c>
      <c r="D14" s="2099" t="b">
        <f>C14='Sockeye Returns Data'!D21</f>
        <v>1</v>
      </c>
      <c r="E14" s="2074"/>
      <c r="F14" s="2074">
        <v>3</v>
      </c>
      <c r="G14" s="2099" t="b">
        <f>F14='Sockeye Returns Data'!F21</f>
        <v>1</v>
      </c>
      <c r="H14" s="2074"/>
      <c r="I14" s="1103">
        <v>0.74</v>
      </c>
      <c r="J14" s="2101" t="b">
        <f>I14='Sockeye Returns Data'!U21</f>
        <v>1</v>
      </c>
      <c r="K14" s="1103"/>
      <c r="L14" s="2074">
        <v>25</v>
      </c>
      <c r="M14" s="2099" t="b">
        <f>L14='Sockeye Returns Data'!AI21</f>
        <v>1</v>
      </c>
      <c r="N14" s="2074"/>
      <c r="O14" s="2113">
        <v>31316.091691260601</v>
      </c>
      <c r="P14" s="2056">
        <f>'Sockeye Returns Data'!E21/O14</f>
        <v>0.99868784100948116</v>
      </c>
      <c r="Q14" s="2074"/>
      <c r="R14" s="1103">
        <v>1</v>
      </c>
      <c r="S14" s="1103"/>
      <c r="T14" s="1103">
        <v>1</v>
      </c>
      <c r="U14" s="1103"/>
      <c r="V14" s="1103">
        <v>1</v>
      </c>
      <c r="W14" s="2106"/>
      <c r="X14" s="2101" t="b">
        <f>V14='Sockeye Returns Data'!BQ21</f>
        <v>1</v>
      </c>
      <c r="Y14" s="1103"/>
      <c r="Z14" s="2094">
        <v>31338.091691260601</v>
      </c>
      <c r="AA14" s="2094">
        <f>'Sockeye Returns Data'!C21</f>
        <v>31300</v>
      </c>
      <c r="AB14" s="2056">
        <f t="shared" si="2"/>
        <v>0.99878449231574551</v>
      </c>
      <c r="AC14" s="2056"/>
      <c r="AD14" s="2074">
        <v>23190.187851532799</v>
      </c>
      <c r="AE14" s="2074">
        <f>'Sockeye Returns Data'!AD21</f>
        <v>23160</v>
      </c>
      <c r="AF14" s="2056">
        <f t="shared" si="3"/>
        <v>0.99869824894364523</v>
      </c>
      <c r="AG14" s="2074"/>
      <c r="AH14" s="2074">
        <v>23229.34</v>
      </c>
      <c r="AI14" s="2096"/>
      <c r="AJ14" s="2083">
        <v>23190.187851532799</v>
      </c>
      <c r="AK14" s="2077">
        <f t="shared" si="0"/>
        <v>23160</v>
      </c>
      <c r="AL14" s="485">
        <f t="shared" si="1"/>
        <v>0.99869824894364523</v>
      </c>
    </row>
    <row r="15" spans="1:38" x14ac:dyDescent="0.3">
      <c r="A15" s="854">
        <v>14</v>
      </c>
      <c r="B15" s="2089">
        <v>1997</v>
      </c>
      <c r="C15" s="2074">
        <v>47008</v>
      </c>
      <c r="D15" s="2099" t="b">
        <f>C15='Sockeye Returns Data'!D22</f>
        <v>1</v>
      </c>
      <c r="E15" s="2074"/>
      <c r="F15" s="2074">
        <v>16</v>
      </c>
      <c r="G15" s="2099" t="b">
        <f>F15='Sockeye Returns Data'!F22</f>
        <v>1</v>
      </c>
      <c r="H15" s="2074"/>
      <c r="I15" s="1103">
        <v>0.74</v>
      </c>
      <c r="J15" s="2101" t="b">
        <f>I15='Sockeye Returns Data'!U22</f>
        <v>1</v>
      </c>
      <c r="K15" s="1103"/>
      <c r="L15" s="2074">
        <v>12</v>
      </c>
      <c r="M15" s="2099" t="b">
        <f>L15='Sockeye Returns Data'!AI22</f>
        <v>1</v>
      </c>
      <c r="N15" s="2074"/>
      <c r="O15" s="2113">
        <v>48810.385238077397</v>
      </c>
      <c r="P15" s="2056">
        <f>'Sockeye Returns Data'!E22/O15</f>
        <v>0.99939797160104216</v>
      </c>
      <c r="Q15" s="2074"/>
      <c r="R15" s="1103">
        <v>1</v>
      </c>
      <c r="S15" s="1103"/>
      <c r="T15" s="1103">
        <v>1</v>
      </c>
      <c r="U15" s="1103"/>
      <c r="V15" s="1103">
        <v>1</v>
      </c>
      <c r="W15" s="2106"/>
      <c r="X15" s="2101" t="b">
        <f>V15='Sockeye Returns Data'!BQ22</f>
        <v>1</v>
      </c>
      <c r="Y15" s="1103"/>
      <c r="Z15" s="2094">
        <v>48806.385238077397</v>
      </c>
      <c r="AA15" s="2094">
        <f>'Sockeye Returns Data'!C22</f>
        <v>48793</v>
      </c>
      <c r="AB15" s="2056">
        <f t="shared" si="2"/>
        <v>0.99972574821896554</v>
      </c>
      <c r="AC15" s="2056"/>
      <c r="AD15" s="2074">
        <v>36116.725076177303</v>
      </c>
      <c r="AE15" s="2074">
        <f>'Sockeye Returns Data'!AD22</f>
        <v>36095</v>
      </c>
      <c r="AF15" s="2056">
        <f t="shared" si="3"/>
        <v>0.99939847602097143</v>
      </c>
      <c r="AG15" s="2074"/>
      <c r="AH15" s="2074">
        <v>36163.06</v>
      </c>
      <c r="AI15" s="2096"/>
      <c r="AJ15" s="2083">
        <v>36116.725076177303</v>
      </c>
      <c r="AK15" s="2077">
        <f t="shared" si="0"/>
        <v>36095</v>
      </c>
      <c r="AL15" s="485">
        <f t="shared" si="1"/>
        <v>0.99939847602097143</v>
      </c>
    </row>
    <row r="16" spans="1:38" x14ac:dyDescent="0.3">
      <c r="A16" s="854">
        <v>15</v>
      </c>
      <c r="B16" s="2089">
        <v>1998</v>
      </c>
      <c r="C16" s="2074">
        <v>13218</v>
      </c>
      <c r="D16" s="2099" t="b">
        <f>C16='Sockeye Returns Data'!D23</f>
        <v>1</v>
      </c>
      <c r="E16" s="2074"/>
      <c r="F16" s="2074">
        <v>4</v>
      </c>
      <c r="G16" s="2099" t="b">
        <f>F16='Sockeye Returns Data'!F23</f>
        <v>1</v>
      </c>
      <c r="H16" s="2074"/>
      <c r="I16" s="1103">
        <v>0.56999999999999995</v>
      </c>
      <c r="J16" s="2101" t="b">
        <f>I16='Sockeye Returns Data'!U23</f>
        <v>1</v>
      </c>
      <c r="K16" s="1103"/>
      <c r="L16" s="2074">
        <v>2</v>
      </c>
      <c r="M16" s="2099" t="b">
        <f>L16='Sockeye Returns Data'!AI23</f>
        <v>1</v>
      </c>
      <c r="N16" s="2074"/>
      <c r="O16" s="2113">
        <v>13636.088409346101</v>
      </c>
      <c r="P16" s="2056">
        <f>'Sockeye Returns Data'!E23/O16</f>
        <v>0.99148667815423264</v>
      </c>
      <c r="Q16" s="2074"/>
      <c r="R16" s="1103">
        <v>1</v>
      </c>
      <c r="S16" s="1103"/>
      <c r="T16" s="1103">
        <v>1</v>
      </c>
      <c r="U16" s="1103"/>
      <c r="V16" s="1103">
        <v>1</v>
      </c>
      <c r="W16" s="2106"/>
      <c r="X16" s="2101" t="b">
        <f>V16='Sockeye Returns Data'!BQ23</f>
        <v>1</v>
      </c>
      <c r="Y16" s="1103"/>
      <c r="Z16" s="2094">
        <v>13634.088409346101</v>
      </c>
      <c r="AA16" s="2094">
        <f>'Sockeye Returns Data'!C23</f>
        <v>13522</v>
      </c>
      <c r="AB16" s="2056">
        <f t="shared" si="2"/>
        <v>0.99177881160949022</v>
      </c>
      <c r="AC16" s="2056"/>
      <c r="AD16" s="2074">
        <v>7771.4303933272804</v>
      </c>
      <c r="AE16" s="2074">
        <f>'Sockeye Returns Data'!AD23</f>
        <v>7705</v>
      </c>
      <c r="AF16" s="2056">
        <f t="shared" si="3"/>
        <v>0.99145197345081815</v>
      </c>
      <c r="AG16" s="2074"/>
      <c r="AH16" s="2074">
        <v>7788.48</v>
      </c>
      <c r="AI16" s="2096"/>
      <c r="AJ16" s="2083">
        <v>7771.4303933272804</v>
      </c>
      <c r="AK16" s="2077">
        <f t="shared" si="0"/>
        <v>7705</v>
      </c>
      <c r="AL16" s="485">
        <f t="shared" si="1"/>
        <v>0.99145197345081815</v>
      </c>
    </row>
    <row r="17" spans="1:39" x14ac:dyDescent="0.3">
      <c r="A17" s="854">
        <v>16</v>
      </c>
      <c r="B17" s="2089">
        <v>1999</v>
      </c>
      <c r="C17" s="2074">
        <v>17877</v>
      </c>
      <c r="D17" s="2099" t="b">
        <f>C17='Sockeye Returns Data'!D24</f>
        <v>1</v>
      </c>
      <c r="E17" s="2074"/>
      <c r="F17" s="2074">
        <v>15</v>
      </c>
      <c r="G17" s="2099" t="b">
        <f>F17='Sockeye Returns Data'!F24</f>
        <v>1</v>
      </c>
      <c r="H17" s="2074"/>
      <c r="I17" s="1103">
        <v>0.91</v>
      </c>
      <c r="J17" s="2101" t="b">
        <f>I17='Sockeye Returns Data'!U24</f>
        <v>1</v>
      </c>
      <c r="K17" s="1103"/>
      <c r="L17" s="2074">
        <v>1</v>
      </c>
      <c r="M17" s="2099" t="b">
        <f>L17='Sockeye Returns Data'!AI24</f>
        <v>1</v>
      </c>
      <c r="N17" s="2074"/>
      <c r="O17" s="2113">
        <v>18468.951201951</v>
      </c>
      <c r="P17" s="2056">
        <f>'Sockeye Returns Data'!E24/O17</f>
        <v>0.9952920335865193</v>
      </c>
      <c r="Q17" s="2074"/>
      <c r="R17" s="1103">
        <v>1</v>
      </c>
      <c r="S17" s="1103"/>
      <c r="T17" s="1103">
        <v>1</v>
      </c>
      <c r="U17" s="1103"/>
      <c r="V17" s="1103">
        <v>1</v>
      </c>
      <c r="W17" s="2106"/>
      <c r="X17" s="2101" t="b">
        <f>V17='Sockeye Returns Data'!BQ24</f>
        <v>1</v>
      </c>
      <c r="Y17" s="1103"/>
      <c r="Z17" s="2094">
        <v>18454.951201951</v>
      </c>
      <c r="AA17" s="2094">
        <f>'Sockeye Returns Data'!C24</f>
        <v>18383</v>
      </c>
      <c r="AB17" s="2056">
        <f t="shared" si="2"/>
        <v>0.99610125211583367</v>
      </c>
      <c r="AC17" s="2056"/>
      <c r="AD17" s="2074">
        <v>16794.0055937754</v>
      </c>
      <c r="AE17" s="2074">
        <f>'Sockeye Returns Data'!AD24</f>
        <v>16715</v>
      </c>
      <c r="AF17" s="2056">
        <f t="shared" si="3"/>
        <v>0.99529560751101076</v>
      </c>
      <c r="AG17" s="2074"/>
      <c r="AH17" s="2074">
        <v>16828.63</v>
      </c>
      <c r="AI17" s="2096"/>
      <c r="AJ17" s="2083">
        <v>16794.0055937754</v>
      </c>
      <c r="AK17" s="2077">
        <f t="shared" si="0"/>
        <v>16715</v>
      </c>
      <c r="AL17" s="485">
        <f t="shared" si="1"/>
        <v>0.99529560751101076</v>
      </c>
    </row>
    <row r="18" spans="1:39" x14ac:dyDescent="0.3">
      <c r="A18" s="854">
        <v>17</v>
      </c>
      <c r="B18" s="2089">
        <v>2000</v>
      </c>
      <c r="C18" s="2074">
        <v>93398</v>
      </c>
      <c r="D18" s="2099" t="b">
        <f>C18='Sockeye Returns Data'!D25</f>
        <v>1</v>
      </c>
      <c r="E18" s="2074"/>
      <c r="F18" s="2074">
        <v>365</v>
      </c>
      <c r="G18" s="2099" t="b">
        <f>F18='Sockeye Returns Data'!F25</f>
        <v>1</v>
      </c>
      <c r="H18" s="2074"/>
      <c r="I18" s="1103">
        <v>0.76</v>
      </c>
      <c r="J18" s="2101" t="b">
        <f>I18='Sockeye Returns Data'!U25</f>
        <v>1</v>
      </c>
      <c r="K18" s="1103"/>
      <c r="L18" s="2074">
        <v>366</v>
      </c>
      <c r="M18" s="2099" t="b">
        <f>L18='Sockeye Returns Data'!AI25</f>
        <v>1</v>
      </c>
      <c r="N18" s="2074"/>
      <c r="O18" s="2113">
        <v>97372.088378922504</v>
      </c>
      <c r="P18" s="2056">
        <f>'Sockeye Returns Data'!E25/O18</f>
        <v>0.9981402434523351</v>
      </c>
      <c r="Q18" s="2074"/>
      <c r="R18" s="1103">
        <v>1</v>
      </c>
      <c r="S18" s="1103"/>
      <c r="T18" s="1103">
        <v>1</v>
      </c>
      <c r="U18" s="1103"/>
      <c r="V18" s="1103">
        <v>1</v>
      </c>
      <c r="W18" s="2106">
        <f>'Spawning Ground Ratios'!O5</f>
        <v>1</v>
      </c>
      <c r="X18" s="2101" t="b">
        <f>V18='Sockeye Returns Data'!BQ25</f>
        <v>1</v>
      </c>
      <c r="Y18" s="1103"/>
      <c r="Z18" s="2094">
        <v>97373.088378922504</v>
      </c>
      <c r="AA18" s="2094">
        <f>'Sockeye Returns Data'!C25</f>
        <v>97557</v>
      </c>
      <c r="AB18" s="2056">
        <f t="shared" si="2"/>
        <v>1.0018887315185261</v>
      </c>
      <c r="AC18" s="2056"/>
      <c r="AD18" s="2074">
        <v>74003.547167981102</v>
      </c>
      <c r="AE18" s="2074">
        <f>'Sockeye Returns Data'!AD25</f>
        <v>73866</v>
      </c>
      <c r="AF18" s="2056">
        <f t="shared" si="3"/>
        <v>0.99814134358088424</v>
      </c>
      <c r="AG18" s="2074"/>
      <c r="AH18" s="2074">
        <v>74020.960000000006</v>
      </c>
      <c r="AI18" s="2096"/>
      <c r="AJ18" s="2083">
        <v>74003.547167981102</v>
      </c>
      <c r="AK18" s="2077">
        <f t="shared" si="0"/>
        <v>73866</v>
      </c>
      <c r="AL18" s="485">
        <f t="shared" si="1"/>
        <v>0.99814134358088424</v>
      </c>
    </row>
    <row r="19" spans="1:39" x14ac:dyDescent="0.3">
      <c r="A19" s="854">
        <v>18</v>
      </c>
      <c r="B19" s="2089">
        <v>2001</v>
      </c>
      <c r="C19" s="2074">
        <v>114934</v>
      </c>
      <c r="D19" s="2099" t="b">
        <f>C19='Sockeye Returns Data'!D26</f>
        <v>1</v>
      </c>
      <c r="E19" s="2074"/>
      <c r="F19" s="2074">
        <v>41</v>
      </c>
      <c r="G19" s="2099" t="b">
        <f>F19='Sockeye Returns Data'!F26</f>
        <v>1</v>
      </c>
      <c r="H19" s="2074"/>
      <c r="I19" s="1103">
        <v>0.69</v>
      </c>
      <c r="J19" s="2101" t="b">
        <f>I19='Sockeye Returns Data'!U26</f>
        <v>1</v>
      </c>
      <c r="K19" s="1103"/>
      <c r="L19" s="2074">
        <v>1691</v>
      </c>
      <c r="M19" s="2099" t="b">
        <f>L19='Sockeye Returns Data'!AI26</f>
        <v>1</v>
      </c>
      <c r="N19" s="2074"/>
      <c r="O19" s="2113">
        <v>119980.798705005</v>
      </c>
      <c r="P19" s="2056">
        <f>'Sockeye Returns Data'!E26/O19</f>
        <v>0.99735958829725824</v>
      </c>
      <c r="Q19" s="2074"/>
      <c r="R19" s="1103">
        <v>1</v>
      </c>
      <c r="S19" s="1103"/>
      <c r="T19" s="1103">
        <v>1</v>
      </c>
      <c r="U19" s="1103"/>
      <c r="V19" s="1103">
        <v>1</v>
      </c>
      <c r="W19" s="2106">
        <f>'Spawning Ground Ratios'!O6</f>
        <v>1</v>
      </c>
      <c r="X19" s="2101" t="b">
        <f>V19='Sockeye Returns Data'!BQ26</f>
        <v>1</v>
      </c>
      <c r="Y19" s="1103"/>
      <c r="Z19" s="2094">
        <v>121630.798705005</v>
      </c>
      <c r="AA19" s="2094">
        <f>'Sockeye Returns Data'!C26</f>
        <v>121355</v>
      </c>
      <c r="AB19" s="2056">
        <f t="shared" si="2"/>
        <v>0.99773249285590981</v>
      </c>
      <c r="AC19" s="2056"/>
      <c r="AD19" s="2074">
        <v>83925.251106453099</v>
      </c>
      <c r="AE19" s="2074">
        <f>'Sockeye Returns Data'!AD26</f>
        <v>83707</v>
      </c>
      <c r="AF19" s="2056">
        <f t="shared" si="3"/>
        <v>0.99739945840404742</v>
      </c>
      <c r="AG19" s="2074"/>
      <c r="AH19" s="2074">
        <v>83927.115000000005</v>
      </c>
      <c r="AI19" s="2096"/>
      <c r="AJ19" s="2083">
        <v>83925.251106453099</v>
      </c>
      <c r="AK19" s="2077">
        <f t="shared" si="0"/>
        <v>83707</v>
      </c>
      <c r="AL19" s="485">
        <f t="shared" si="1"/>
        <v>0.99739945840404742</v>
      </c>
    </row>
    <row r="20" spans="1:39" x14ac:dyDescent="0.3">
      <c r="A20" s="854">
        <v>19</v>
      </c>
      <c r="B20" s="2089">
        <v>2002</v>
      </c>
      <c r="C20" s="2074">
        <v>49610</v>
      </c>
      <c r="D20" s="2099" t="b">
        <f>C20='Sockeye Returns Data'!D27</f>
        <v>1</v>
      </c>
      <c r="E20" s="2074"/>
      <c r="F20" s="2074">
        <v>64</v>
      </c>
      <c r="G20" s="2099" t="b">
        <f>F20='Sockeye Returns Data'!F27</f>
        <v>1</v>
      </c>
      <c r="H20" s="2074"/>
      <c r="I20" s="1103">
        <v>0.28000000000000003</v>
      </c>
      <c r="J20" s="2101" t="b">
        <f>I20='Sockeye Returns Data'!U27</f>
        <v>1</v>
      </c>
      <c r="K20" s="1103"/>
      <c r="L20" s="2074">
        <v>24</v>
      </c>
      <c r="M20" s="2099" t="b">
        <f>L20='Sockeye Returns Data'!AI27</f>
        <v>0</v>
      </c>
      <c r="N20" s="2074"/>
      <c r="O20" s="2113">
        <v>51527.758284746902</v>
      </c>
      <c r="P20" s="2056">
        <f>'Sockeye Returns Data'!E27/O20</f>
        <v>0.99938366647795152</v>
      </c>
      <c r="Q20" s="2074"/>
      <c r="R20" s="1103">
        <v>1</v>
      </c>
      <c r="S20" s="1103"/>
      <c r="T20" s="1103">
        <v>1</v>
      </c>
      <c r="U20" s="1103"/>
      <c r="V20" s="1103">
        <v>1</v>
      </c>
      <c r="W20" s="2106">
        <f>'Spawning Ground Ratios'!O7</f>
        <v>1</v>
      </c>
      <c r="X20" s="2101" t="b">
        <f>V20='Sockeye Returns Data'!BQ27</f>
        <v>1</v>
      </c>
      <c r="Y20" s="1103"/>
      <c r="Z20" s="2094">
        <v>51487.758284746902</v>
      </c>
      <c r="AA20" s="2094">
        <f>'Sockeye Returns Data'!C27</f>
        <v>51515</v>
      </c>
      <c r="AB20" s="2056">
        <f t="shared" si="2"/>
        <v>1.0005290911113753</v>
      </c>
      <c r="AC20" s="2056"/>
      <c r="AD20" s="2074">
        <v>14416.572319729101</v>
      </c>
      <c r="AE20" s="2074">
        <f>'Sockeye Returns Data'!AD27</f>
        <v>14406</v>
      </c>
      <c r="AF20" s="2056">
        <f t="shared" si="3"/>
        <v>0.99926665510395751</v>
      </c>
      <c r="AG20" s="2074"/>
      <c r="AH20" s="2074">
        <v>14432.6</v>
      </c>
      <c r="AI20" s="2096"/>
      <c r="AJ20" s="2083">
        <v>14416.572319729101</v>
      </c>
      <c r="AK20" s="2077">
        <f t="shared" si="0"/>
        <v>14406</v>
      </c>
      <c r="AL20" s="485">
        <f t="shared" si="1"/>
        <v>0.99926665510395751</v>
      </c>
    </row>
    <row r="21" spans="1:39" x14ac:dyDescent="0.3">
      <c r="A21" s="854">
        <v>20</v>
      </c>
      <c r="B21" s="2089">
        <v>2003</v>
      </c>
      <c r="C21" s="2074">
        <v>39291</v>
      </c>
      <c r="D21" s="2099" t="b">
        <f>C21='Sockeye Returns Data'!D28</f>
        <v>1</v>
      </c>
      <c r="E21" s="2074"/>
      <c r="F21" s="2074">
        <v>40</v>
      </c>
      <c r="G21" s="2099" t="b">
        <f>F21='Sockeye Returns Data'!F28</f>
        <v>1</v>
      </c>
      <c r="H21" s="2074"/>
      <c r="I21" s="1103">
        <v>0.86</v>
      </c>
      <c r="J21" s="2101" t="b">
        <f>I21='Sockeye Returns Data'!U28</f>
        <v>1</v>
      </c>
      <c r="K21" s="1103"/>
      <c r="L21" s="2074">
        <v>0</v>
      </c>
      <c r="M21" s="2099" t="b">
        <f>L21='Sockeye Returns Data'!AI28</f>
        <v>1</v>
      </c>
      <c r="N21" s="2074"/>
      <c r="O21" s="2113">
        <v>40757.076835585998</v>
      </c>
      <c r="P21" s="2056">
        <f>'Sockeye Returns Data'!E28/O21</f>
        <v>0.99928658191795028</v>
      </c>
      <c r="Q21" s="2074"/>
      <c r="R21" s="1103">
        <v>1</v>
      </c>
      <c r="S21" s="1103"/>
      <c r="T21" s="1103">
        <v>1</v>
      </c>
      <c r="U21" s="1103"/>
      <c r="V21" s="1103">
        <v>1</v>
      </c>
      <c r="W21" s="2106">
        <f>'Spawning Ground Ratios'!O8</f>
        <v>1</v>
      </c>
      <c r="X21" s="2101" t="b">
        <f>V21='Sockeye Returns Data'!BQ28</f>
        <v>1</v>
      </c>
      <c r="Y21" s="1103"/>
      <c r="Z21" s="2094">
        <v>40717.076835585998</v>
      </c>
      <c r="AA21" s="2094">
        <f>'Sockeye Returns Data'!C28</f>
        <v>40728</v>
      </c>
      <c r="AB21" s="2056">
        <f t="shared" si="2"/>
        <v>1.0002682698578316</v>
      </c>
      <c r="AC21" s="2056"/>
      <c r="AD21" s="2074">
        <v>35016.686078603903</v>
      </c>
      <c r="AE21" s="2074">
        <f>'Sockeye Returns Data'!AD28</f>
        <v>34992</v>
      </c>
      <c r="AF21" s="2056">
        <f t="shared" si="3"/>
        <v>0.99929501956443023</v>
      </c>
      <c r="AG21" s="2074"/>
      <c r="AH21" s="2074">
        <v>35067.360000000001</v>
      </c>
      <c r="AI21" s="2096"/>
      <c r="AJ21" s="2083">
        <v>35016.686078603903</v>
      </c>
      <c r="AK21" s="2077">
        <f t="shared" si="0"/>
        <v>34992</v>
      </c>
      <c r="AL21" s="485">
        <f t="shared" si="1"/>
        <v>0.99929501956443023</v>
      </c>
    </row>
    <row r="22" spans="1:39" x14ac:dyDescent="0.3">
      <c r="A22" s="854">
        <v>21</v>
      </c>
      <c r="B22" s="2089">
        <v>2004</v>
      </c>
      <c r="C22" s="2074">
        <v>123291</v>
      </c>
      <c r="D22" s="2099" t="b">
        <f>C22='Sockeye Returns Data'!D29</f>
        <v>1</v>
      </c>
      <c r="E22" s="2074"/>
      <c r="F22" s="2074">
        <v>118</v>
      </c>
      <c r="G22" s="2099" t="b">
        <f>F22='Sockeye Returns Data'!F29</f>
        <v>1</v>
      </c>
      <c r="H22" s="2074"/>
      <c r="I22" s="1103">
        <v>0.71</v>
      </c>
      <c r="J22" s="2101" t="b">
        <f>I22='Sockeye Returns Data'!U29</f>
        <v>1</v>
      </c>
      <c r="K22" s="1103"/>
      <c r="L22" s="2074">
        <v>682</v>
      </c>
      <c r="M22" s="2099" t="b">
        <f>L22='Sockeye Returns Data'!AI29</f>
        <v>0</v>
      </c>
      <c r="N22" s="2074"/>
      <c r="O22" s="2113">
        <v>128762.700311505</v>
      </c>
      <c r="P22" s="2056">
        <f>'Sockeye Returns Data'!E29/O22</f>
        <v>0.99706669469814424</v>
      </c>
      <c r="Q22" s="2074"/>
      <c r="R22" s="1103">
        <v>1</v>
      </c>
      <c r="S22" s="1103"/>
      <c r="T22" s="1103">
        <v>1</v>
      </c>
      <c r="U22" s="1103"/>
      <c r="V22" s="1103">
        <v>1</v>
      </c>
      <c r="W22" s="2106">
        <f>'Spawning Ground Ratios'!O9</f>
        <v>1</v>
      </c>
      <c r="X22" s="2101" t="b">
        <f>V22='Sockeye Returns Data'!BQ29</f>
        <v>1</v>
      </c>
      <c r="Y22" s="1103"/>
      <c r="Z22" s="2094">
        <v>129326.700311505</v>
      </c>
      <c r="AA22" s="2094">
        <f>'Sockeye Returns Data'!C29</f>
        <v>129057</v>
      </c>
      <c r="AB22" s="2056">
        <f t="shared" si="2"/>
        <v>0.99791458135980127</v>
      </c>
      <c r="AC22" s="2056"/>
      <c r="AD22" s="2074">
        <v>91821.957221168603</v>
      </c>
      <c r="AE22" s="2074">
        <f>'Sockeye Returns Data'!AD29</f>
        <v>91547</v>
      </c>
      <c r="AF22" s="2056">
        <f t="shared" si="3"/>
        <v>0.99700553953008952</v>
      </c>
      <c r="AG22" s="2074"/>
      <c r="AH22" s="2074">
        <v>91815.78</v>
      </c>
      <c r="AI22" s="2096"/>
      <c r="AJ22" s="2083">
        <v>91821.957221168603</v>
      </c>
      <c r="AK22" s="2077">
        <f t="shared" si="0"/>
        <v>91547</v>
      </c>
      <c r="AL22" s="485">
        <f t="shared" si="1"/>
        <v>0.99700553953008952</v>
      </c>
    </row>
    <row r="23" spans="1:39" x14ac:dyDescent="0.3">
      <c r="A23" s="854">
        <v>22</v>
      </c>
      <c r="B23" s="2089">
        <v>2005</v>
      </c>
      <c r="C23" s="2074">
        <v>72971</v>
      </c>
      <c r="D23" s="2099" t="b">
        <f>C23='Sockeye Returns Data'!D30</f>
        <v>1</v>
      </c>
      <c r="E23" s="2074"/>
      <c r="F23" s="2074">
        <v>19</v>
      </c>
      <c r="G23" s="2099" t="b">
        <f>F23='Sockeye Returns Data'!F30</f>
        <v>1</v>
      </c>
      <c r="H23" s="2074"/>
      <c r="I23" s="1103">
        <v>0.78</v>
      </c>
      <c r="J23" s="2101" t="b">
        <f>I23='Sockeye Returns Data'!U30</f>
        <v>1</v>
      </c>
      <c r="K23" s="1103"/>
      <c r="L23" s="2074">
        <v>4</v>
      </c>
      <c r="M23" s="2099" t="b">
        <f>L23='Sockeye Returns Data'!AI30</f>
        <v>1</v>
      </c>
      <c r="N23" s="2074"/>
      <c r="O23" s="2113">
        <v>75961.836584107499</v>
      </c>
      <c r="P23" s="2056">
        <f>'Sockeye Returns Data'!E30/O23</f>
        <v>0.99884367482334047</v>
      </c>
      <c r="Q23" s="2074"/>
      <c r="R23" s="1103">
        <v>1</v>
      </c>
      <c r="S23" s="1103"/>
      <c r="T23" s="1103">
        <v>1</v>
      </c>
      <c r="U23" s="1103"/>
      <c r="V23" s="1103">
        <v>1</v>
      </c>
      <c r="W23" s="2106">
        <f>'Spawning Ground Ratios'!O10</f>
        <v>1</v>
      </c>
      <c r="X23" s="2101" t="b">
        <f>V23='Sockeye Returns Data'!BQ30</f>
        <v>1</v>
      </c>
      <c r="Y23" s="1103"/>
      <c r="Z23" s="2094">
        <v>75946.836584107499</v>
      </c>
      <c r="AA23" s="2094">
        <f>'Sockeye Returns Data'!C30</f>
        <v>75878</v>
      </c>
      <c r="AB23" s="2056">
        <f t="shared" si="2"/>
        <v>0.9990936214435836</v>
      </c>
      <c r="AC23" s="2056"/>
      <c r="AD23" s="2074">
        <v>59238.532535603903</v>
      </c>
      <c r="AE23" s="2074">
        <f>'Sockeye Returns Data'!AD30</f>
        <v>59170</v>
      </c>
      <c r="AF23" s="2056">
        <f t="shared" si="3"/>
        <v>0.99884310882342142</v>
      </c>
      <c r="AG23" s="2074"/>
      <c r="AH23" s="2074">
        <v>59281.56</v>
      </c>
      <c r="AI23" s="2096"/>
      <c r="AJ23" s="2083">
        <v>59238.532535603903</v>
      </c>
      <c r="AK23" s="2077">
        <f t="shared" si="0"/>
        <v>59170</v>
      </c>
      <c r="AL23" s="485">
        <f t="shared" si="1"/>
        <v>0.99884310882342142</v>
      </c>
    </row>
    <row r="24" spans="1:39" x14ac:dyDescent="0.3">
      <c r="A24" s="854">
        <v>23</v>
      </c>
      <c r="B24" s="2089">
        <v>2006</v>
      </c>
      <c r="C24" s="2074">
        <v>37066</v>
      </c>
      <c r="D24" s="2099" t="b">
        <f>C24='Sockeye Returns Data'!D31</f>
        <v>1</v>
      </c>
      <c r="E24" s="2074"/>
      <c r="F24" s="2074">
        <v>51</v>
      </c>
      <c r="G24" s="2099" t="b">
        <f>F24='Sockeye Returns Data'!F31</f>
        <v>1</v>
      </c>
      <c r="H24" s="2074"/>
      <c r="I24" s="1103">
        <v>0.72</v>
      </c>
      <c r="J24" s="2101" t="b">
        <f>I24='Sockeye Returns Data'!U31</f>
        <v>1</v>
      </c>
      <c r="K24" s="1103"/>
      <c r="L24" s="2074">
        <v>1</v>
      </c>
      <c r="M24" s="2099" t="b">
        <f>L24='Sockeye Returns Data'!AI31</f>
        <v>1</v>
      </c>
      <c r="N24" s="2074"/>
      <c r="O24" s="2113">
        <v>38436.879800805</v>
      </c>
      <c r="P24" s="2056">
        <f>'Sockeye Returns Data'!E31/O24</f>
        <v>0.99919661010558003</v>
      </c>
      <c r="Q24" s="2074"/>
      <c r="R24" s="1103">
        <v>1</v>
      </c>
      <c r="S24" s="1103"/>
      <c r="T24" s="1103">
        <v>1</v>
      </c>
      <c r="U24" s="1103"/>
      <c r="V24" s="1103">
        <v>1</v>
      </c>
      <c r="W24" s="2106">
        <f>'Spawning Ground Ratios'!O11</f>
        <v>1</v>
      </c>
      <c r="X24" s="2101" t="b">
        <f>V24='Sockeye Returns Data'!BQ31</f>
        <v>1</v>
      </c>
      <c r="Y24" s="1103"/>
      <c r="Z24" s="2094">
        <v>38386.879800805</v>
      </c>
      <c r="AA24" s="2094">
        <f>'Sockeye Returns Data'!C31</f>
        <v>38407</v>
      </c>
      <c r="AB24" s="2056">
        <f t="shared" si="2"/>
        <v>1.0005241426054789</v>
      </c>
      <c r="AC24" s="2056"/>
      <c r="AD24" s="2074">
        <v>27638.553456579601</v>
      </c>
      <c r="AE24" s="2074">
        <f>'Sockeye Returns Data'!AD31</f>
        <v>27616</v>
      </c>
      <c r="AF24" s="2056">
        <f t="shared" si="3"/>
        <v>0.99918398563748889</v>
      </c>
      <c r="AG24" s="2074"/>
      <c r="AH24" s="2074">
        <v>27678.240000000002</v>
      </c>
      <c r="AI24" s="2096"/>
      <c r="AJ24" s="2083">
        <v>27638.553456579601</v>
      </c>
      <c r="AK24" s="2077">
        <f t="shared" si="0"/>
        <v>27616</v>
      </c>
      <c r="AL24" s="485">
        <f t="shared" si="1"/>
        <v>0.99918398563748889</v>
      </c>
    </row>
    <row r="25" spans="1:39" x14ac:dyDescent="0.3">
      <c r="A25" s="854">
        <v>24</v>
      </c>
      <c r="B25" s="2089">
        <v>2007</v>
      </c>
      <c r="C25" s="2074">
        <v>24376</v>
      </c>
      <c r="D25" s="2099" t="b">
        <f>C25='Sockeye Returns Data'!D32</f>
        <v>1</v>
      </c>
      <c r="E25" s="2074"/>
      <c r="F25" s="2074">
        <v>58</v>
      </c>
      <c r="G25" s="2099" t="b">
        <f>F25='Sockeye Returns Data'!F32</f>
        <v>1</v>
      </c>
      <c r="H25" s="2074"/>
      <c r="I25" s="1103">
        <v>0.89</v>
      </c>
      <c r="J25" s="2101" t="b">
        <f>I25='Sockeye Returns Data'!U32</f>
        <v>1</v>
      </c>
      <c r="K25" s="1103"/>
      <c r="L25" s="2074">
        <v>0</v>
      </c>
      <c r="M25" s="2099" t="b">
        <f>L25='Sockeye Returns Data'!AI32</f>
        <v>1</v>
      </c>
      <c r="N25" s="2074"/>
      <c r="O25" s="2113">
        <v>25222.017517742901</v>
      </c>
      <c r="P25" s="2056">
        <f>'Sockeye Returns Data'!E32/O25</f>
        <v>0.99769972732347489</v>
      </c>
      <c r="Q25" s="2074"/>
      <c r="R25" s="1103">
        <v>1</v>
      </c>
      <c r="S25" s="1103"/>
      <c r="T25" s="1103">
        <v>0.87969924812030098</v>
      </c>
      <c r="U25" s="1103"/>
      <c r="V25" s="2107">
        <v>0.87969924812030098</v>
      </c>
      <c r="W25" s="2108">
        <f>'Spawning Ground Ratios'!O12</f>
        <v>0.8799851742031134</v>
      </c>
      <c r="X25" s="2101" t="b">
        <f>ROUND(V25,2)=ROUND('Spawning Ground Ratios'!O12,2)</f>
        <v>1</v>
      </c>
      <c r="Y25" s="1103"/>
      <c r="Z25" s="2094">
        <v>25164.017517742901</v>
      </c>
      <c r="AA25" s="2094">
        <f>'Sockeye Returns Data'!C32</f>
        <v>25164</v>
      </c>
      <c r="AB25" s="2056">
        <f t="shared" si="2"/>
        <v>0.99999930385746683</v>
      </c>
      <c r="AC25" s="2056"/>
      <c r="AD25" s="2074">
        <v>22395.9755907912</v>
      </c>
      <c r="AE25" s="2074">
        <f>'Sockeye Returns Data'!AD32</f>
        <v>22344</v>
      </c>
      <c r="AF25" s="2056">
        <f t="shared" si="3"/>
        <v>0.99767924417578968</v>
      </c>
      <c r="AG25" s="2074"/>
      <c r="AH25" s="2074">
        <v>22432.45</v>
      </c>
      <c r="AI25" s="2096"/>
      <c r="AJ25" s="2083">
        <v>17331.590811370901</v>
      </c>
      <c r="AK25" s="2077">
        <f t="shared" si="0"/>
        <v>19662.388732394367</v>
      </c>
      <c r="AL25" s="485">
        <f t="shared" si="1"/>
        <v>1.134482630382335</v>
      </c>
    </row>
    <row r="26" spans="1:39" x14ac:dyDescent="0.3">
      <c r="A26" s="854">
        <v>25</v>
      </c>
      <c r="B26" s="2089">
        <v>2008</v>
      </c>
      <c r="C26" s="2074">
        <v>213607</v>
      </c>
      <c r="D26" s="2099" t="b">
        <f>C26='Sockeye Returns Data'!D33</f>
        <v>1</v>
      </c>
      <c r="E26" s="2074"/>
      <c r="F26" s="2074">
        <v>890</v>
      </c>
      <c r="G26" s="2099" t="b">
        <f>F26='Sockeye Returns Data'!F33</f>
        <v>1</v>
      </c>
      <c r="H26" s="2074"/>
      <c r="I26" s="1103">
        <v>0.85</v>
      </c>
      <c r="J26" s="2101" t="b">
        <f>I26='Sockeye Returns Data'!U33</f>
        <v>1</v>
      </c>
      <c r="K26" s="1103"/>
      <c r="L26" s="2074">
        <v>974</v>
      </c>
      <c r="M26" s="2099" t="b">
        <f>L26='Sockeye Returns Data'!AI33</f>
        <v>0</v>
      </c>
      <c r="N26" s="2074"/>
      <c r="O26" s="2113">
        <v>223911.06664547499</v>
      </c>
      <c r="P26" s="2056">
        <f>'Sockeye Returns Data'!E33/O26</f>
        <v>1.0027418624890796</v>
      </c>
      <c r="Q26" s="2074"/>
      <c r="R26" s="1103">
        <v>1</v>
      </c>
      <c r="S26" s="1103"/>
      <c r="T26" s="1103">
        <v>0.93667334669338698</v>
      </c>
      <c r="U26" s="1103"/>
      <c r="V26" s="2107">
        <v>0.93667334669338698</v>
      </c>
      <c r="W26" s="2108">
        <f>'Spawning Ground Ratios'!O13</f>
        <v>0.93700185867750374</v>
      </c>
      <c r="X26" s="2101" t="b">
        <f>ROUND(V26,2)=ROUND('Spawning Ground Ratios'!O13,2)</f>
        <v>1</v>
      </c>
      <c r="Y26" s="1103"/>
      <c r="Z26" s="2094">
        <v>223995.06664547499</v>
      </c>
      <c r="AA26" s="2094">
        <f>'Sockeye Returns Data'!C33</f>
        <v>225383</v>
      </c>
      <c r="AB26" s="2056">
        <f t="shared" si="2"/>
        <v>1.0061962675129883</v>
      </c>
      <c r="AC26" s="2056"/>
      <c r="AD26" s="2074">
        <v>190395.806648653</v>
      </c>
      <c r="AE26" s="2074">
        <f>'Sockeye Returns Data'!AD33</f>
        <v>190819</v>
      </c>
      <c r="AF26" s="2056">
        <f t="shared" si="3"/>
        <v>1.0022227031088344</v>
      </c>
      <c r="AG26" s="2074"/>
      <c r="AH26" s="2074">
        <v>190192.6</v>
      </c>
      <c r="AI26" s="2096"/>
      <c r="AJ26" s="2083">
        <v>167045.08581447901</v>
      </c>
      <c r="AK26" s="2077">
        <f t="shared" si="0"/>
        <v>178797.7576709826</v>
      </c>
      <c r="AL26" s="485">
        <f t="shared" si="1"/>
        <v>1.0703562861439464</v>
      </c>
    </row>
    <row r="27" spans="1:39" x14ac:dyDescent="0.3">
      <c r="A27" s="854">
        <v>26</v>
      </c>
      <c r="B27" s="2089">
        <v>2009</v>
      </c>
      <c r="C27" s="2074">
        <v>177823</v>
      </c>
      <c r="D27" s="2099" t="b">
        <f>C27='Sockeye Returns Data'!D34</f>
        <v>1</v>
      </c>
      <c r="E27" s="2074"/>
      <c r="F27" s="2074">
        <v>1414</v>
      </c>
      <c r="G27" s="2099" t="b">
        <f>F27='Sockeye Returns Data'!F34</f>
        <v>1</v>
      </c>
      <c r="H27" s="2074"/>
      <c r="I27" s="1103">
        <v>0.83</v>
      </c>
      <c r="J27" s="2101" t="b">
        <f>I27='Sockeye Returns Data'!U34</f>
        <v>1</v>
      </c>
      <c r="K27" s="1103"/>
      <c r="L27" s="2074">
        <v>1188</v>
      </c>
      <c r="M27" s="2099" t="b">
        <f>L27='Sockeye Returns Data'!AI34</f>
        <v>0</v>
      </c>
      <c r="N27" s="2074"/>
      <c r="O27" s="2113">
        <v>186165.64294292699</v>
      </c>
      <c r="P27" s="2056">
        <f>'Sockeye Returns Data'!E34/O27</f>
        <v>1.0017154457290001</v>
      </c>
      <c r="Q27" s="2074"/>
      <c r="R27" s="1103">
        <v>1</v>
      </c>
      <c r="S27" s="1103"/>
      <c r="T27" s="1103">
        <v>0.88888888888888895</v>
      </c>
      <c r="U27" s="1103"/>
      <c r="V27" s="2107">
        <v>0.88888888888888895</v>
      </c>
      <c r="W27" s="2108">
        <f>'Spawning Ground Ratios'!O14</f>
        <v>0.86583986010903269</v>
      </c>
      <c r="X27" s="2073" t="b">
        <f>ROUND(V27,2)=ROUND('Spawning Ground Ratios'!O14,2)</f>
        <v>0</v>
      </c>
      <c r="Y27" s="1103"/>
      <c r="Z27" s="2094">
        <v>185939.64294292699</v>
      </c>
      <c r="AA27" s="2094">
        <f>'Sockeye Returns Data'!C34</f>
        <v>187614</v>
      </c>
      <c r="AB27" s="2056">
        <f t="shared" si="2"/>
        <v>1.009004841735589</v>
      </c>
      <c r="AC27" s="2056"/>
      <c r="AD27" s="2074">
        <v>154329.90364262901</v>
      </c>
      <c r="AE27" s="2074">
        <f>'Sockeye Returns Data'!AD34</f>
        <v>154546</v>
      </c>
      <c r="AF27" s="2056">
        <f t="shared" si="3"/>
        <v>1.0014002234970054</v>
      </c>
      <c r="AG27" s="2074"/>
      <c r="AH27" s="2074">
        <v>154237.655</v>
      </c>
      <c r="AI27" s="2096"/>
      <c r="AJ27" s="2083">
        <v>130688.413988596</v>
      </c>
      <c r="AK27" s="2077">
        <f t="shared" si="0"/>
        <v>133812.08702041057</v>
      </c>
      <c r="AL27" s="485">
        <f t="shared" si="1"/>
        <v>1.023901682914961</v>
      </c>
    </row>
    <row r="28" spans="1:39" x14ac:dyDescent="0.3">
      <c r="A28" s="854">
        <v>27</v>
      </c>
      <c r="B28" s="2089">
        <v>2010</v>
      </c>
      <c r="C28" s="2074">
        <v>386525</v>
      </c>
      <c r="D28" s="2099" t="b">
        <f>C28='Sockeye Returns Data'!D35</f>
        <v>1</v>
      </c>
      <c r="E28" s="2074"/>
      <c r="F28" s="2074">
        <v>1861</v>
      </c>
      <c r="G28" s="2099" t="b">
        <f>F28='Sockeye Returns Data'!F35</f>
        <v>1</v>
      </c>
      <c r="H28" s="2074"/>
      <c r="I28" s="1103">
        <v>0.87</v>
      </c>
      <c r="J28" s="2101" t="b">
        <f>I28='Sockeye Returns Data'!U35</f>
        <v>1</v>
      </c>
      <c r="K28" s="1103"/>
      <c r="L28" s="2074">
        <v>468</v>
      </c>
      <c r="M28" s="2099" t="b">
        <f>L28='Sockeye Returns Data'!AI35</f>
        <v>0</v>
      </c>
      <c r="N28" s="2074"/>
      <c r="O28" s="2113">
        <v>406925.289298255</v>
      </c>
      <c r="P28" s="2056">
        <f>'Sockeye Returns Data'!E35/O28</f>
        <v>1.0034913305688005</v>
      </c>
      <c r="Q28" s="2074"/>
      <c r="R28" s="1103">
        <v>1</v>
      </c>
      <c r="S28" s="1103"/>
      <c r="T28" s="1103">
        <v>0.96875</v>
      </c>
      <c r="U28" s="1103"/>
      <c r="V28" s="2107">
        <v>0.96875</v>
      </c>
      <c r="W28" s="2108">
        <f>'Spawning Ground Ratios'!O15</f>
        <v>0.95749171088362228</v>
      </c>
      <c r="X28" s="2073" t="b">
        <f>ROUND(V28,2)=ROUND('Spawning Ground Ratios'!O15,2)</f>
        <v>0</v>
      </c>
      <c r="Y28" s="1103"/>
      <c r="Z28" s="2094">
        <v>405532.289298255</v>
      </c>
      <c r="AA28" s="2094">
        <f>'Sockeye Returns Data'!C35</f>
        <v>409950</v>
      </c>
      <c r="AB28" s="2056">
        <f t="shared" si="2"/>
        <v>1.0108936102459056</v>
      </c>
      <c r="AC28" s="2056"/>
      <c r="AD28" s="2074">
        <v>352813.09168948198</v>
      </c>
      <c r="AE28" s="2074">
        <f>'Sockeye Returns Data'!AD35</f>
        <v>355037</v>
      </c>
      <c r="AF28" s="2056">
        <f t="shared" si="3"/>
        <v>1.0063033610795693</v>
      </c>
      <c r="AG28" s="2074"/>
      <c r="AH28" s="2074">
        <v>352136.85</v>
      </c>
      <c r="AI28" s="2096"/>
      <c r="AJ28" s="2083">
        <v>354862.55106310302</v>
      </c>
      <c r="AK28" s="2077">
        <f t="shared" si="0"/>
        <v>339944.98455698858</v>
      </c>
      <c r="AL28" s="485">
        <f t="shared" si="1"/>
        <v>0.95796240977971847</v>
      </c>
    </row>
    <row r="29" spans="1:39" x14ac:dyDescent="0.3">
      <c r="A29" s="854">
        <v>28</v>
      </c>
      <c r="B29" s="2089">
        <v>2011</v>
      </c>
      <c r="C29" s="2074">
        <v>185796</v>
      </c>
      <c r="D29" s="2099" t="b">
        <f>C29='Sockeye Returns Data'!D36</f>
        <v>1</v>
      </c>
      <c r="E29" s="2074"/>
      <c r="F29" s="2074">
        <v>1561</v>
      </c>
      <c r="G29" s="2099" t="b">
        <f>F29='Sockeye Returns Data'!F36</f>
        <v>1</v>
      </c>
      <c r="H29" s="2074"/>
      <c r="I29" s="1103">
        <v>0.88</v>
      </c>
      <c r="J29" s="2101" t="b">
        <f>I29='Sockeye Returns Data'!U36</f>
        <v>1</v>
      </c>
      <c r="K29" s="1103"/>
      <c r="L29" s="2074">
        <v>1873</v>
      </c>
      <c r="M29" s="2099" t="b">
        <f>L29='Sockeye Returns Data'!AI36</f>
        <v>0</v>
      </c>
      <c r="N29" s="2074"/>
      <c r="O29" s="2113">
        <v>194570.881109195</v>
      </c>
      <c r="P29" s="2056">
        <f>'Sockeye Returns Data'!E36/O29</f>
        <v>1.0019998824520233</v>
      </c>
      <c r="Q29" s="2074"/>
      <c r="R29" s="1103">
        <v>0.83704072769470605</v>
      </c>
      <c r="S29" s="1103"/>
      <c r="T29" s="1103">
        <v>0.83704072769470605</v>
      </c>
      <c r="U29" s="1103"/>
      <c r="V29" s="2107">
        <v>0.95912263210368898</v>
      </c>
      <c r="W29" s="2110" t="s">
        <v>779</v>
      </c>
      <c r="Y29" s="1103"/>
      <c r="Z29" s="2094">
        <v>194882.881109195</v>
      </c>
      <c r="AA29" s="2094">
        <f>'Sockeye Returns Data'!C36</f>
        <v>196529</v>
      </c>
      <c r="AB29" s="2056">
        <f t="shared" si="2"/>
        <v>1.0084467085124971</v>
      </c>
      <c r="AC29" s="2056"/>
      <c r="AD29" s="2074">
        <v>171496.93537609201</v>
      </c>
      <c r="AE29" s="2074">
        <f>'Sockeye Returns Data'!AD36</f>
        <v>171572</v>
      </c>
      <c r="AF29" s="2056">
        <f t="shared" si="3"/>
        <v>1.000437702421582</v>
      </c>
      <c r="AG29" s="2074"/>
      <c r="AH29" s="2074">
        <v>143458.66927488201</v>
      </c>
      <c r="AI29" s="2096"/>
      <c r="AJ29" s="2091">
        <v>147560.16762397299</v>
      </c>
      <c r="AK29" s="2087" t="s">
        <v>247</v>
      </c>
      <c r="AL29" s="485"/>
      <c r="AM29" s="1068" t="s">
        <v>780</v>
      </c>
    </row>
    <row r="30" spans="1:39" x14ac:dyDescent="0.3">
      <c r="A30" s="854">
        <v>29</v>
      </c>
      <c r="B30" s="2089">
        <v>2012</v>
      </c>
      <c r="C30" s="2074">
        <v>515673</v>
      </c>
      <c r="D30" s="2099" t="b">
        <f>C30='Sockeye Returns Data'!D37</f>
        <v>1</v>
      </c>
      <c r="E30" s="2074"/>
      <c r="F30" s="2074">
        <v>512</v>
      </c>
      <c r="G30" s="2099" t="b">
        <f>F30='Sockeye Returns Data'!F37</f>
        <v>1</v>
      </c>
      <c r="H30" s="2074"/>
      <c r="I30" s="1103">
        <v>0.84</v>
      </c>
      <c r="J30" s="2101" t="b">
        <f>I30='Sockeye Returns Data'!U37</f>
        <v>1</v>
      </c>
      <c r="K30" s="1103"/>
      <c r="L30" s="2074">
        <v>5491</v>
      </c>
      <c r="M30" s="2099" t="b">
        <f>L30='Sockeye Returns Data'!AI37</f>
        <v>0</v>
      </c>
      <c r="N30" s="2074"/>
      <c r="O30" s="2113">
        <v>544105.97289835406</v>
      </c>
      <c r="P30" s="2056">
        <f>'Sockeye Returns Data'!E37/O30</f>
        <v>1.0028138399096971</v>
      </c>
      <c r="Q30" s="2074"/>
      <c r="R30" s="1103">
        <v>0.895353622800658</v>
      </c>
      <c r="S30" s="1103"/>
      <c r="T30" s="1103">
        <v>0.895353622800658</v>
      </c>
      <c r="U30" s="1103"/>
      <c r="V30" s="2107">
        <v>0.98016336056009301</v>
      </c>
      <c r="W30" s="2108">
        <f>'Spawning Ground Ratios'!O17</f>
        <v>0.89566814837377096</v>
      </c>
      <c r="X30" s="2073" t="b">
        <f>ROUND(V30,2)=ROUND('Spawning Ground Ratios'!O17,2)</f>
        <v>0</v>
      </c>
      <c r="Y30" s="1103"/>
      <c r="Z30" s="2094">
        <v>549084.97289835406</v>
      </c>
      <c r="AA30" s="2094">
        <f>'Sockeye Returns Data'!C37</f>
        <v>550232</v>
      </c>
      <c r="AB30" s="2056">
        <f t="shared" si="2"/>
        <v>1.0020889792259136</v>
      </c>
      <c r="AC30" s="2056"/>
      <c r="AD30" s="2074">
        <v>461231.37723461702</v>
      </c>
      <c r="AE30" s="2074">
        <f>'Sockeye Returns Data'!AD37</f>
        <v>461765</v>
      </c>
      <c r="AF30" s="2056">
        <f t="shared" si="3"/>
        <v>1.0011569524358521</v>
      </c>
      <c r="AG30" s="2074"/>
      <c r="AH30" s="2074">
        <v>411930.31940804102</v>
      </c>
      <c r="AI30" s="2096"/>
      <c r="AJ30" s="2083">
        <v>433814.38720645901</v>
      </c>
      <c r="AK30" s="2077">
        <f t="shared" ref="AK30:AK39" si="4">VLOOKUP(B30,SockeyeReturnsData,75)</f>
        <v>401558.28786681773</v>
      </c>
      <c r="AL30" s="485">
        <f t="shared" ref="AL30:AL39" si="5">AK30/AJ30</f>
        <v>0.92564539053821171</v>
      </c>
    </row>
    <row r="31" spans="1:39" x14ac:dyDescent="0.3">
      <c r="A31" s="854">
        <v>30</v>
      </c>
      <c r="B31" s="2089">
        <v>2013</v>
      </c>
      <c r="C31" s="2074">
        <v>185505</v>
      </c>
      <c r="D31" s="2099" t="b">
        <f>C31='Sockeye Returns Data'!D38</f>
        <v>1</v>
      </c>
      <c r="E31" s="2074"/>
      <c r="F31" s="2074">
        <v>1011</v>
      </c>
      <c r="G31" s="2099" t="b">
        <f>F31='Sockeye Returns Data'!F38</f>
        <v>1</v>
      </c>
      <c r="H31" s="2074"/>
      <c r="I31" s="1103">
        <v>0.82</v>
      </c>
      <c r="J31" s="2101" t="b">
        <f>I31='Sockeye Returns Data'!U38</f>
        <v>1</v>
      </c>
      <c r="K31" s="1103"/>
      <c r="L31" s="2074">
        <v>718</v>
      </c>
      <c r="M31" s="2099" t="b">
        <f>L31='Sockeye Returns Data'!AI38</f>
        <v>0</v>
      </c>
      <c r="N31" s="2074"/>
      <c r="O31" s="2113">
        <v>194264.05493490101</v>
      </c>
      <c r="P31" s="2056">
        <f>'Sockeye Returns Data'!E38/O31</f>
        <v>1.0019918510669854</v>
      </c>
      <c r="Q31" s="2074"/>
      <c r="R31" s="1103">
        <v>0.80138980738915599</v>
      </c>
      <c r="S31" s="1103"/>
      <c r="T31" s="1103">
        <v>0.80138980738915599</v>
      </c>
      <c r="U31" s="1103"/>
      <c r="V31" s="2107">
        <v>0.85714285714285698</v>
      </c>
      <c r="W31" s="2108">
        <f>'Spawning Ground Ratios'!O18</f>
        <v>0.73704050678087085</v>
      </c>
      <c r="X31" s="2073" t="b">
        <f>ROUND(V31,2)=ROUND('Spawning Ground Ratios'!O18,2)</f>
        <v>0</v>
      </c>
      <c r="Y31" s="1103"/>
      <c r="Z31" s="2094">
        <v>193971.05493490101</v>
      </c>
      <c r="AA31" s="2094">
        <f>'Sockeye Returns Data'!C38</f>
        <v>195327</v>
      </c>
      <c r="AB31" s="2056">
        <f t="shared" si="2"/>
        <v>1.0069904505368292</v>
      </c>
      <c r="AC31" s="2056"/>
      <c r="AD31" s="2074">
        <v>159056.265046619</v>
      </c>
      <c r="AE31" s="2074">
        <f>'Sockeye Returns Data'!AD38</f>
        <v>159339</v>
      </c>
      <c r="AF31" s="2056">
        <f t="shared" si="3"/>
        <v>1.00177757822553</v>
      </c>
      <c r="AG31" s="2074"/>
      <c r="AH31" s="2074">
        <v>127387.83389244199</v>
      </c>
      <c r="AI31" s="2096"/>
      <c r="AJ31" s="2083">
        <v>117095.40481248101</v>
      </c>
      <c r="AK31" s="2077">
        <f t="shared" si="4"/>
        <v>104583.98942719486</v>
      </c>
      <c r="AL31" s="485">
        <f t="shared" si="5"/>
        <v>0.89315195241587675</v>
      </c>
    </row>
    <row r="32" spans="1:39" x14ac:dyDescent="0.3">
      <c r="A32" s="854">
        <v>31</v>
      </c>
      <c r="B32" s="2089">
        <v>2014</v>
      </c>
      <c r="C32" s="2074">
        <v>614179</v>
      </c>
      <c r="D32" s="2099" t="b">
        <f>C32='Sockeye Returns Data'!D39</f>
        <v>1</v>
      </c>
      <c r="E32" s="2074"/>
      <c r="F32" s="2074">
        <v>2523</v>
      </c>
      <c r="G32" s="2099" t="b">
        <f>F32='Sockeye Returns Data'!F39</f>
        <v>1</v>
      </c>
      <c r="H32" s="2074"/>
      <c r="I32" s="1103">
        <v>0.83</v>
      </c>
      <c r="J32" s="2101" t="b">
        <f>I32='Sockeye Returns Data'!U39</f>
        <v>1</v>
      </c>
      <c r="K32" s="1103"/>
      <c r="L32" s="2074">
        <v>1738</v>
      </c>
      <c r="M32" s="2099" t="b">
        <f>L32='Sockeye Returns Data'!AI39</f>
        <v>0</v>
      </c>
      <c r="N32" s="2074"/>
      <c r="O32" s="2113">
        <v>648953.27165020595</v>
      </c>
      <c r="P32" s="2056">
        <f>'Sockeye Returns Data'!E39/O32</f>
        <v>1.0021584425427614</v>
      </c>
      <c r="Q32" s="2074"/>
      <c r="R32" s="1103">
        <v>0.74679789985359801</v>
      </c>
      <c r="S32" s="1103"/>
      <c r="T32" s="1103">
        <v>0.74679789985359801</v>
      </c>
      <c r="U32" s="1103"/>
      <c r="V32" s="2107">
        <v>0.973941368078176</v>
      </c>
      <c r="W32" s="2108">
        <f>'Spawning Ground Ratios'!O19</f>
        <v>0.87683437585353352</v>
      </c>
      <c r="X32" s="2073" t="b">
        <f>ROUND(V32,2)=ROUND('Spawning Ground Ratios'!O19,2)</f>
        <v>0</v>
      </c>
      <c r="Y32" s="1103"/>
      <c r="Z32" s="2094">
        <v>648168.27165020595</v>
      </c>
      <c r="AA32" s="2094">
        <f>'Sockeye Returns Data'!C39</f>
        <v>651702</v>
      </c>
      <c r="AB32" s="2056">
        <f t="shared" si="2"/>
        <v>1.0054518687574714</v>
      </c>
      <c r="AC32" s="2056"/>
      <c r="AD32" s="2074">
        <v>537979.66546967102</v>
      </c>
      <c r="AE32" s="2074">
        <f>'Sockeye Returns Data'!AD39</f>
        <v>538819</v>
      </c>
      <c r="AF32" s="2056">
        <f t="shared" si="3"/>
        <v>1.0015601603261273</v>
      </c>
      <c r="AG32" s="2074"/>
      <c r="AH32" s="2074">
        <v>400614.89786006103</v>
      </c>
      <c r="AI32" s="2096"/>
      <c r="AJ32" s="2083">
        <v>419366.57111160498</v>
      </c>
      <c r="AK32" s="2077">
        <f t="shared" si="4"/>
        <v>391663.6338020282</v>
      </c>
      <c r="AL32" s="485">
        <f t="shared" si="5"/>
        <v>0.93394099764283722</v>
      </c>
    </row>
    <row r="33" spans="1:39" x14ac:dyDescent="0.3">
      <c r="A33" s="854">
        <v>32</v>
      </c>
      <c r="B33" s="2089">
        <v>2015</v>
      </c>
      <c r="C33" s="2074">
        <v>510706</v>
      </c>
      <c r="D33" s="2099" t="b">
        <f>C33='Sockeye Returns Data'!D40</f>
        <v>1</v>
      </c>
      <c r="E33" s="2074"/>
      <c r="F33" s="2074">
        <v>1749</v>
      </c>
      <c r="G33" s="2099" t="b">
        <f>F33='Sockeye Returns Data'!F40</f>
        <v>1</v>
      </c>
      <c r="H33" s="2074"/>
      <c r="I33" s="1103">
        <v>0.81</v>
      </c>
      <c r="J33" s="2101" t="b">
        <f>I33='Sockeye Returns Data'!U40</f>
        <v>1</v>
      </c>
      <c r="K33" s="1103"/>
      <c r="L33" s="2074">
        <v>1547</v>
      </c>
      <c r="M33" s="2099" t="b">
        <f>L33='Sockeye Returns Data'!AI40</f>
        <v>0</v>
      </c>
      <c r="N33" s="2074"/>
      <c r="O33" s="2113">
        <v>538823.79663660296</v>
      </c>
      <c r="P33" s="2056">
        <f>'Sockeye Returns Data'!E40/O33</f>
        <v>1.0028454633462134</v>
      </c>
      <c r="Q33" s="2074"/>
      <c r="R33" s="1103">
        <v>0.42020197109598001</v>
      </c>
      <c r="S33" s="1103"/>
      <c r="T33" s="1103">
        <v>0.42020197109598001</v>
      </c>
      <c r="U33" s="1103"/>
      <c r="V33" s="2107">
        <v>0.98412698412698396</v>
      </c>
      <c r="W33" s="2108">
        <f>'Spawning Ground Ratios'!O20</f>
        <v>0.99315840309079206</v>
      </c>
      <c r="X33" s="2073" t="b">
        <f>ROUND(V33,2)=ROUND('Spawning Ground Ratios'!O20,2)</f>
        <v>0</v>
      </c>
      <c r="Y33" s="1103"/>
      <c r="Z33" s="2094">
        <v>538621.79663660296</v>
      </c>
      <c r="AA33" s="2094">
        <f>'Sockeye Returns Data'!C40</f>
        <v>542103</v>
      </c>
      <c r="AB33" s="2056">
        <f t="shared" si="2"/>
        <v>1.0064631683773944</v>
      </c>
      <c r="AC33" s="2056"/>
      <c r="AD33" s="2074">
        <v>436283.65527564799</v>
      </c>
      <c r="AE33" s="2074">
        <f>'Sockeye Returns Data'!AD40</f>
        <v>437687</v>
      </c>
      <c r="AF33" s="2056">
        <f t="shared" si="3"/>
        <v>1.0032165878950137</v>
      </c>
      <c r="AG33" s="2074"/>
      <c r="AH33" s="2074">
        <v>182864.76699352101</v>
      </c>
      <c r="AI33" s="2096"/>
      <c r="AJ33" s="2083">
        <v>193361.59318704001</v>
      </c>
      <c r="AK33" s="2077">
        <f t="shared" si="4"/>
        <v>180919.31652446877</v>
      </c>
      <c r="AL33" s="485">
        <f t="shared" si="5"/>
        <v>0.93565280230942383</v>
      </c>
    </row>
    <row r="34" spans="1:39" x14ac:dyDescent="0.3">
      <c r="A34" s="854">
        <v>33</v>
      </c>
      <c r="B34" s="2089">
        <v>2016</v>
      </c>
      <c r="C34" s="2074">
        <v>342498</v>
      </c>
      <c r="D34" s="2099" t="b">
        <f>C34='Sockeye Returns Data'!D41</f>
        <v>1</v>
      </c>
      <c r="E34" s="2074"/>
      <c r="F34" s="2074">
        <v>946</v>
      </c>
      <c r="G34" s="2099" t="b">
        <f>F34='Sockeye Returns Data'!F41</f>
        <v>1</v>
      </c>
      <c r="H34" s="2074"/>
      <c r="I34" s="1103">
        <v>0.76</v>
      </c>
      <c r="J34" s="2101" t="b">
        <f>I34='Sockeye Returns Data'!U41</f>
        <v>1</v>
      </c>
      <c r="K34" s="1103"/>
      <c r="L34" s="2074">
        <v>1197</v>
      </c>
      <c r="M34" s="2099" t="b">
        <f>L34='Sockeye Returns Data'!AI41</f>
        <v>0</v>
      </c>
      <c r="N34" s="2074"/>
      <c r="O34" s="2113">
        <v>360246.06088978198</v>
      </c>
      <c r="P34" s="2056">
        <f>'Sockeye Returns Data'!E41/O34</f>
        <v>1.0036001479294865</v>
      </c>
      <c r="Q34" s="2074"/>
      <c r="R34" s="1103">
        <v>0.59840946041958198</v>
      </c>
      <c r="S34" s="1103"/>
      <c r="T34" s="1103">
        <v>0.59840946041958198</v>
      </c>
      <c r="U34" s="1103"/>
      <c r="V34" s="2107">
        <v>0.99285714285714299</v>
      </c>
      <c r="W34" s="2108">
        <f>'Spawning Ground Ratios'!O21</f>
        <v>0.98742640175264951</v>
      </c>
      <c r="X34" s="2101" t="b">
        <f>ROUND(V34,2)=ROUND('Spawning Ground Ratios'!O21,2)</f>
        <v>1</v>
      </c>
      <c r="Y34" s="1103"/>
      <c r="Z34" s="2094">
        <v>360497.06088978198</v>
      </c>
      <c r="AA34" s="2094">
        <f>'Sockeye Returns Data'!C41</f>
        <v>363350</v>
      </c>
      <c r="AB34" s="2056">
        <f t="shared" si="2"/>
        <v>1.0079139039391234</v>
      </c>
      <c r="AC34" s="2056"/>
      <c r="AD34" s="2074">
        <v>273977.766276234</v>
      </c>
      <c r="AE34" s="2074">
        <f>'Sockeye Returns Data'!AD41</f>
        <v>275427</v>
      </c>
      <c r="AF34" s="2056">
        <f t="shared" si="3"/>
        <v>1.0052896033990759</v>
      </c>
      <c r="AG34" s="2074"/>
      <c r="AH34" s="2074">
        <v>163658.428857069</v>
      </c>
      <c r="AI34" s="2096"/>
      <c r="AJ34" s="2083">
        <v>174458.68044748899</v>
      </c>
      <c r="AK34" s="2077">
        <f t="shared" si="4"/>
        <v>162368.05036650912</v>
      </c>
      <c r="AL34" s="485">
        <f t="shared" si="5"/>
        <v>0.93069631129865693</v>
      </c>
    </row>
    <row r="35" spans="1:39" x14ac:dyDescent="0.3">
      <c r="A35" s="854">
        <v>34</v>
      </c>
      <c r="B35" s="2089">
        <v>2017</v>
      </c>
      <c r="C35" s="2074">
        <v>87693</v>
      </c>
      <c r="D35" s="2099" t="b">
        <f>C35='Sockeye Returns Data'!D42</f>
        <v>1</v>
      </c>
      <c r="E35" s="2074"/>
      <c r="F35" s="2074">
        <v>444</v>
      </c>
      <c r="G35" s="2099" t="b">
        <f>F35='Sockeye Returns Data'!F42</f>
        <v>1</v>
      </c>
      <c r="H35" s="2074"/>
      <c r="I35" s="1103">
        <v>0.64</v>
      </c>
      <c r="J35" s="2101" t="b">
        <f>I35='Sockeye Returns Data'!U42</f>
        <v>1</v>
      </c>
      <c r="K35" s="1103"/>
      <c r="L35" s="2074">
        <v>429</v>
      </c>
      <c r="M35" s="2099" t="b">
        <f>L35='Sockeye Returns Data'!AI42</f>
        <v>0</v>
      </c>
      <c r="N35" s="2074"/>
      <c r="O35" s="2113">
        <v>91388.839852790406</v>
      </c>
      <c r="P35" s="2056">
        <f>'Sockeye Returns Data'!E42/O35</f>
        <v>0.99215615545678115</v>
      </c>
      <c r="Q35" s="2074"/>
      <c r="R35" s="1103">
        <v>0.27041660593750599</v>
      </c>
      <c r="S35" s="1103"/>
      <c r="T35" s="1103">
        <v>0.27041660593750599</v>
      </c>
      <c r="U35" s="1103"/>
      <c r="V35" s="2107">
        <v>1</v>
      </c>
      <c r="W35" s="2108">
        <f>'Spawning Ground Ratios'!O22</f>
        <v>0.99768779910738292</v>
      </c>
      <c r="X35" s="2101" t="b">
        <f>ROUND(V35,2)=ROUND('Spawning Ground Ratios'!O22,2)</f>
        <v>1</v>
      </c>
      <c r="Y35" s="1103"/>
      <c r="Z35" s="2094">
        <v>91373.839852790406</v>
      </c>
      <c r="AA35" s="2094">
        <f>'Sockeye Returns Data'!C42</f>
        <v>91242</v>
      </c>
      <c r="AB35" s="2056">
        <f t="shared" si="2"/>
        <v>0.99855713787444189</v>
      </c>
      <c r="AC35" s="2056"/>
      <c r="AD35" s="2074">
        <v>58479.257505785899</v>
      </c>
      <c r="AE35" s="2074">
        <f>'Sockeye Returns Data'!AD42</f>
        <v>58111</v>
      </c>
      <c r="AF35" s="2056">
        <f t="shared" si="3"/>
        <v>0.99370276707515537</v>
      </c>
      <c r="AG35" s="2074"/>
      <c r="AH35" s="2074">
        <v>15819.241647373299</v>
      </c>
      <c r="AI35" s="2096"/>
      <c r="AJ35" s="2083">
        <v>16948.343394676402</v>
      </c>
      <c r="AK35" s="2077">
        <f t="shared" si="4"/>
        <v>15714.374307684035</v>
      </c>
      <c r="AL35" s="485">
        <f t="shared" si="5"/>
        <v>0.92719234805096262</v>
      </c>
    </row>
    <row r="36" spans="1:39" x14ac:dyDescent="0.3">
      <c r="A36" s="854">
        <v>35</v>
      </c>
      <c r="B36" s="2089">
        <v>2018</v>
      </c>
      <c r="C36" s="2074">
        <v>193816</v>
      </c>
      <c r="D36" s="2099" t="b">
        <f>C36='Sockeye Returns Data'!D43</f>
        <v>1</v>
      </c>
      <c r="E36" s="2074"/>
      <c r="F36" s="2074">
        <v>297</v>
      </c>
      <c r="G36" s="2099" t="b">
        <f>F36='Sockeye Returns Data'!F43</f>
        <v>1</v>
      </c>
      <c r="H36" s="2074"/>
      <c r="I36" s="1103">
        <v>0.92</v>
      </c>
      <c r="J36" s="2101" t="b">
        <f>I36='Sockeye Returns Data'!U43</f>
        <v>1</v>
      </c>
      <c r="K36" s="1103"/>
      <c r="L36" s="2074">
        <v>112</v>
      </c>
      <c r="M36" s="2099" t="b">
        <f>L36='Sockeye Returns Data'!AI43</f>
        <v>0</v>
      </c>
      <c r="N36" s="2074"/>
      <c r="O36" s="2113">
        <v>203028.515396762</v>
      </c>
      <c r="P36" s="2056">
        <f>'Sockeye Returns Data'!E43/O36</f>
        <v>1.0022533022139475</v>
      </c>
      <c r="Q36" s="2074"/>
      <c r="R36" s="1103">
        <v>0.42617970886998102</v>
      </c>
      <c r="S36" s="1103"/>
      <c r="T36" s="1103">
        <v>0.42617970886998102</v>
      </c>
      <c r="U36" s="1103"/>
      <c r="V36" s="2107">
        <v>0.99295774647887303</v>
      </c>
      <c r="W36" s="2108">
        <f>'Spawning Ground Ratios'!O23</f>
        <v>0.93224835397451578</v>
      </c>
      <c r="X36" s="2073" t="b">
        <f>ROUND(V36,2)=ROUND('Spawning Ground Ratios'!O23,2)</f>
        <v>0</v>
      </c>
      <c r="Y36" s="1103"/>
      <c r="Z36" s="2094">
        <v>202843.515396762</v>
      </c>
      <c r="AA36" s="2094">
        <f>'Sockeye Returns Data'!C43</f>
        <v>203637</v>
      </c>
      <c r="AB36" s="2056">
        <f t="shared" si="2"/>
        <v>1.0039118066046426</v>
      </c>
      <c r="AC36" s="2056"/>
      <c r="AD36" s="2074">
        <v>186616.034165021</v>
      </c>
      <c r="AE36" s="2074">
        <f>'Sockeye Returns Data'!AD43</f>
        <v>187073</v>
      </c>
      <c r="AF36" s="2056">
        <f t="shared" si="3"/>
        <v>1.0024486954565486</v>
      </c>
      <c r="AG36" s="2074"/>
      <c r="AH36" s="2074">
        <v>79463.7382262787</v>
      </c>
      <c r="AI36" s="2096"/>
      <c r="AJ36" s="2083">
        <v>84637.833848854702</v>
      </c>
      <c r="AK36" s="2077">
        <f t="shared" si="4"/>
        <v>78967.627382958686</v>
      </c>
      <c r="AL36" s="485">
        <f t="shared" si="5"/>
        <v>0.93300624309429037</v>
      </c>
    </row>
    <row r="37" spans="1:39" x14ac:dyDescent="0.3">
      <c r="A37" s="854">
        <v>36</v>
      </c>
      <c r="B37" s="2089">
        <v>2019</v>
      </c>
      <c r="C37" s="2074">
        <v>63046</v>
      </c>
      <c r="D37" s="2099" t="b">
        <f>C37='Sockeye Returns Data'!D44</f>
        <v>1</v>
      </c>
      <c r="E37" s="2074"/>
      <c r="F37" s="2074">
        <v>335</v>
      </c>
      <c r="G37" s="2099" t="b">
        <f>F37='Sockeye Returns Data'!F44</f>
        <v>1</v>
      </c>
      <c r="H37" s="2074"/>
      <c r="I37" s="1103">
        <v>0.85</v>
      </c>
      <c r="J37" s="2101" t="b">
        <f>I37='Sockeye Returns Data'!U44</f>
        <v>1</v>
      </c>
      <c r="K37" s="1103"/>
      <c r="L37" s="2074">
        <v>41</v>
      </c>
      <c r="M37" s="2099" t="b">
        <f>L37='Sockeye Returns Data'!AI44</f>
        <v>1</v>
      </c>
      <c r="N37" s="2074"/>
      <c r="O37" s="2113">
        <v>65573.375100236197</v>
      </c>
      <c r="P37" s="2056">
        <f>'Sockeye Returns Data'!E44/O37</f>
        <v>0.98317342826185838</v>
      </c>
      <c r="Q37" s="2074"/>
      <c r="R37" s="1103">
        <v>0.560312962103515</v>
      </c>
      <c r="S37" s="1103"/>
      <c r="T37" s="1103">
        <v>0.560312962103515</v>
      </c>
      <c r="U37" s="1103"/>
      <c r="V37" s="2107">
        <v>0.97801974977409001</v>
      </c>
      <c r="W37" s="2110" t="s">
        <v>779</v>
      </c>
      <c r="Y37" s="1103"/>
      <c r="Z37" s="2094">
        <v>65279.375100236197</v>
      </c>
      <c r="AA37" s="2094">
        <f>'Sockeye Returns Data'!C44</f>
        <v>64511</v>
      </c>
      <c r="AB37" s="2056">
        <f t="shared" si="2"/>
        <v>0.9882294354218869</v>
      </c>
      <c r="AC37" s="2056"/>
      <c r="AD37" s="2074">
        <v>55487.4688352007</v>
      </c>
      <c r="AE37" s="2074">
        <f>'Sockeye Returns Data'!AD44</f>
        <v>54550</v>
      </c>
      <c r="AF37" s="2056">
        <f t="shared" si="3"/>
        <v>0.98310485493607558</v>
      </c>
      <c r="AG37" s="2074"/>
      <c r="AH37" s="2074">
        <v>31118.0309372226</v>
      </c>
      <c r="AI37" s="2096"/>
      <c r="AJ37" s="2091">
        <v>32577.913271308</v>
      </c>
      <c r="AK37" s="2077">
        <f t="shared" si="4"/>
        <v>27808.12446155211</v>
      </c>
      <c r="AL37" s="485">
        <f t="shared" si="5"/>
        <v>0.85358826484578021</v>
      </c>
      <c r="AM37" s="1068" t="s">
        <v>781</v>
      </c>
    </row>
    <row r="38" spans="1:39" x14ac:dyDescent="0.3">
      <c r="A38" s="854">
        <v>37</v>
      </c>
      <c r="B38" s="2089">
        <v>2020</v>
      </c>
      <c r="C38" s="2074">
        <v>341739</v>
      </c>
      <c r="D38" s="2099" t="b">
        <f>C38='Sockeye Returns Data'!D45</f>
        <v>1</v>
      </c>
      <c r="E38" s="2074"/>
      <c r="F38" s="2074">
        <v>750</v>
      </c>
      <c r="G38" s="2099" t="b">
        <f>F38='Sockeye Returns Data'!F45</f>
        <v>1</v>
      </c>
      <c r="H38" s="2074"/>
      <c r="I38" s="1103">
        <v>0.85</v>
      </c>
      <c r="J38" s="2101" t="b">
        <f>I38='Sockeye Returns Data'!U45</f>
        <v>1</v>
      </c>
      <c r="K38" s="1103"/>
      <c r="L38" s="2074">
        <v>3357</v>
      </c>
      <c r="M38" s="2099" t="b">
        <f>L38='Sockeye Returns Data'!AI45</f>
        <v>0</v>
      </c>
      <c r="N38" s="2074"/>
      <c r="O38" s="2113">
        <v>359441.77203993202</v>
      </c>
      <c r="P38" s="2056">
        <f>'Sockeye Returns Data'!E45/O38</f>
        <v>1.0036006609713803</v>
      </c>
      <c r="Q38" s="2074"/>
      <c r="R38" s="1103">
        <v>0.54597116033047199</v>
      </c>
      <c r="S38" s="1103"/>
      <c r="T38" s="1103">
        <v>0.54597116033047199</v>
      </c>
      <c r="U38" s="1103"/>
      <c r="V38" s="2107">
        <v>0.97450424929178503</v>
      </c>
      <c r="W38" s="2108">
        <f>'Spawning Ground Ratios'!O25</f>
        <v>0.79110630302340146</v>
      </c>
      <c r="X38" s="2073" t="b">
        <f>ROUND(V38,2)=ROUND('Spawning Ground Ratios'!O25,2)</f>
        <v>0</v>
      </c>
      <c r="Y38" s="1103"/>
      <c r="Z38" s="2094">
        <v>362048.77203993202</v>
      </c>
      <c r="AA38" s="2094">
        <f>'Sockeye Returns Data'!C45</f>
        <v>364015</v>
      </c>
      <c r="AB38" s="2056">
        <f t="shared" si="2"/>
        <v>1.0054308372570619</v>
      </c>
      <c r="AC38" s="2056"/>
      <c r="AD38" s="2074">
        <v>307741.45623394201</v>
      </c>
      <c r="AE38" s="2074">
        <f>'Sockeye Returns Data'!AD45</f>
        <v>308775</v>
      </c>
      <c r="AF38" s="2056">
        <f t="shared" si="3"/>
        <v>1.0033584807802829</v>
      </c>
      <c r="AG38" s="2074"/>
      <c r="AH38" s="2074">
        <v>167730.106893277</v>
      </c>
      <c r="AI38" s="2096"/>
      <c r="AJ38" s="2083">
        <v>175481.56210652</v>
      </c>
      <c r="AK38" s="2077">
        <f t="shared" si="4"/>
        <v>159970.04156710723</v>
      </c>
      <c r="AL38" s="485">
        <f t="shared" si="5"/>
        <v>0.91160598097481582</v>
      </c>
    </row>
    <row r="39" spans="1:39" ht="15" thickBot="1" x14ac:dyDescent="0.35">
      <c r="A39" s="943">
        <v>38</v>
      </c>
      <c r="B39" s="2090">
        <v>2021</v>
      </c>
      <c r="C39" s="2084">
        <v>151765</v>
      </c>
      <c r="D39" s="2100" t="b">
        <f>C39='Sockeye Returns Data'!D46</f>
        <v>1</v>
      </c>
      <c r="E39" s="2084"/>
      <c r="F39" s="2084">
        <v>953</v>
      </c>
      <c r="G39" s="2100" t="b">
        <f>F39='Sockeye Returns Data'!F46</f>
        <v>0</v>
      </c>
      <c r="H39" s="2084"/>
      <c r="I39" s="2085">
        <v>0.72</v>
      </c>
      <c r="J39" s="2102" t="b">
        <f>I39='Sockeye Returns Data'!U46</f>
        <v>1</v>
      </c>
      <c r="K39" s="2085"/>
      <c r="L39" s="2084">
        <v>550</v>
      </c>
      <c r="M39" s="2100" t="b">
        <f>L39='Sockeye Returns Data'!AI46</f>
        <v>0</v>
      </c>
      <c r="N39" s="2084"/>
      <c r="O39" s="2114">
        <v>158716.03832660601</v>
      </c>
      <c r="P39" s="2056">
        <f>'Sockeye Returns Data'!E46/O39</f>
        <v>1.000421896073642</v>
      </c>
      <c r="Q39" s="2084"/>
      <c r="R39" s="2085">
        <v>0.54716528701599298</v>
      </c>
      <c r="S39" s="2085"/>
      <c r="T39" s="2085">
        <v>0.54716528701599298</v>
      </c>
      <c r="U39" s="2085"/>
      <c r="V39" s="2109">
        <v>0.93491124260354996</v>
      </c>
      <c r="W39" s="2108">
        <f>'Spawning Ground Ratios'!O26</f>
        <v>0.88307964970809005</v>
      </c>
      <c r="X39" s="2073" t="b">
        <f>ROUND(V39,2)=ROUND('Spawning Ground Ratios'!O26,2)</f>
        <v>0</v>
      </c>
      <c r="Y39" s="2085"/>
      <c r="Z39" s="2095">
        <v>158313.03832660601</v>
      </c>
      <c r="AA39" s="2095">
        <f>'Sockeye Returns Data'!C46</f>
        <v>159340</v>
      </c>
      <c r="AB39" s="2056">
        <f t="shared" si="2"/>
        <v>1.0064869052116563</v>
      </c>
      <c r="AC39" s="2098"/>
      <c r="AD39" s="2084">
        <v>113985.387595156</v>
      </c>
      <c r="AE39" s="2074">
        <f>'Sockeye Returns Data'!AD46</f>
        <v>114039</v>
      </c>
      <c r="AF39" s="2056">
        <f t="shared" si="3"/>
        <v>1.0004703445413057</v>
      </c>
      <c r="AG39" s="2084"/>
      <c r="AH39" s="2084">
        <v>62337.315499489101</v>
      </c>
      <c r="AI39" s="2097"/>
      <c r="AJ39" s="2086">
        <v>62492.823537873803</v>
      </c>
      <c r="AK39" s="2078">
        <f t="shared" si="4"/>
        <v>55371.464605909532</v>
      </c>
      <c r="AL39" s="2079">
        <f t="shared" si="5"/>
        <v>0.88604517240850278</v>
      </c>
    </row>
  </sheetData>
  <conditionalFormatting sqref="AL29:AL39">
    <cfRule type="colorScale" priority="21">
      <colorScale>
        <cfvo type="min"/>
        <cfvo type="percentile" val="50"/>
        <cfvo type="max"/>
        <color rgb="FFF8696B"/>
        <color rgb="FFFFEB84"/>
        <color rgb="FF63BE7B"/>
      </colorScale>
    </cfRule>
  </conditionalFormatting>
  <conditionalFormatting sqref="AB2:AC39">
    <cfRule type="colorScale" priority="20">
      <colorScale>
        <cfvo type="min"/>
        <cfvo type="percentile" val="50"/>
        <cfvo type="max"/>
        <color rgb="FFF8696B"/>
        <color rgb="FFFCFCFF"/>
        <color rgb="FF5A8AC6"/>
      </colorScale>
    </cfRule>
  </conditionalFormatting>
  <conditionalFormatting sqref="AL2:AL28">
    <cfRule type="colorScale" priority="19">
      <colorScale>
        <cfvo type="min"/>
        <cfvo type="percentile" val="50"/>
        <cfvo type="max"/>
        <color rgb="FFF8696B"/>
        <color rgb="FFFCFCFF"/>
        <color rgb="FF5A8AC6"/>
      </colorScale>
    </cfRule>
  </conditionalFormatting>
  <conditionalFormatting sqref="AC1">
    <cfRule type="colorScale" priority="18">
      <colorScale>
        <cfvo type="min"/>
        <cfvo type="percentile" val="50"/>
        <cfvo type="max"/>
        <color rgb="FFF8696B"/>
        <color rgb="FFFCFCFF"/>
        <color rgb="FF5A8AC6"/>
      </colorScale>
    </cfRule>
  </conditionalFormatting>
  <conditionalFormatting sqref="AI1">
    <cfRule type="colorScale" priority="17">
      <colorScale>
        <cfvo type="min"/>
        <cfvo type="percentile" val="50"/>
        <cfvo type="max"/>
        <color rgb="FFF8696B"/>
        <color rgb="FFFCFCFF"/>
        <color rgb="FF5A8AC6"/>
      </colorScale>
    </cfRule>
  </conditionalFormatting>
  <conditionalFormatting sqref="AG1">
    <cfRule type="colorScale" priority="16">
      <colorScale>
        <cfvo type="min"/>
        <cfvo type="percentile" val="50"/>
        <cfvo type="max"/>
        <color rgb="FFF8696B"/>
        <color rgb="FFFCFCFF"/>
        <color rgb="FF5A8AC6"/>
      </colorScale>
    </cfRule>
  </conditionalFormatting>
  <conditionalFormatting sqref="AF2:AF39">
    <cfRule type="colorScale" priority="15">
      <colorScale>
        <cfvo type="min"/>
        <cfvo type="percentile" val="50"/>
        <cfvo type="max"/>
        <color rgb="FFF8696B"/>
        <color rgb="FFFCFCFF"/>
        <color rgb="FF5A8AC6"/>
      </colorScale>
    </cfRule>
  </conditionalFormatting>
  <conditionalFormatting sqref="H1">
    <cfRule type="colorScale" priority="14">
      <colorScale>
        <cfvo type="min"/>
        <cfvo type="percentile" val="50"/>
        <cfvo type="max"/>
        <color rgb="FFF8696B"/>
        <color rgb="FFFCFCFF"/>
        <color rgb="FF5A8AC6"/>
      </colorScale>
    </cfRule>
  </conditionalFormatting>
  <conditionalFormatting sqref="N1">
    <cfRule type="colorScale" priority="13">
      <colorScale>
        <cfvo type="min"/>
        <cfvo type="percentile" val="50"/>
        <cfvo type="max"/>
        <color rgb="FFF8696B"/>
        <color rgb="FFFCFCFF"/>
        <color rgb="FF5A8AC6"/>
      </colorScale>
    </cfRule>
  </conditionalFormatting>
  <conditionalFormatting sqref="Q1">
    <cfRule type="colorScale" priority="12">
      <colorScale>
        <cfvo type="min"/>
        <cfvo type="percentile" val="50"/>
        <cfvo type="max"/>
        <color rgb="FFF8696B"/>
        <color rgb="FFFCFCFF"/>
        <color rgb="FF5A8AC6"/>
      </colorScale>
    </cfRule>
  </conditionalFormatting>
  <conditionalFormatting sqref="S1">
    <cfRule type="colorScale" priority="11">
      <colorScale>
        <cfvo type="min"/>
        <cfvo type="percentile" val="50"/>
        <cfvo type="max"/>
        <color rgb="FFF8696B"/>
        <color rgb="FFFCFCFF"/>
        <color rgb="FF5A8AC6"/>
      </colorScale>
    </cfRule>
  </conditionalFormatting>
  <conditionalFormatting sqref="U1">
    <cfRule type="colorScale" priority="10">
      <colorScale>
        <cfvo type="min"/>
        <cfvo type="percentile" val="50"/>
        <cfvo type="max"/>
        <color rgb="FFF8696B"/>
        <color rgb="FFFCFCFF"/>
        <color rgb="FF5A8AC6"/>
      </colorScale>
    </cfRule>
  </conditionalFormatting>
  <conditionalFormatting sqref="E1">
    <cfRule type="colorScale" priority="9">
      <colorScale>
        <cfvo type="min"/>
        <cfvo type="percentile" val="50"/>
        <cfvo type="max"/>
        <color rgb="FFF8696B"/>
        <color rgb="FFFCFCFF"/>
        <color rgb="FF5A8AC6"/>
      </colorScale>
    </cfRule>
  </conditionalFormatting>
  <conditionalFormatting sqref="K1">
    <cfRule type="colorScale" priority="8">
      <colorScale>
        <cfvo type="min"/>
        <cfvo type="percentile" val="50"/>
        <cfvo type="max"/>
        <color rgb="FFF8696B"/>
        <color rgb="FFFCFCFF"/>
        <color rgb="FF5A8AC6"/>
      </colorScale>
    </cfRule>
  </conditionalFormatting>
  <conditionalFormatting sqref="D2">
    <cfRule type="expression" dxfId="713" priority="7">
      <formula>FALSE</formula>
    </cfRule>
  </conditionalFormatting>
  <conditionalFormatting sqref="P2:P39">
    <cfRule type="colorScale" priority="6">
      <colorScale>
        <cfvo type="min"/>
        <cfvo type="percentile" val="50"/>
        <cfvo type="max"/>
        <color rgb="FFF8696B"/>
        <color rgb="FFFCFCFF"/>
        <color rgb="FF5A8AC6"/>
      </colorScale>
    </cfRule>
  </conditionalFormatting>
  <conditionalFormatting sqref="Y1">
    <cfRule type="colorScale" priority="5">
      <colorScale>
        <cfvo type="min"/>
        <cfvo type="percentile" val="50"/>
        <cfvo type="max"/>
        <color rgb="FFF8696B"/>
        <color rgb="FFFCFCFF"/>
        <color rgb="FF5A8AC6"/>
      </colorScale>
    </cfRule>
  </conditionalFormatting>
  <conditionalFormatting sqref="P2:P39 Q1">
    <cfRule type="colorScale" priority="4">
      <colorScale>
        <cfvo type="min"/>
        <cfvo type="percentile" val="50"/>
        <cfvo type="max"/>
        <color rgb="FFF8696B"/>
        <color rgb="FFFFEB84"/>
        <color rgb="FF63BE7B"/>
      </colorScale>
    </cfRule>
  </conditionalFormatting>
  <conditionalFormatting sqref="AB2:AB39 Q1">
    <cfRule type="colorScale" priority="3">
      <colorScale>
        <cfvo type="min"/>
        <cfvo type="percentile" val="50"/>
        <cfvo type="max"/>
        <color rgb="FFF8696B"/>
        <color rgb="FFFFEB84"/>
        <color rgb="FF63BE7B"/>
      </colorScale>
    </cfRule>
  </conditionalFormatting>
  <conditionalFormatting sqref="AF2:AF39 Q1">
    <cfRule type="colorScale" priority="2">
      <colorScale>
        <cfvo type="min"/>
        <cfvo type="percentile" val="50"/>
        <cfvo type="max"/>
        <color rgb="FFF8696B"/>
        <color rgb="FFFFEB84"/>
        <color rgb="FF63BE7B"/>
      </colorScale>
    </cfRule>
  </conditionalFormatting>
  <conditionalFormatting sqref="AL2:AL39 Q1">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448CAF-D44E-4292-A8CE-C15F5FF90F23}">
  <sheetPr>
    <tabColor rgb="FFC00000"/>
  </sheetPr>
  <dimension ref="A1:AM39"/>
  <sheetViews>
    <sheetView workbookViewId="0">
      <pane xSplit="2" ySplit="1" topLeftCell="V18" activePane="bottomRight" state="frozen"/>
      <selection pane="topRight" activeCell="C1" sqref="C1"/>
      <selection pane="bottomLeft" activeCell="A2" sqref="A2"/>
      <selection pane="bottomRight" activeCell="Z46" sqref="Z46"/>
    </sheetView>
  </sheetViews>
  <sheetFormatPr defaultRowHeight="14.4" x14ac:dyDescent="0.3"/>
  <cols>
    <col min="1" max="1" width="4" style="664" bestFit="1" customWidth="1"/>
    <col min="2" max="2" width="6.6640625" style="664" customWidth="1"/>
    <col min="3" max="3" width="9.6640625" customWidth="1"/>
    <col min="4" max="4" width="7.33203125" customWidth="1"/>
    <col min="5" max="5" width="2.6640625" customWidth="1"/>
    <col min="6" max="6" width="10.33203125" customWidth="1"/>
    <col min="7" max="7" width="6.6640625" bestFit="1" customWidth="1"/>
    <col min="8" max="8" width="2.6640625" customWidth="1"/>
    <col min="9" max="9" width="9.6640625" customWidth="1"/>
    <col min="10" max="10" width="6.6640625" bestFit="1" customWidth="1"/>
    <col min="11" max="11" width="2.6640625" customWidth="1"/>
    <col min="12" max="13" width="9.33203125" customWidth="1"/>
    <col min="14" max="14" width="3.44140625" customWidth="1"/>
    <col min="15" max="15" width="11" customWidth="1"/>
    <col min="16" max="16" width="7.6640625" customWidth="1"/>
    <col min="17" max="17" width="3.33203125" customWidth="1"/>
    <col min="18" max="18" width="8" customWidth="1"/>
    <col min="19" max="19" width="14.44140625" customWidth="1"/>
    <col min="20" max="20" width="9" customWidth="1"/>
    <col min="21" max="21" width="14" customWidth="1"/>
    <col min="22" max="23" width="7.33203125" customWidth="1"/>
    <col min="24" max="24" width="8.6640625" customWidth="1"/>
    <col min="25" max="25" width="2.6640625" customWidth="1"/>
    <col min="26" max="26" width="11.33203125" bestFit="1" customWidth="1"/>
    <col min="27" max="27" width="10.33203125" customWidth="1"/>
    <col min="28" max="28" width="11.33203125" customWidth="1"/>
    <col min="29" max="29" width="2.44140625" customWidth="1"/>
    <col min="30" max="30" width="11.33203125" bestFit="1" customWidth="1"/>
    <col min="31" max="32" width="11.33203125" customWidth="1"/>
    <col min="33" max="33" width="2.109375" customWidth="1"/>
    <col min="34" max="34" width="8.88671875" customWidth="1"/>
    <col min="35" max="35" width="1.5546875" customWidth="1"/>
    <col min="36" max="37" width="8.88671875" customWidth="1"/>
    <col min="38" max="38" width="12.5546875" customWidth="1"/>
  </cols>
  <sheetData>
    <row r="1" spans="1:38" ht="86.4" x14ac:dyDescent="0.3">
      <c r="A1" s="2080" t="s">
        <v>758</v>
      </c>
      <c r="B1" s="2088" t="s">
        <v>759</v>
      </c>
      <c r="C1" s="2088" t="s">
        <v>760</v>
      </c>
      <c r="D1" s="2081" t="s">
        <v>761</v>
      </c>
      <c r="E1" s="2056"/>
      <c r="F1" s="2088" t="s">
        <v>762</v>
      </c>
      <c r="G1" s="2081" t="s">
        <v>761</v>
      </c>
      <c r="H1" s="2056"/>
      <c r="I1" s="2088" t="s">
        <v>763</v>
      </c>
      <c r="J1" s="2081" t="s">
        <v>761</v>
      </c>
      <c r="K1" s="2056"/>
      <c r="L1" s="2088" t="s">
        <v>764</v>
      </c>
      <c r="M1" s="2081" t="s">
        <v>761</v>
      </c>
      <c r="N1" s="2056"/>
      <c r="O1" s="2088" t="s">
        <v>765</v>
      </c>
      <c r="P1" s="2081" t="s">
        <v>766</v>
      </c>
      <c r="Q1" s="2056"/>
      <c r="R1" s="2088" t="s">
        <v>767</v>
      </c>
      <c r="S1" s="2056"/>
      <c r="T1" s="2088" t="s">
        <v>768</v>
      </c>
      <c r="U1" s="2056"/>
      <c r="V1" s="2088" t="s">
        <v>769</v>
      </c>
      <c r="W1" s="2105" t="s">
        <v>770</v>
      </c>
      <c r="X1" s="2081" t="s">
        <v>771</v>
      </c>
      <c r="Y1" s="2056"/>
      <c r="Z1" s="2092" t="s">
        <v>772</v>
      </c>
      <c r="AA1" s="2093" t="str">
        <f>'Sockeye Returns Data'!C1</f>
        <v>Total Sox (Mouth)  [24-hour]</v>
      </c>
      <c r="AB1" s="2081" t="s">
        <v>773</v>
      </c>
      <c r="AC1" s="2056"/>
      <c r="AD1" s="2081" t="s">
        <v>774</v>
      </c>
      <c r="AE1" s="2081" t="str">
        <f>'Sockeye Returns Data'!AD1</f>
        <v>Estimated Okanagan Sockeye Returns</v>
      </c>
      <c r="AF1" s="2081" t="s">
        <v>775</v>
      </c>
      <c r="AG1" s="2056"/>
      <c r="AH1" s="2081" t="s">
        <v>776</v>
      </c>
      <c r="AI1" s="2056"/>
      <c r="AJ1" s="2082" t="s">
        <v>777</v>
      </c>
      <c r="AK1" s="2075" t="str">
        <f>'Sockeye Returns Data'!BW1</f>
        <v>Estimated Osoyoos Sockeye Returns (N-O)</v>
      </c>
      <c r="AL1" s="2076" t="s">
        <v>778</v>
      </c>
    </row>
    <row r="2" spans="1:38" x14ac:dyDescent="0.3">
      <c r="A2" s="854">
        <v>1</v>
      </c>
      <c r="B2" s="2089">
        <v>1984</v>
      </c>
      <c r="C2" s="2074">
        <v>152545</v>
      </c>
      <c r="D2" s="2099" t="b">
        <f>C2='Sockeye Returns Data'!D9</f>
        <v>1</v>
      </c>
      <c r="E2" s="2074"/>
      <c r="F2" s="2074">
        <v>149</v>
      </c>
      <c r="G2" s="2099" t="b">
        <f>F2='Sockeye Returns Data'!F9</f>
        <v>1</v>
      </c>
      <c r="H2" s="2074"/>
      <c r="I2" s="1103">
        <v>0.84</v>
      </c>
      <c r="J2" s="2099" t="b">
        <f>I2='Sockeye Returns Data'!U9</f>
        <v>1</v>
      </c>
      <c r="K2" s="2074"/>
      <c r="L2" s="2074">
        <v>9345</v>
      </c>
      <c r="M2" s="2099" t="b">
        <f>L2='Sockeye Returns Data'!AI9</f>
        <v>1</v>
      </c>
      <c r="N2" s="2074"/>
      <c r="O2" s="2074">
        <v>159473</v>
      </c>
      <c r="P2" s="2056">
        <f>'Sockeye Returns Data'!E9/O2</f>
        <v>0.99648657619158088</v>
      </c>
      <c r="Q2" s="2074"/>
      <c r="R2" s="1103">
        <v>1</v>
      </c>
      <c r="S2" s="1103"/>
      <c r="T2" s="1103">
        <v>1</v>
      </c>
      <c r="U2" s="1103"/>
      <c r="V2" s="1103">
        <v>1</v>
      </c>
      <c r="W2" s="2106"/>
      <c r="X2" s="2101" t="b">
        <f>V2='Sockeye Returns Data'!BQ9</f>
        <v>1</v>
      </c>
      <c r="Y2" s="1103"/>
      <c r="Z2" s="2094">
        <v>168669</v>
      </c>
      <c r="AA2" s="2094">
        <f>'Sockeye Returns Data'!C9</f>
        <v>168257.70376499998</v>
      </c>
      <c r="AB2" s="2056">
        <f>AA2/Z2</f>
        <v>0.99756151850666086</v>
      </c>
      <c r="AC2" s="2056"/>
      <c r="AD2" s="2074">
        <v>141681.96</v>
      </c>
      <c r="AE2" s="2074">
        <f>'Sockeye Returns Data'!AD9</f>
        <v>141211.31116259997</v>
      </c>
      <c r="AF2" s="2056">
        <f>AE2/AD2</f>
        <v>0.99667813151794327</v>
      </c>
      <c r="AG2" s="2074"/>
      <c r="AH2" s="2074">
        <v>141681.96</v>
      </c>
      <c r="AI2" s="2096"/>
      <c r="AJ2" s="2083">
        <v>141681.96</v>
      </c>
      <c r="AK2" s="2077">
        <f t="shared" ref="AK2:AK28" si="0">VLOOKUP(B2,SockeyeReturnsData,75)</f>
        <v>0</v>
      </c>
      <c r="AL2" s="485">
        <f t="shared" ref="AL2:AL28" si="1">AK2/AJ2</f>
        <v>0</v>
      </c>
    </row>
    <row r="3" spans="1:38" x14ac:dyDescent="0.3">
      <c r="A3" s="854">
        <v>2</v>
      </c>
      <c r="B3" s="2089">
        <v>1985</v>
      </c>
      <c r="C3" s="2074">
        <v>166340</v>
      </c>
      <c r="D3" s="2099" t="b">
        <f>C3='Sockeye Returns Data'!D10</f>
        <v>1</v>
      </c>
      <c r="E3" s="2074"/>
      <c r="F3" s="2074">
        <v>59</v>
      </c>
      <c r="G3" s="2099" t="b">
        <f>F3='Sockeye Returns Data'!F10</f>
        <v>1</v>
      </c>
      <c r="H3" s="2074"/>
      <c r="I3" s="1103">
        <v>0.59</v>
      </c>
      <c r="J3" s="2101" t="b">
        <f>I3='Sockeye Returns Data'!U10</f>
        <v>1</v>
      </c>
      <c r="K3" s="1103"/>
      <c r="L3" s="2074">
        <v>32213</v>
      </c>
      <c r="M3" s="2099" t="b">
        <f>L3='Sockeye Returns Data'!AI10</f>
        <v>1</v>
      </c>
      <c r="N3" s="2074"/>
      <c r="O3" s="2074">
        <v>173968</v>
      </c>
      <c r="P3" s="2056">
        <f>'Sockeye Returns Data'!E10/O3</f>
        <v>0.99620619884116623</v>
      </c>
      <c r="Q3" s="2074"/>
      <c r="R3" s="1103">
        <v>1</v>
      </c>
      <c r="S3" s="1103"/>
      <c r="T3" s="1103">
        <v>1</v>
      </c>
      <c r="U3" s="1103"/>
      <c r="V3" s="1103">
        <v>1</v>
      </c>
      <c r="W3" s="2106"/>
      <c r="X3" s="2101" t="b">
        <f>V3='Sockeye Returns Data'!BQ10</f>
        <v>1</v>
      </c>
      <c r="Y3" s="1103"/>
      <c r="Z3" s="2094">
        <v>206122</v>
      </c>
      <c r="AA3" s="2094">
        <f>'Sockeye Returns Data'!C10</f>
        <v>205521</v>
      </c>
      <c r="AB3" s="2056">
        <f t="shared" ref="AB3:AB39" si="2">AA3/Z3</f>
        <v>0.9970842510746063</v>
      </c>
      <c r="AC3" s="2056"/>
      <c r="AD3" s="2074">
        <v>121611.98</v>
      </c>
      <c r="AE3" s="2074">
        <f>'Sockeye Returns Data'!AD10</f>
        <v>121223</v>
      </c>
      <c r="AF3" s="2056">
        <f t="shared" ref="AF3:AF39" si="3">AE3/AD3</f>
        <v>0.99680146643447465</v>
      </c>
      <c r="AG3" s="2074"/>
      <c r="AH3" s="2074">
        <v>121611.98</v>
      </c>
      <c r="AI3" s="2096"/>
      <c r="AJ3" s="2083">
        <v>121611.98</v>
      </c>
      <c r="AK3" s="2077">
        <f t="shared" si="0"/>
        <v>0</v>
      </c>
      <c r="AL3" s="485">
        <f t="shared" si="1"/>
        <v>0</v>
      </c>
    </row>
    <row r="4" spans="1:38" x14ac:dyDescent="0.3">
      <c r="A4" s="854">
        <v>3</v>
      </c>
      <c r="B4" s="2089">
        <v>1986</v>
      </c>
      <c r="C4" s="2074">
        <v>58123</v>
      </c>
      <c r="D4" s="2099" t="b">
        <f>C4='Sockeye Returns Data'!D11</f>
        <v>1</v>
      </c>
      <c r="E4" s="2074"/>
      <c r="F4" s="2074">
        <v>24</v>
      </c>
      <c r="G4" s="2099" t="b">
        <f>F4='Sockeye Returns Data'!F11</f>
        <v>1</v>
      </c>
      <c r="H4" s="2074"/>
      <c r="I4" s="1103">
        <v>0.79</v>
      </c>
      <c r="J4" s="2101" t="b">
        <f>I4='Sockeye Returns Data'!U11</f>
        <v>1</v>
      </c>
      <c r="K4" s="1103"/>
      <c r="L4" s="2074">
        <v>1840</v>
      </c>
      <c r="M4" s="2099" t="b">
        <f>L4='Sockeye Returns Data'!AI11</f>
        <v>1</v>
      </c>
      <c r="N4" s="2074"/>
      <c r="O4" s="2074">
        <v>60470</v>
      </c>
      <c r="P4" s="2056">
        <f>'Sockeye Returns Data'!E11/O4</f>
        <v>0.99851165867372249</v>
      </c>
      <c r="Q4" s="2074"/>
      <c r="R4" s="1103">
        <v>1</v>
      </c>
      <c r="S4" s="1103"/>
      <c r="T4" s="1103">
        <v>1</v>
      </c>
      <c r="U4" s="1103"/>
      <c r="V4" s="1103">
        <v>1</v>
      </c>
      <c r="W4" s="2106"/>
      <c r="X4" s="2101" t="b">
        <f>V4='Sockeye Returns Data'!BQ11</f>
        <v>1</v>
      </c>
      <c r="Y4" s="1103"/>
      <c r="Z4" s="2094">
        <v>62286</v>
      </c>
      <c r="AA4" s="2094">
        <f>'Sockeye Returns Data'!C11</f>
        <v>62220</v>
      </c>
      <c r="AB4" s="2056">
        <f t="shared" si="2"/>
        <v>0.99894037183315676</v>
      </c>
      <c r="AC4" s="2056"/>
      <c r="AD4" s="2074">
        <v>49205.94</v>
      </c>
      <c r="AE4" s="2074">
        <f>'Sockeye Returns Data'!AD11</f>
        <v>49135</v>
      </c>
      <c r="AF4" s="2056">
        <f t="shared" si="3"/>
        <v>0.99855830413970337</v>
      </c>
      <c r="AG4" s="2074"/>
      <c r="AH4" s="2074">
        <v>49205.94</v>
      </c>
      <c r="AI4" s="2096"/>
      <c r="AJ4" s="2083">
        <v>49205.94</v>
      </c>
      <c r="AK4" s="2077">
        <f t="shared" si="0"/>
        <v>0</v>
      </c>
      <c r="AL4" s="485">
        <f t="shared" si="1"/>
        <v>0</v>
      </c>
    </row>
    <row r="5" spans="1:38" x14ac:dyDescent="0.3">
      <c r="A5" s="854">
        <v>4</v>
      </c>
      <c r="B5" s="2089">
        <v>1987</v>
      </c>
      <c r="C5" s="2074">
        <v>116993</v>
      </c>
      <c r="D5" s="2099" t="b">
        <f>C5='Sockeye Returns Data'!D12</f>
        <v>1</v>
      </c>
      <c r="E5" s="2074"/>
      <c r="F5" s="2074">
        <v>55</v>
      </c>
      <c r="G5" s="2099" t="b">
        <f>F5='Sockeye Returns Data'!F12</f>
        <v>1</v>
      </c>
      <c r="H5" s="2074"/>
      <c r="I5" s="1103">
        <v>0.66</v>
      </c>
      <c r="J5" s="2101" t="b">
        <f>I5='Sockeye Returns Data'!U12</f>
        <v>1</v>
      </c>
      <c r="K5" s="1103"/>
      <c r="L5" s="2074">
        <v>28553</v>
      </c>
      <c r="M5" s="2099" t="b">
        <f>L5='Sockeye Returns Data'!AI12</f>
        <v>1</v>
      </c>
      <c r="N5" s="2074"/>
      <c r="O5" s="2074">
        <v>122141</v>
      </c>
      <c r="P5" s="2056">
        <f>'Sockeye Returns Data'!E12/O5</f>
        <v>0.99731457905207921</v>
      </c>
      <c r="Q5" s="2074"/>
      <c r="R5" s="1103">
        <v>1</v>
      </c>
      <c r="S5" s="1103"/>
      <c r="T5" s="1103">
        <v>1</v>
      </c>
      <c r="U5" s="1103"/>
      <c r="V5" s="1103">
        <v>1</v>
      </c>
      <c r="W5" s="2106"/>
      <c r="X5" s="2101" t="b">
        <f>V5='Sockeye Returns Data'!BQ12</f>
        <v>1</v>
      </c>
      <c r="Y5" s="1103"/>
      <c r="Z5" s="2094">
        <v>150639</v>
      </c>
      <c r="AA5" s="2094">
        <f>'Sockeye Returns Data'!C12</f>
        <v>150366</v>
      </c>
      <c r="AB5" s="2056">
        <f t="shared" si="2"/>
        <v>0.99818772031147307</v>
      </c>
      <c r="AC5" s="2056"/>
      <c r="AD5" s="2074">
        <v>99421.74</v>
      </c>
      <c r="AE5" s="2074">
        <f>'Sockeye Returns Data'!AD12</f>
        <v>99205</v>
      </c>
      <c r="AF5" s="2056">
        <f t="shared" si="3"/>
        <v>0.99781999389670706</v>
      </c>
      <c r="AG5" s="2074"/>
      <c r="AH5" s="2074">
        <v>99421.74</v>
      </c>
      <c r="AI5" s="2096"/>
      <c r="AJ5" s="2083">
        <v>99421.74</v>
      </c>
      <c r="AK5" s="2077">
        <f t="shared" si="0"/>
        <v>0</v>
      </c>
      <c r="AL5" s="485">
        <f t="shared" si="1"/>
        <v>0</v>
      </c>
    </row>
    <row r="6" spans="1:38" x14ac:dyDescent="0.3">
      <c r="A6" s="854">
        <v>5</v>
      </c>
      <c r="B6" s="2089">
        <v>1988</v>
      </c>
      <c r="C6" s="2074">
        <v>79714</v>
      </c>
      <c r="D6" s="2099" t="b">
        <f>C6='Sockeye Returns Data'!D13</f>
        <v>1</v>
      </c>
      <c r="E6" s="2074"/>
      <c r="F6" s="2074">
        <v>45</v>
      </c>
      <c r="G6" s="2099" t="b">
        <f>F6='Sockeye Returns Data'!F13</f>
        <v>1</v>
      </c>
      <c r="H6" s="2074"/>
      <c r="I6" s="1103">
        <v>0.78</v>
      </c>
      <c r="J6" s="2101" t="b">
        <f>I6='Sockeye Returns Data'!U13</f>
        <v>1</v>
      </c>
      <c r="K6" s="1103"/>
      <c r="L6" s="2074">
        <v>17632</v>
      </c>
      <c r="M6" s="2099" t="b">
        <f>L6='Sockeye Returns Data'!AI13</f>
        <v>1</v>
      </c>
      <c r="N6" s="2074"/>
      <c r="O6" s="2074">
        <v>83072</v>
      </c>
      <c r="P6" s="2056">
        <f>'Sockeye Returns Data'!E13/O6</f>
        <v>0.99806192218798151</v>
      </c>
      <c r="Q6" s="2074"/>
      <c r="R6" s="1103">
        <v>1</v>
      </c>
      <c r="S6" s="1103"/>
      <c r="T6" s="1103">
        <v>1</v>
      </c>
      <c r="U6" s="1103"/>
      <c r="V6" s="1103">
        <v>1</v>
      </c>
      <c r="W6" s="2106"/>
      <c r="X6" s="2101" t="b">
        <f>V6='Sockeye Returns Data'!BQ13</f>
        <v>1</v>
      </c>
      <c r="Y6" s="1103"/>
      <c r="Z6" s="2094">
        <v>100659</v>
      </c>
      <c r="AA6" s="2094">
        <f>'Sockeye Returns Data'!C13</f>
        <v>100543</v>
      </c>
      <c r="AB6" s="2056">
        <f t="shared" si="2"/>
        <v>0.99884759435321235</v>
      </c>
      <c r="AC6" s="2056"/>
      <c r="AD6" s="2074">
        <v>78514.02</v>
      </c>
      <c r="AE6" s="2074">
        <f>'Sockeye Returns Data'!AD13</f>
        <v>78388</v>
      </c>
      <c r="AF6" s="2056">
        <f t="shared" si="3"/>
        <v>0.9983949363438529</v>
      </c>
      <c r="AG6" s="2074"/>
      <c r="AH6" s="2074">
        <v>78514.02</v>
      </c>
      <c r="AI6" s="2096"/>
      <c r="AJ6" s="2083">
        <v>78514.02</v>
      </c>
      <c r="AK6" s="2077">
        <f t="shared" si="0"/>
        <v>0</v>
      </c>
      <c r="AL6" s="485">
        <f t="shared" si="1"/>
        <v>0</v>
      </c>
    </row>
    <row r="7" spans="1:38" x14ac:dyDescent="0.3">
      <c r="A7" s="854">
        <v>6</v>
      </c>
      <c r="B7" s="2089">
        <v>1989</v>
      </c>
      <c r="C7" s="2074">
        <v>41884</v>
      </c>
      <c r="D7" s="2099" t="b">
        <f>C7='Sockeye Returns Data'!D14</f>
        <v>1</v>
      </c>
      <c r="E7" s="2074"/>
      <c r="F7" s="2074">
        <v>4</v>
      </c>
      <c r="G7" s="2099" t="b">
        <f>F7='Sockeye Returns Data'!F14</f>
        <v>1</v>
      </c>
      <c r="H7" s="2074"/>
      <c r="I7" s="1103">
        <v>0.42</v>
      </c>
      <c r="J7" s="2101" t="b">
        <f>I7='Sockeye Returns Data'!U14</f>
        <v>1</v>
      </c>
      <c r="K7" s="1103"/>
      <c r="L7" s="2074">
        <v>36</v>
      </c>
      <c r="M7" s="2099" t="b">
        <f>L7='Sockeye Returns Data'!AI14</f>
        <v>1</v>
      </c>
      <c r="N7" s="2074"/>
      <c r="O7" s="2074">
        <v>43526</v>
      </c>
      <c r="P7" s="2056">
        <f>'Sockeye Returns Data'!E14/O7</f>
        <v>0.99788632081973994</v>
      </c>
      <c r="Q7" s="2074"/>
      <c r="R7" s="1103">
        <v>1</v>
      </c>
      <c r="S7" s="1103"/>
      <c r="T7" s="1103">
        <v>1</v>
      </c>
      <c r="U7" s="1103"/>
      <c r="V7" s="1103">
        <v>1</v>
      </c>
      <c r="W7" s="2106"/>
      <c r="X7" s="2101" t="b">
        <f>V7='Sockeye Returns Data'!BQ14</f>
        <v>1</v>
      </c>
      <c r="Y7" s="1103"/>
      <c r="Z7" s="2094">
        <v>43558</v>
      </c>
      <c r="AA7" s="2094">
        <f>'Sockeye Returns Data'!C14</f>
        <v>43470</v>
      </c>
      <c r="AB7" s="2056">
        <f t="shared" si="2"/>
        <v>0.9979797052206254</v>
      </c>
      <c r="AC7" s="2056"/>
      <c r="AD7" s="2074">
        <v>18294.36</v>
      </c>
      <c r="AE7" s="2074">
        <f>'Sockeye Returns Data'!AD14</f>
        <v>18256</v>
      </c>
      <c r="AF7" s="2056">
        <f t="shared" si="3"/>
        <v>0.99790317890322477</v>
      </c>
      <c r="AG7" s="2074"/>
      <c r="AH7" s="2074">
        <v>18294.36</v>
      </c>
      <c r="AI7" s="2096"/>
      <c r="AJ7" s="2083">
        <v>18294.36</v>
      </c>
      <c r="AK7" s="2077">
        <f t="shared" si="0"/>
        <v>0</v>
      </c>
      <c r="AL7" s="485">
        <f t="shared" si="1"/>
        <v>0</v>
      </c>
    </row>
    <row r="8" spans="1:38" x14ac:dyDescent="0.3">
      <c r="A8" s="854">
        <v>7</v>
      </c>
      <c r="B8" s="2089">
        <v>1990</v>
      </c>
      <c r="C8" s="2074">
        <v>49581</v>
      </c>
      <c r="D8" s="2099" t="b">
        <f>C8='Sockeye Returns Data'!D15</f>
        <v>1</v>
      </c>
      <c r="E8" s="2074"/>
      <c r="F8" s="2074">
        <v>1</v>
      </c>
      <c r="G8" s="2099" t="b">
        <f>F8='Sockeye Returns Data'!F15</f>
        <v>1</v>
      </c>
      <c r="H8" s="2074"/>
      <c r="I8" s="1103">
        <v>0.24</v>
      </c>
      <c r="J8" s="2101" t="b">
        <f>I8='Sockeye Returns Data'!U15</f>
        <v>1</v>
      </c>
      <c r="K8" s="1103"/>
      <c r="L8" s="2074">
        <v>173</v>
      </c>
      <c r="M8" s="2099" t="b">
        <f>L8='Sockeye Returns Data'!AI15</f>
        <v>1</v>
      </c>
      <c r="N8" s="2074"/>
      <c r="O8" s="2074">
        <v>51559</v>
      </c>
      <c r="P8" s="2056">
        <f>'Sockeye Returns Data'!E15/O8</f>
        <v>0.99819624119940265</v>
      </c>
      <c r="Q8" s="2074"/>
      <c r="R8" s="1103">
        <v>1</v>
      </c>
      <c r="S8" s="1103"/>
      <c r="T8" s="1103">
        <v>1</v>
      </c>
      <c r="U8" s="1103"/>
      <c r="V8" s="1103">
        <v>1</v>
      </c>
      <c r="W8" s="2106"/>
      <c r="X8" s="2101" t="b">
        <f>V8='Sockeye Returns Data'!BQ15</f>
        <v>1</v>
      </c>
      <c r="Y8" s="1103"/>
      <c r="Z8" s="2094">
        <v>51731</v>
      </c>
      <c r="AA8" s="2094">
        <f>'Sockeye Returns Data'!C15</f>
        <v>51639</v>
      </c>
      <c r="AB8" s="2056">
        <f t="shared" si="2"/>
        <v>0.99822156927180994</v>
      </c>
      <c r="AC8" s="2056"/>
      <c r="AD8" s="2074">
        <v>12415.44</v>
      </c>
      <c r="AE8" s="2074">
        <f>'Sockeye Returns Data'!AD15</f>
        <v>12393</v>
      </c>
      <c r="AF8" s="2056">
        <f t="shared" si="3"/>
        <v>0.99819257311863285</v>
      </c>
      <c r="AG8" s="2074"/>
      <c r="AH8" s="2074">
        <v>12415.44</v>
      </c>
      <c r="AI8" s="2096"/>
      <c r="AJ8" s="2083">
        <v>12415.44</v>
      </c>
      <c r="AK8" s="2077">
        <f t="shared" si="0"/>
        <v>0</v>
      </c>
      <c r="AL8" s="485">
        <f t="shared" si="1"/>
        <v>0</v>
      </c>
    </row>
    <row r="9" spans="1:38" x14ac:dyDescent="0.3">
      <c r="A9" s="854">
        <v>8</v>
      </c>
      <c r="B9" s="2089">
        <v>1991</v>
      </c>
      <c r="C9" s="2074">
        <v>76481</v>
      </c>
      <c r="D9" s="2099" t="b">
        <f>C9='Sockeye Returns Data'!D16</f>
        <v>1</v>
      </c>
      <c r="E9" s="2074"/>
      <c r="F9" s="2074">
        <v>10</v>
      </c>
      <c r="G9" s="2099" t="b">
        <f>F9='Sockeye Returns Data'!F16</f>
        <v>1</v>
      </c>
      <c r="H9" s="2074"/>
      <c r="I9" s="1103">
        <v>0.5</v>
      </c>
      <c r="J9" s="2101" t="b">
        <f>I9='Sockeye Returns Data'!U16</f>
        <v>1</v>
      </c>
      <c r="K9" s="1103"/>
      <c r="L9" s="2074">
        <v>3</v>
      </c>
      <c r="M9" s="2099" t="b">
        <f>L9='Sockeye Returns Data'!AI16</f>
        <v>1</v>
      </c>
      <c r="N9" s="2074"/>
      <c r="O9" s="2074">
        <v>79680.5</v>
      </c>
      <c r="P9" s="2056">
        <f>'Sockeye Returns Data'!E16/O9</f>
        <v>0.99819905748583404</v>
      </c>
      <c r="Q9" s="2074"/>
      <c r="R9" s="1103">
        <v>1</v>
      </c>
      <c r="S9" s="1103"/>
      <c r="T9" s="1103">
        <v>1</v>
      </c>
      <c r="U9" s="1103"/>
      <c r="V9" s="1103">
        <v>1</v>
      </c>
      <c r="W9" s="2106"/>
      <c r="X9" s="2101" t="b">
        <f>V9='Sockeye Returns Data'!BQ16</f>
        <v>1</v>
      </c>
      <c r="Y9" s="1103"/>
      <c r="Z9" s="2094">
        <v>79673.5</v>
      </c>
      <c r="AA9" s="2094">
        <f>'Sockeye Returns Data'!C16</f>
        <v>79540</v>
      </c>
      <c r="AB9" s="2056">
        <f t="shared" si="2"/>
        <v>0.9983244115044525</v>
      </c>
      <c r="AC9" s="2056"/>
      <c r="AD9" s="2074">
        <v>39836.75</v>
      </c>
      <c r="AE9" s="2074">
        <f>'Sockeye Returns Data'!AD16</f>
        <v>39765</v>
      </c>
      <c r="AF9" s="2056">
        <f t="shared" si="3"/>
        <v>0.99819889925759508</v>
      </c>
      <c r="AG9" s="2074"/>
      <c r="AH9" s="2074">
        <v>39836.75</v>
      </c>
      <c r="AI9" s="2096"/>
      <c r="AJ9" s="2083">
        <v>39836.75</v>
      </c>
      <c r="AK9" s="2077">
        <f t="shared" si="0"/>
        <v>0</v>
      </c>
      <c r="AL9" s="485">
        <f t="shared" si="1"/>
        <v>0</v>
      </c>
    </row>
    <row r="10" spans="1:38" x14ac:dyDescent="0.3">
      <c r="A10" s="854">
        <v>9</v>
      </c>
      <c r="B10" s="2089">
        <v>1992</v>
      </c>
      <c r="C10" s="2074">
        <v>84992</v>
      </c>
      <c r="D10" s="2099" t="b">
        <f>C10='Sockeye Returns Data'!D17</f>
        <v>1</v>
      </c>
      <c r="E10" s="2074"/>
      <c r="F10" s="2074">
        <v>35</v>
      </c>
      <c r="G10" s="2099" t="b">
        <f>F10='Sockeye Returns Data'!F17</f>
        <v>1</v>
      </c>
      <c r="H10" s="2074"/>
      <c r="I10" s="1103">
        <v>0.69</v>
      </c>
      <c r="J10" s="2101" t="b">
        <f>I10='Sockeye Returns Data'!U17</f>
        <v>1</v>
      </c>
      <c r="K10" s="1103"/>
      <c r="L10" s="2074">
        <v>8</v>
      </c>
      <c r="M10" s="2099" t="b">
        <f>L10='Sockeye Returns Data'!AI17</f>
        <v>1</v>
      </c>
      <c r="N10" s="2074"/>
      <c r="O10" s="2074">
        <v>88595.5</v>
      </c>
      <c r="P10" s="2056">
        <f>'Sockeye Returns Data'!E17/O10</f>
        <v>0.99800779949320229</v>
      </c>
      <c r="Q10" s="2074"/>
      <c r="R10" s="1103">
        <v>1</v>
      </c>
      <c r="S10" s="1103"/>
      <c r="T10" s="1103">
        <v>1</v>
      </c>
      <c r="U10" s="1103"/>
      <c r="V10" s="1103">
        <v>1</v>
      </c>
      <c r="W10" s="2106"/>
      <c r="X10" s="2101" t="b">
        <f>V10='Sockeye Returns Data'!BQ17</f>
        <v>1</v>
      </c>
      <c r="Y10" s="1103"/>
      <c r="Z10" s="2094">
        <v>88568.5</v>
      </c>
      <c r="AA10" s="2094">
        <f>'Sockeye Returns Data'!C17</f>
        <v>88427</v>
      </c>
      <c r="AB10" s="2056">
        <f t="shared" si="2"/>
        <v>0.99840236652986103</v>
      </c>
      <c r="AC10" s="2056"/>
      <c r="AD10" s="2074">
        <v>61112.264999999999</v>
      </c>
      <c r="AE10" s="2074">
        <f>'Sockeye Returns Data'!AD17</f>
        <v>60990</v>
      </c>
      <c r="AF10" s="2056">
        <f t="shared" si="3"/>
        <v>0.99799933777614036</v>
      </c>
      <c r="AG10" s="2074"/>
      <c r="AH10" s="2074">
        <v>61112.264999999999</v>
      </c>
      <c r="AI10" s="2096"/>
      <c r="AJ10" s="2083">
        <v>61112.264999999999</v>
      </c>
      <c r="AK10" s="2077">
        <f t="shared" si="0"/>
        <v>0</v>
      </c>
      <c r="AL10" s="485">
        <f t="shared" si="1"/>
        <v>0</v>
      </c>
    </row>
    <row r="11" spans="1:38" x14ac:dyDescent="0.3">
      <c r="A11" s="854">
        <v>10</v>
      </c>
      <c r="B11" s="2089">
        <v>1993</v>
      </c>
      <c r="C11" s="2074">
        <v>80178</v>
      </c>
      <c r="D11" s="2099" t="b">
        <f>C11='Sockeye Returns Data'!D18</f>
        <v>1</v>
      </c>
      <c r="E11" s="2074"/>
      <c r="F11" s="2074">
        <v>18</v>
      </c>
      <c r="G11" s="2099" t="b">
        <f>F11='Sockeye Returns Data'!F18</f>
        <v>1</v>
      </c>
      <c r="H11" s="2074"/>
      <c r="I11" s="1103">
        <v>0.48</v>
      </c>
      <c r="J11" s="2101" t="b">
        <f>I11='Sockeye Returns Data'!U18</f>
        <v>1</v>
      </c>
      <c r="K11" s="1103"/>
      <c r="L11" s="2074">
        <v>64</v>
      </c>
      <c r="M11" s="2099" t="b">
        <f>L11='Sockeye Returns Data'!AI18</f>
        <v>1</v>
      </c>
      <c r="N11" s="2074"/>
      <c r="O11" s="2074">
        <v>83560</v>
      </c>
      <c r="P11" s="2056">
        <f>'Sockeye Returns Data'!E18/O11</f>
        <v>0.99802537099090471</v>
      </c>
      <c r="Q11" s="2074"/>
      <c r="R11" s="1103">
        <v>1</v>
      </c>
      <c r="S11" s="1103"/>
      <c r="T11" s="1103">
        <v>1</v>
      </c>
      <c r="U11" s="1103"/>
      <c r="V11" s="1103">
        <v>1</v>
      </c>
      <c r="W11" s="2106"/>
      <c r="X11" s="2101" t="b">
        <f>V11='Sockeye Returns Data'!BQ18</f>
        <v>1</v>
      </c>
      <c r="Y11" s="1103"/>
      <c r="Z11" s="2094">
        <v>83606</v>
      </c>
      <c r="AA11" s="2094">
        <f>'Sockeye Returns Data'!C18</f>
        <v>83459</v>
      </c>
      <c r="AB11" s="2056">
        <f t="shared" si="2"/>
        <v>0.99824175298423556</v>
      </c>
      <c r="AC11" s="2056"/>
      <c r="AD11" s="2074">
        <v>40130.879999999997</v>
      </c>
      <c r="AE11" s="2074">
        <f>'Sockeye Returns Data'!AD18</f>
        <v>40052</v>
      </c>
      <c r="AF11" s="2056">
        <f t="shared" si="3"/>
        <v>0.99803443134065339</v>
      </c>
      <c r="AG11" s="2074"/>
      <c r="AH11" s="2074">
        <v>40130.879999999997</v>
      </c>
      <c r="AI11" s="2096"/>
      <c r="AJ11" s="2083">
        <v>40130.879999999997</v>
      </c>
      <c r="AK11" s="2077">
        <f t="shared" si="0"/>
        <v>0</v>
      </c>
      <c r="AL11" s="485">
        <f t="shared" si="1"/>
        <v>0</v>
      </c>
    </row>
    <row r="12" spans="1:38" x14ac:dyDescent="0.3">
      <c r="A12" s="854">
        <v>11</v>
      </c>
      <c r="B12" s="2089">
        <v>1994</v>
      </c>
      <c r="C12" s="2074">
        <v>12678</v>
      </c>
      <c r="D12" s="2099" t="b">
        <f>C12='Sockeye Returns Data'!D19</f>
        <v>1</v>
      </c>
      <c r="E12" s="2074"/>
      <c r="F12" s="2074">
        <v>5</v>
      </c>
      <c r="G12" s="2099" t="b">
        <f>F12='Sockeye Returns Data'!F19</f>
        <v>1</v>
      </c>
      <c r="H12" s="2074"/>
      <c r="I12" s="1103">
        <v>0.17</v>
      </c>
      <c r="J12" s="2101" t="b">
        <f>I12='Sockeye Returns Data'!U19</f>
        <v>1</v>
      </c>
      <c r="K12" s="1103"/>
      <c r="L12" s="2074">
        <v>1</v>
      </c>
      <c r="M12" s="2099" t="b">
        <f>L12='Sockeye Returns Data'!AI19</f>
        <v>1</v>
      </c>
      <c r="N12" s="2074"/>
      <c r="O12" s="2074">
        <v>13105</v>
      </c>
      <c r="P12" s="2056">
        <f>'Sockeye Returns Data'!E19/O12</f>
        <v>0.98863029378099965</v>
      </c>
      <c r="Q12" s="2074"/>
      <c r="R12" s="1103">
        <v>1</v>
      </c>
      <c r="S12" s="1103"/>
      <c r="T12" s="1103">
        <v>1</v>
      </c>
      <c r="U12" s="1103"/>
      <c r="V12" s="1103">
        <v>1</v>
      </c>
      <c r="W12" s="2106"/>
      <c r="X12" s="2101" t="b">
        <f>V12='Sockeye Returns Data'!BQ19</f>
        <v>1</v>
      </c>
      <c r="Y12" s="1103"/>
      <c r="Z12" s="2094">
        <v>13101</v>
      </c>
      <c r="AA12" s="2094">
        <f>'Sockeye Returns Data'!C19</f>
        <v>12957</v>
      </c>
      <c r="AB12" s="2056">
        <f t="shared" si="2"/>
        <v>0.98900847263567671</v>
      </c>
      <c r="AC12" s="2056"/>
      <c r="AD12" s="2074">
        <v>2227.17</v>
      </c>
      <c r="AE12" s="2074">
        <f>'Sockeye Returns Data'!AD19</f>
        <v>2202</v>
      </c>
      <c r="AF12" s="2056">
        <f t="shared" si="3"/>
        <v>0.98869866242810378</v>
      </c>
      <c r="AG12" s="2074"/>
      <c r="AH12" s="2074">
        <v>2227.17</v>
      </c>
      <c r="AI12" s="2096"/>
      <c r="AJ12" s="2083">
        <v>2227.17</v>
      </c>
      <c r="AK12" s="2077">
        <f t="shared" si="0"/>
        <v>2202</v>
      </c>
      <c r="AL12" s="485">
        <f t="shared" si="1"/>
        <v>0.98869866242810378</v>
      </c>
    </row>
    <row r="13" spans="1:38" x14ac:dyDescent="0.3">
      <c r="A13" s="854">
        <v>12</v>
      </c>
      <c r="B13" s="2089">
        <v>1995</v>
      </c>
      <c r="C13" s="2074">
        <v>8774</v>
      </c>
      <c r="D13" s="2099" t="b">
        <f>C13='Sockeye Returns Data'!D20</f>
        <v>1</v>
      </c>
      <c r="E13" s="2074"/>
      <c r="F13" s="2074">
        <v>5</v>
      </c>
      <c r="G13" s="2099" t="b">
        <f>F13='Sockeye Returns Data'!F20</f>
        <v>1</v>
      </c>
      <c r="H13" s="2074"/>
      <c r="I13" s="1103">
        <v>0.59</v>
      </c>
      <c r="J13" s="2101" t="b">
        <f>I13='Sockeye Returns Data'!U20</f>
        <v>1</v>
      </c>
      <c r="K13" s="1103"/>
      <c r="L13" s="2074">
        <v>1</v>
      </c>
      <c r="M13" s="2099" t="b">
        <f>L13='Sockeye Returns Data'!AI20</f>
        <v>1</v>
      </c>
      <c r="N13" s="2074"/>
      <c r="O13" s="2074">
        <v>9059.5</v>
      </c>
      <c r="P13" s="2056">
        <f>'Sockeye Returns Data'!E20/O13</f>
        <v>0.9804073072465368</v>
      </c>
      <c r="Q13" s="2074"/>
      <c r="R13" s="1103">
        <v>1</v>
      </c>
      <c r="S13" s="1103"/>
      <c r="T13" s="1103">
        <v>1</v>
      </c>
      <c r="U13" s="1103"/>
      <c r="V13" s="1103">
        <v>1</v>
      </c>
      <c r="W13" s="2106"/>
      <c r="X13" s="2101" t="b">
        <f>V13='Sockeye Returns Data'!BQ20</f>
        <v>1</v>
      </c>
      <c r="Y13" s="1103"/>
      <c r="Z13" s="2094">
        <v>9055.5</v>
      </c>
      <c r="AA13" s="2094">
        <f>'Sockeye Returns Data'!C20</f>
        <v>8883</v>
      </c>
      <c r="AB13" s="2056">
        <f t="shared" si="2"/>
        <v>0.98095080337916185</v>
      </c>
      <c r="AC13" s="2056"/>
      <c r="AD13" s="2074">
        <v>5342.7449999999999</v>
      </c>
      <c r="AE13" s="2074">
        <f>'Sockeye Returns Data'!AD20</f>
        <v>5238</v>
      </c>
      <c r="AF13" s="2056">
        <f t="shared" si="3"/>
        <v>0.98039490935839169</v>
      </c>
      <c r="AG13" s="2074"/>
      <c r="AH13" s="2074">
        <v>5342.7449999999999</v>
      </c>
      <c r="AI13" s="2096"/>
      <c r="AJ13" s="2083">
        <v>5342.7449999999999</v>
      </c>
      <c r="AK13" s="2077">
        <f t="shared" si="0"/>
        <v>5238</v>
      </c>
      <c r="AL13" s="485">
        <f t="shared" si="1"/>
        <v>0.98039490935839169</v>
      </c>
    </row>
    <row r="14" spans="1:38" x14ac:dyDescent="0.3">
      <c r="A14" s="854">
        <v>13</v>
      </c>
      <c r="B14" s="2089">
        <v>1996</v>
      </c>
      <c r="C14" s="2074">
        <v>30232</v>
      </c>
      <c r="D14" s="2099" t="b">
        <f>C14='Sockeye Returns Data'!D21</f>
        <v>1</v>
      </c>
      <c r="E14" s="2074"/>
      <c r="F14" s="2074">
        <v>3</v>
      </c>
      <c r="G14" s="2099" t="b">
        <f>F14='Sockeye Returns Data'!F21</f>
        <v>1</v>
      </c>
      <c r="H14" s="2074"/>
      <c r="I14" s="1103">
        <v>0.74</v>
      </c>
      <c r="J14" s="2101" t="b">
        <f>I14='Sockeye Returns Data'!U21</f>
        <v>1</v>
      </c>
      <c r="K14" s="1103"/>
      <c r="L14" s="2074">
        <v>25</v>
      </c>
      <c r="M14" s="2099" t="b">
        <f>L14='Sockeye Returns Data'!AI21</f>
        <v>1</v>
      </c>
      <c r="N14" s="2074"/>
      <c r="O14" s="2074">
        <v>31369</v>
      </c>
      <c r="P14" s="2056">
        <f>'Sockeye Returns Data'!E21/O14</f>
        <v>0.99700341101087064</v>
      </c>
      <c r="Q14" s="2074"/>
      <c r="R14" s="1103">
        <v>1</v>
      </c>
      <c r="S14" s="1103"/>
      <c r="T14" s="1103">
        <v>1</v>
      </c>
      <c r="U14" s="1103"/>
      <c r="V14" s="1103">
        <v>1</v>
      </c>
      <c r="W14" s="2106"/>
      <c r="X14" s="2101" t="b">
        <f>V14='Sockeye Returns Data'!BQ21</f>
        <v>1</v>
      </c>
      <c r="Y14" s="1103"/>
      <c r="Z14" s="2094">
        <v>31391</v>
      </c>
      <c r="AA14" s="2094">
        <f>'Sockeye Returns Data'!C21</f>
        <v>31300</v>
      </c>
      <c r="AB14" s="2056">
        <f t="shared" si="2"/>
        <v>0.99710107992736774</v>
      </c>
      <c r="AC14" s="2056"/>
      <c r="AD14" s="2074">
        <v>23229.34</v>
      </c>
      <c r="AE14" s="2074">
        <f>'Sockeye Returns Data'!AD21</f>
        <v>23160</v>
      </c>
      <c r="AF14" s="2056">
        <f t="shared" si="3"/>
        <v>0.99701498191511251</v>
      </c>
      <c r="AG14" s="2074"/>
      <c r="AH14" s="2074">
        <v>23229.34</v>
      </c>
      <c r="AI14" s="2096"/>
      <c r="AJ14" s="2083">
        <v>23229.34</v>
      </c>
      <c r="AK14" s="2077">
        <f t="shared" si="0"/>
        <v>23160</v>
      </c>
      <c r="AL14" s="485">
        <f t="shared" si="1"/>
        <v>0.99701498191511251</v>
      </c>
    </row>
    <row r="15" spans="1:38" x14ac:dyDescent="0.3">
      <c r="A15" s="854">
        <v>14</v>
      </c>
      <c r="B15" s="2089">
        <v>1997</v>
      </c>
      <c r="C15" s="2074">
        <v>47008</v>
      </c>
      <c r="D15" s="2099" t="b">
        <f>C15='Sockeye Returns Data'!D22</f>
        <v>1</v>
      </c>
      <c r="E15" s="2074"/>
      <c r="F15" s="2074">
        <v>16</v>
      </c>
      <c r="G15" s="2099" t="b">
        <f>F15='Sockeye Returns Data'!F22</f>
        <v>1</v>
      </c>
      <c r="H15" s="2074"/>
      <c r="I15" s="1103">
        <v>0.74</v>
      </c>
      <c r="J15" s="2101" t="b">
        <f>I15='Sockeye Returns Data'!U22</f>
        <v>1</v>
      </c>
      <c r="K15" s="1103"/>
      <c r="L15" s="2074">
        <v>12</v>
      </c>
      <c r="M15" s="2099" t="b">
        <f>L15='Sockeye Returns Data'!AI22</f>
        <v>1</v>
      </c>
      <c r="N15" s="2074"/>
      <c r="O15" s="2074">
        <v>48873</v>
      </c>
      <c r="P15" s="2056">
        <f>'Sockeye Returns Data'!E22/O15</f>
        <v>0.99811757002844104</v>
      </c>
      <c r="Q15" s="2074"/>
      <c r="R15" s="1103">
        <v>1</v>
      </c>
      <c r="S15" s="1103"/>
      <c r="T15" s="1103">
        <v>1</v>
      </c>
      <c r="U15" s="1103"/>
      <c r="V15" s="1103">
        <v>1</v>
      </c>
      <c r="W15" s="2106"/>
      <c r="X15" s="2101" t="b">
        <f>V15='Sockeye Returns Data'!BQ22</f>
        <v>1</v>
      </c>
      <c r="Y15" s="1103"/>
      <c r="Z15" s="2094">
        <v>48869</v>
      </c>
      <c r="AA15" s="2094">
        <f>'Sockeye Returns Data'!C22</f>
        <v>48793</v>
      </c>
      <c r="AB15" s="2056">
        <f t="shared" si="2"/>
        <v>0.99844482187071559</v>
      </c>
      <c r="AC15" s="2056"/>
      <c r="AD15" s="2074">
        <v>36163.06</v>
      </c>
      <c r="AE15" s="2074">
        <f>'Sockeye Returns Data'!AD22</f>
        <v>36095</v>
      </c>
      <c r="AF15" s="2056">
        <f t="shared" si="3"/>
        <v>0.99811796899930483</v>
      </c>
      <c r="AG15" s="2074"/>
      <c r="AH15" s="2074">
        <v>36163.06</v>
      </c>
      <c r="AI15" s="2096"/>
      <c r="AJ15" s="2083">
        <v>36163.06</v>
      </c>
      <c r="AK15" s="2077">
        <f t="shared" si="0"/>
        <v>36095</v>
      </c>
      <c r="AL15" s="485">
        <f t="shared" si="1"/>
        <v>0.99811796899930483</v>
      </c>
    </row>
    <row r="16" spans="1:38" x14ac:dyDescent="0.3">
      <c r="A16" s="854">
        <v>15</v>
      </c>
      <c r="B16" s="2089">
        <v>1998</v>
      </c>
      <c r="C16" s="2074">
        <v>13218</v>
      </c>
      <c r="D16" s="2099" t="b">
        <f>C16='Sockeye Returns Data'!D23</f>
        <v>1</v>
      </c>
      <c r="E16" s="2074"/>
      <c r="F16" s="2074">
        <v>4</v>
      </c>
      <c r="G16" s="2099" t="b">
        <f>F16='Sockeye Returns Data'!F23</f>
        <v>1</v>
      </c>
      <c r="H16" s="2074"/>
      <c r="I16" s="1103">
        <v>0.56999999999999995</v>
      </c>
      <c r="J16" s="2101" t="b">
        <f>I16='Sockeye Returns Data'!U23</f>
        <v>1</v>
      </c>
      <c r="K16" s="1103"/>
      <c r="L16" s="2074">
        <v>2</v>
      </c>
      <c r="M16" s="2099" t="b">
        <f>L16='Sockeye Returns Data'!AI23</f>
        <v>1</v>
      </c>
      <c r="N16" s="2074"/>
      <c r="O16" s="2074">
        <v>13666</v>
      </c>
      <c r="P16" s="2056">
        <f>'Sockeye Returns Data'!E23/O16</f>
        <v>0.98931655202692814</v>
      </c>
      <c r="Q16" s="2074"/>
      <c r="R16" s="1103">
        <v>1</v>
      </c>
      <c r="S16" s="1103"/>
      <c r="T16" s="1103">
        <v>1</v>
      </c>
      <c r="U16" s="1103"/>
      <c r="V16" s="1103">
        <v>1</v>
      </c>
      <c r="W16" s="2106"/>
      <c r="X16" s="2101" t="b">
        <f>V16='Sockeye Returns Data'!BQ23</f>
        <v>1</v>
      </c>
      <c r="Y16" s="1103"/>
      <c r="Z16" s="2094">
        <v>13664</v>
      </c>
      <c r="AA16" s="2094">
        <f>'Sockeye Returns Data'!C23</f>
        <v>13522</v>
      </c>
      <c r="AB16" s="2056">
        <f t="shared" si="2"/>
        <v>0.98960772833723654</v>
      </c>
      <c r="AC16" s="2056"/>
      <c r="AD16" s="2074">
        <v>7788.48</v>
      </c>
      <c r="AE16" s="2074">
        <f>'Sockeye Returns Data'!AD23</f>
        <v>7705</v>
      </c>
      <c r="AF16" s="2056">
        <f t="shared" si="3"/>
        <v>0.989281605653478</v>
      </c>
      <c r="AG16" s="2074"/>
      <c r="AH16" s="2074">
        <v>7788.48</v>
      </c>
      <c r="AI16" s="2096"/>
      <c r="AJ16" s="2083">
        <v>7788.48</v>
      </c>
      <c r="AK16" s="2077">
        <f t="shared" si="0"/>
        <v>7705</v>
      </c>
      <c r="AL16" s="485">
        <f t="shared" si="1"/>
        <v>0.989281605653478</v>
      </c>
    </row>
    <row r="17" spans="1:39" x14ac:dyDescent="0.3">
      <c r="A17" s="854">
        <v>16</v>
      </c>
      <c r="B17" s="2089">
        <v>1999</v>
      </c>
      <c r="C17" s="2074">
        <v>17877</v>
      </c>
      <c r="D17" s="2099" t="b">
        <f>C17='Sockeye Returns Data'!D24</f>
        <v>1</v>
      </c>
      <c r="E17" s="2074"/>
      <c r="F17" s="2074">
        <v>15</v>
      </c>
      <c r="G17" s="2099" t="b">
        <f>F17='Sockeye Returns Data'!F24</f>
        <v>1</v>
      </c>
      <c r="H17" s="2074"/>
      <c r="I17" s="1103">
        <v>0.91</v>
      </c>
      <c r="J17" s="2101" t="b">
        <f>I17='Sockeye Returns Data'!U24</f>
        <v>1</v>
      </c>
      <c r="K17" s="1103"/>
      <c r="L17" s="2074">
        <v>1</v>
      </c>
      <c r="M17" s="2099" t="b">
        <f>L17='Sockeye Returns Data'!AI24</f>
        <v>1</v>
      </c>
      <c r="N17" s="2074"/>
      <c r="O17" s="2074">
        <v>18507</v>
      </c>
      <c r="P17" s="2056">
        <f>'Sockeye Returns Data'!E24/O17</f>
        <v>0.99324579888690767</v>
      </c>
      <c r="Q17" s="2074"/>
      <c r="R17" s="1103">
        <v>1</v>
      </c>
      <c r="S17" s="1103"/>
      <c r="T17" s="1103">
        <v>1</v>
      </c>
      <c r="U17" s="1103"/>
      <c r="V17" s="1103">
        <v>1</v>
      </c>
      <c r="W17" s="2106"/>
      <c r="X17" s="2101" t="b">
        <f>V17='Sockeye Returns Data'!BQ24</f>
        <v>1</v>
      </c>
      <c r="Y17" s="1103"/>
      <c r="Z17" s="2094">
        <v>18493</v>
      </c>
      <c r="AA17" s="2094">
        <f>'Sockeye Returns Data'!C24</f>
        <v>18383</v>
      </c>
      <c r="AB17" s="2056">
        <f t="shared" si="2"/>
        <v>0.9940518033850646</v>
      </c>
      <c r="AC17" s="2056"/>
      <c r="AD17" s="2074">
        <v>16828.63</v>
      </c>
      <c r="AE17" s="2074">
        <f>'Sockeye Returns Data'!AD24</f>
        <v>16715</v>
      </c>
      <c r="AF17" s="2056">
        <f t="shared" si="3"/>
        <v>0.99324781637007875</v>
      </c>
      <c r="AG17" s="2074"/>
      <c r="AH17" s="2074">
        <v>16828.63</v>
      </c>
      <c r="AI17" s="2096"/>
      <c r="AJ17" s="2083">
        <v>16828.63</v>
      </c>
      <c r="AK17" s="2077">
        <f t="shared" si="0"/>
        <v>16715</v>
      </c>
      <c r="AL17" s="485">
        <f t="shared" si="1"/>
        <v>0.99324781637007875</v>
      </c>
    </row>
    <row r="18" spans="1:39" x14ac:dyDescent="0.3">
      <c r="A18" s="854">
        <v>17</v>
      </c>
      <c r="B18" s="2089">
        <v>2000</v>
      </c>
      <c r="C18" s="2074">
        <v>93398</v>
      </c>
      <c r="D18" s="2099" t="b">
        <f>C18='Sockeye Returns Data'!D25</f>
        <v>1</v>
      </c>
      <c r="E18" s="2074"/>
      <c r="F18" s="2074">
        <v>365</v>
      </c>
      <c r="G18" s="2099" t="b">
        <f>F18='Sockeye Returns Data'!F25</f>
        <v>1</v>
      </c>
      <c r="H18" s="2074"/>
      <c r="I18" s="1103">
        <v>0.76</v>
      </c>
      <c r="J18" s="2101" t="b">
        <f>I18='Sockeye Returns Data'!U25</f>
        <v>1</v>
      </c>
      <c r="K18" s="1103"/>
      <c r="L18" s="2074">
        <v>366</v>
      </c>
      <c r="M18" s="2099" t="b">
        <f>L18='Sockeye Returns Data'!AI25</f>
        <v>1</v>
      </c>
      <c r="N18" s="2074"/>
      <c r="O18" s="2074">
        <v>97395</v>
      </c>
      <c r="P18" s="2056">
        <f>'Sockeye Returns Data'!E25/O18</f>
        <v>0.99790543662405673</v>
      </c>
      <c r="Q18" s="2074"/>
      <c r="R18" s="1103">
        <v>1</v>
      </c>
      <c r="S18" s="1103"/>
      <c r="T18" s="1103">
        <v>1</v>
      </c>
      <c r="U18" s="1103"/>
      <c r="V18" s="1103">
        <v>1</v>
      </c>
      <c r="W18" s="2106">
        <f>'Spawning Ground Ratios'!O5</f>
        <v>1</v>
      </c>
      <c r="X18" s="2101" t="b">
        <f>V18='Sockeye Returns Data'!BQ25</f>
        <v>1</v>
      </c>
      <c r="Y18" s="1103"/>
      <c r="Z18" s="2094">
        <v>97396</v>
      </c>
      <c r="AA18" s="2094">
        <f>'Sockeye Returns Data'!C25</f>
        <v>97557</v>
      </c>
      <c r="AB18" s="2056">
        <f t="shared" si="2"/>
        <v>1.0016530452996015</v>
      </c>
      <c r="AC18" s="2056"/>
      <c r="AD18" s="2074">
        <v>74020.960000000006</v>
      </c>
      <c r="AE18" s="2074">
        <f>'Sockeye Returns Data'!AD25</f>
        <v>73866</v>
      </c>
      <c r="AF18" s="2056">
        <f t="shared" si="3"/>
        <v>0.99790653890465608</v>
      </c>
      <c r="AG18" s="2074"/>
      <c r="AH18" s="2074">
        <v>74020.960000000006</v>
      </c>
      <c r="AI18" s="2096"/>
      <c r="AJ18" s="2083">
        <v>74020.960000000006</v>
      </c>
      <c r="AK18" s="2077">
        <f t="shared" si="0"/>
        <v>73866</v>
      </c>
      <c r="AL18" s="485">
        <f t="shared" si="1"/>
        <v>0.99790653890465608</v>
      </c>
    </row>
    <row r="19" spans="1:39" x14ac:dyDescent="0.3">
      <c r="A19" s="854">
        <v>18</v>
      </c>
      <c r="B19" s="2089">
        <v>2001</v>
      </c>
      <c r="C19" s="2074">
        <v>114934</v>
      </c>
      <c r="D19" s="2099" t="b">
        <f>C19='Sockeye Returns Data'!D26</f>
        <v>1</v>
      </c>
      <c r="E19" s="2074"/>
      <c r="F19" s="2074">
        <v>41</v>
      </c>
      <c r="G19" s="2099" t="b">
        <f>F19='Sockeye Returns Data'!F26</f>
        <v>1</v>
      </c>
      <c r="H19" s="2074"/>
      <c r="I19" s="1103">
        <v>0.69</v>
      </c>
      <c r="J19" s="2101" t="b">
        <f>I19='Sockeye Returns Data'!U26</f>
        <v>1</v>
      </c>
      <c r="K19" s="1103"/>
      <c r="L19" s="2074">
        <v>1691</v>
      </c>
      <c r="M19" s="2099" t="b">
        <f>L19='Sockeye Returns Data'!AI26</f>
        <v>1</v>
      </c>
      <c r="N19" s="2074"/>
      <c r="O19" s="2074">
        <v>119983.5</v>
      </c>
      <c r="P19" s="2056">
        <f>'Sockeye Returns Data'!E26/O19</f>
        <v>0.99733713385590517</v>
      </c>
      <c r="Q19" s="2074"/>
      <c r="R19" s="1103">
        <v>1</v>
      </c>
      <c r="S19" s="1103"/>
      <c r="T19" s="1103">
        <v>1</v>
      </c>
      <c r="U19" s="1103"/>
      <c r="V19" s="1103">
        <v>1</v>
      </c>
      <c r="W19" s="2106">
        <f>'Spawning Ground Ratios'!O6</f>
        <v>1</v>
      </c>
      <c r="X19" s="2101" t="b">
        <f>V19='Sockeye Returns Data'!BQ26</f>
        <v>1</v>
      </c>
      <c r="Y19" s="1103"/>
      <c r="Z19" s="2094">
        <v>121633.5</v>
      </c>
      <c r="AA19" s="2094">
        <f>'Sockeye Returns Data'!C26</f>
        <v>121355</v>
      </c>
      <c r="AB19" s="2056">
        <f t="shared" si="2"/>
        <v>0.9977103347350853</v>
      </c>
      <c r="AC19" s="2056"/>
      <c r="AD19" s="2074">
        <v>83927.115000000005</v>
      </c>
      <c r="AE19" s="2074">
        <f>'Sockeye Returns Data'!AD26</f>
        <v>83707</v>
      </c>
      <c r="AF19" s="2056">
        <f t="shared" si="3"/>
        <v>0.99737730767940724</v>
      </c>
      <c r="AG19" s="2074"/>
      <c r="AH19" s="2074">
        <v>83927.115000000005</v>
      </c>
      <c r="AI19" s="2096"/>
      <c r="AJ19" s="2083">
        <v>83927.115000000005</v>
      </c>
      <c r="AK19" s="2077">
        <f t="shared" si="0"/>
        <v>83707</v>
      </c>
      <c r="AL19" s="485">
        <f t="shared" si="1"/>
        <v>0.99737730767940724</v>
      </c>
    </row>
    <row r="20" spans="1:39" x14ac:dyDescent="0.3">
      <c r="A20" s="854">
        <v>19</v>
      </c>
      <c r="B20" s="2089">
        <v>2002</v>
      </c>
      <c r="C20" s="2074">
        <v>49610</v>
      </c>
      <c r="D20" s="2099" t="b">
        <f>C20='Sockeye Returns Data'!D27</f>
        <v>1</v>
      </c>
      <c r="E20" s="2074"/>
      <c r="F20" s="2074">
        <v>64</v>
      </c>
      <c r="G20" s="2099" t="b">
        <f>F20='Sockeye Returns Data'!F27</f>
        <v>1</v>
      </c>
      <c r="H20" s="2074"/>
      <c r="I20" s="1103">
        <v>0.28000000000000003</v>
      </c>
      <c r="J20" s="2101" t="b">
        <f>I20='Sockeye Returns Data'!U27</f>
        <v>1</v>
      </c>
      <c r="K20" s="1103"/>
      <c r="L20" s="2074">
        <v>24</v>
      </c>
      <c r="M20" s="2099" t="b">
        <f>L20='Sockeye Returns Data'!AI27</f>
        <v>0</v>
      </c>
      <c r="N20" s="2074"/>
      <c r="O20" s="2074">
        <v>51585</v>
      </c>
      <c r="P20" s="2056">
        <f>'Sockeye Returns Data'!E27/O20</f>
        <v>0.99827469225550058</v>
      </c>
      <c r="Q20" s="2074"/>
      <c r="R20" s="1103">
        <v>1</v>
      </c>
      <c r="S20" s="1103"/>
      <c r="T20" s="1103">
        <v>1</v>
      </c>
      <c r="U20" s="1103"/>
      <c r="V20" s="1103">
        <v>1</v>
      </c>
      <c r="W20" s="2106">
        <f>'Spawning Ground Ratios'!O7</f>
        <v>1</v>
      </c>
      <c r="X20" s="2101" t="b">
        <f>V20='Sockeye Returns Data'!BQ27</f>
        <v>1</v>
      </c>
      <c r="Y20" s="1103"/>
      <c r="Z20" s="2094">
        <v>51545</v>
      </c>
      <c r="AA20" s="2094">
        <f>'Sockeye Returns Data'!C27</f>
        <v>51515</v>
      </c>
      <c r="AB20" s="2056">
        <f t="shared" si="2"/>
        <v>0.99941798428557571</v>
      </c>
      <c r="AC20" s="2056"/>
      <c r="AD20" s="2074">
        <v>14432.6</v>
      </c>
      <c r="AE20" s="2074">
        <f>'Sockeye Returns Data'!AD27</f>
        <v>14406</v>
      </c>
      <c r="AF20" s="2056">
        <f t="shared" si="3"/>
        <v>0.99815695023765638</v>
      </c>
      <c r="AG20" s="2074"/>
      <c r="AH20" s="2074">
        <v>14432.6</v>
      </c>
      <c r="AI20" s="2096"/>
      <c r="AJ20" s="2083">
        <v>14432.6</v>
      </c>
      <c r="AK20" s="2077">
        <f t="shared" si="0"/>
        <v>14406</v>
      </c>
      <c r="AL20" s="485">
        <f t="shared" si="1"/>
        <v>0.99815695023765638</v>
      </c>
    </row>
    <row r="21" spans="1:39" x14ac:dyDescent="0.3">
      <c r="A21" s="854">
        <v>20</v>
      </c>
      <c r="B21" s="2089">
        <v>2003</v>
      </c>
      <c r="C21" s="2074">
        <v>39291</v>
      </c>
      <c r="D21" s="2099" t="b">
        <f>C21='Sockeye Returns Data'!D28</f>
        <v>1</v>
      </c>
      <c r="E21" s="2074"/>
      <c r="F21" s="2074">
        <v>40</v>
      </c>
      <c r="G21" s="2099" t="b">
        <f>F21='Sockeye Returns Data'!F28</f>
        <v>1</v>
      </c>
      <c r="H21" s="2074"/>
      <c r="I21" s="1103">
        <v>0.86</v>
      </c>
      <c r="J21" s="2101" t="b">
        <f>I21='Sockeye Returns Data'!U28</f>
        <v>1</v>
      </c>
      <c r="K21" s="1103"/>
      <c r="L21" s="2074">
        <v>0</v>
      </c>
      <c r="M21" s="2099" t="b">
        <f>L21='Sockeye Returns Data'!AI28</f>
        <v>1</v>
      </c>
      <c r="N21" s="2074"/>
      <c r="O21" s="2074">
        <v>40816</v>
      </c>
      <c r="P21" s="2056">
        <f>'Sockeye Returns Data'!E28/O21</f>
        <v>0.99784398275186204</v>
      </c>
      <c r="Q21" s="2074"/>
      <c r="R21" s="1103">
        <v>1</v>
      </c>
      <c r="S21" s="1103"/>
      <c r="T21" s="1103">
        <v>1</v>
      </c>
      <c r="U21" s="1103"/>
      <c r="V21" s="1103">
        <v>1</v>
      </c>
      <c r="W21" s="2106">
        <f>'Spawning Ground Ratios'!O8</f>
        <v>1</v>
      </c>
      <c r="X21" s="2101" t="b">
        <f>V21='Sockeye Returns Data'!BQ28</f>
        <v>1</v>
      </c>
      <c r="Y21" s="1103"/>
      <c r="Z21" s="2094">
        <v>40776</v>
      </c>
      <c r="AA21" s="2094">
        <f>'Sockeye Returns Data'!C28</f>
        <v>40728</v>
      </c>
      <c r="AB21" s="2056">
        <f t="shared" si="2"/>
        <v>0.9988228369629194</v>
      </c>
      <c r="AC21" s="2056"/>
      <c r="AD21" s="2074">
        <v>35067.360000000001</v>
      </c>
      <c r="AE21" s="2074">
        <f>'Sockeye Returns Data'!AD28</f>
        <v>34992</v>
      </c>
      <c r="AF21" s="2056">
        <f t="shared" si="3"/>
        <v>0.99785099306021319</v>
      </c>
      <c r="AG21" s="2074"/>
      <c r="AH21" s="2074">
        <v>35067.360000000001</v>
      </c>
      <c r="AI21" s="2096"/>
      <c r="AJ21" s="2083">
        <v>35067.360000000001</v>
      </c>
      <c r="AK21" s="2077">
        <f t="shared" si="0"/>
        <v>34992</v>
      </c>
      <c r="AL21" s="485">
        <f t="shared" si="1"/>
        <v>0.99785099306021319</v>
      </c>
    </row>
    <row r="22" spans="1:39" x14ac:dyDescent="0.3">
      <c r="A22" s="854">
        <v>21</v>
      </c>
      <c r="B22" s="2089">
        <v>2004</v>
      </c>
      <c r="C22" s="2074">
        <v>123291</v>
      </c>
      <c r="D22" s="2099" t="b">
        <f>C22='Sockeye Returns Data'!D29</f>
        <v>1</v>
      </c>
      <c r="E22" s="2074"/>
      <c r="F22" s="2074">
        <v>118</v>
      </c>
      <c r="G22" s="2099" t="b">
        <f>F22='Sockeye Returns Data'!F29</f>
        <v>1</v>
      </c>
      <c r="H22" s="2074"/>
      <c r="I22" s="1103">
        <v>0.71</v>
      </c>
      <c r="J22" s="2101" t="b">
        <f>I22='Sockeye Returns Data'!U29</f>
        <v>1</v>
      </c>
      <c r="K22" s="1103"/>
      <c r="L22" s="2074">
        <v>682</v>
      </c>
      <c r="M22" s="2099" t="b">
        <f>L22='Sockeye Returns Data'!AI29</f>
        <v>0</v>
      </c>
      <c r="N22" s="2074"/>
      <c r="O22" s="2074">
        <v>128754</v>
      </c>
      <c r="P22" s="2056">
        <f>'Sockeye Returns Data'!E29/O22</f>
        <v>0.99713406962113793</v>
      </c>
      <c r="Q22" s="2074"/>
      <c r="R22" s="1103">
        <v>1</v>
      </c>
      <c r="S22" s="1103"/>
      <c r="T22" s="1103">
        <v>1</v>
      </c>
      <c r="U22" s="1103"/>
      <c r="V22" s="1103">
        <v>1</v>
      </c>
      <c r="W22" s="2106">
        <f>'Spawning Ground Ratios'!O9</f>
        <v>1</v>
      </c>
      <c r="X22" s="2101" t="b">
        <f>V22='Sockeye Returns Data'!BQ29</f>
        <v>1</v>
      </c>
      <c r="Y22" s="1103"/>
      <c r="Z22" s="2094">
        <v>129318</v>
      </c>
      <c r="AA22" s="2094">
        <f>'Sockeye Returns Data'!C29</f>
        <v>129057</v>
      </c>
      <c r="AB22" s="2056">
        <f t="shared" si="2"/>
        <v>0.99798171948220671</v>
      </c>
      <c r="AC22" s="2056"/>
      <c r="AD22" s="2074">
        <v>91815.78</v>
      </c>
      <c r="AE22" s="2074">
        <f>'Sockeye Returns Data'!AD29</f>
        <v>91547</v>
      </c>
      <c r="AF22" s="2056">
        <f t="shared" si="3"/>
        <v>0.9970726164935918</v>
      </c>
      <c r="AG22" s="2074"/>
      <c r="AH22" s="2074">
        <v>91815.78</v>
      </c>
      <c r="AI22" s="2096"/>
      <c r="AJ22" s="2083">
        <v>91815.78</v>
      </c>
      <c r="AK22" s="2077">
        <f t="shared" si="0"/>
        <v>91547</v>
      </c>
      <c r="AL22" s="485">
        <f t="shared" si="1"/>
        <v>0.9970726164935918</v>
      </c>
    </row>
    <row r="23" spans="1:39" x14ac:dyDescent="0.3">
      <c r="A23" s="854">
        <v>22</v>
      </c>
      <c r="B23" s="2089">
        <v>2005</v>
      </c>
      <c r="C23" s="2074">
        <v>72971</v>
      </c>
      <c r="D23" s="2099" t="b">
        <f>C23='Sockeye Returns Data'!D30</f>
        <v>1</v>
      </c>
      <c r="E23" s="2074"/>
      <c r="F23" s="2074">
        <v>19</v>
      </c>
      <c r="G23" s="2099" t="b">
        <f>F23='Sockeye Returns Data'!F30</f>
        <v>1</v>
      </c>
      <c r="H23" s="2074"/>
      <c r="I23" s="1103">
        <v>0.78</v>
      </c>
      <c r="J23" s="2101" t="b">
        <f>I23='Sockeye Returns Data'!U30</f>
        <v>1</v>
      </c>
      <c r="K23" s="1103"/>
      <c r="L23" s="2074">
        <v>4</v>
      </c>
      <c r="M23" s="2099" t="b">
        <f>L23='Sockeye Returns Data'!AI30</f>
        <v>1</v>
      </c>
      <c r="N23" s="2074"/>
      <c r="O23" s="2074">
        <v>76017</v>
      </c>
      <c r="P23" s="2056">
        <f>'Sockeye Returns Data'!E30/O23</f>
        <v>0.99811884183800992</v>
      </c>
      <c r="Q23" s="2074"/>
      <c r="R23" s="1103">
        <v>1</v>
      </c>
      <c r="S23" s="1103"/>
      <c r="T23" s="1103">
        <v>1</v>
      </c>
      <c r="U23" s="1103"/>
      <c r="V23" s="1103">
        <v>1</v>
      </c>
      <c r="W23" s="2106">
        <f>'Spawning Ground Ratios'!O10</f>
        <v>1</v>
      </c>
      <c r="X23" s="2101" t="b">
        <f>V23='Sockeye Returns Data'!BQ30</f>
        <v>1</v>
      </c>
      <c r="Y23" s="1103"/>
      <c r="Z23" s="2094">
        <v>76002</v>
      </c>
      <c r="AA23" s="2094">
        <f>'Sockeye Returns Data'!C30</f>
        <v>75878</v>
      </c>
      <c r="AB23" s="2056">
        <f t="shared" si="2"/>
        <v>0.99836846398778978</v>
      </c>
      <c r="AC23" s="2056"/>
      <c r="AD23" s="2074">
        <v>59281.56</v>
      </c>
      <c r="AE23" s="2074">
        <f>'Sockeye Returns Data'!AD30</f>
        <v>59170</v>
      </c>
      <c r="AF23" s="2056">
        <f t="shared" si="3"/>
        <v>0.99811813319352594</v>
      </c>
      <c r="AG23" s="2074"/>
      <c r="AH23" s="2074">
        <v>59281.56</v>
      </c>
      <c r="AI23" s="2096"/>
      <c r="AJ23" s="2083">
        <v>59281.56</v>
      </c>
      <c r="AK23" s="2077">
        <f t="shared" si="0"/>
        <v>59170</v>
      </c>
      <c r="AL23" s="485">
        <f t="shared" si="1"/>
        <v>0.99811813319352594</v>
      </c>
    </row>
    <row r="24" spans="1:39" x14ac:dyDescent="0.3">
      <c r="A24" s="854">
        <v>23</v>
      </c>
      <c r="B24" s="2089">
        <v>2006</v>
      </c>
      <c r="C24" s="2074">
        <v>37066</v>
      </c>
      <c r="D24" s="2099" t="b">
        <f>C24='Sockeye Returns Data'!D31</f>
        <v>1</v>
      </c>
      <c r="E24" s="2074"/>
      <c r="F24" s="2074">
        <v>51</v>
      </c>
      <c r="G24" s="2099" t="b">
        <f>F24='Sockeye Returns Data'!F31</f>
        <v>1</v>
      </c>
      <c r="H24" s="2074"/>
      <c r="I24" s="1103">
        <v>0.72</v>
      </c>
      <c r="J24" s="2101" t="b">
        <f>I24='Sockeye Returns Data'!U31</f>
        <v>1</v>
      </c>
      <c r="K24" s="1103"/>
      <c r="L24" s="2074">
        <v>1</v>
      </c>
      <c r="M24" s="2099" t="b">
        <f>L24='Sockeye Returns Data'!AI31</f>
        <v>1</v>
      </c>
      <c r="N24" s="2074"/>
      <c r="O24" s="2074">
        <v>38492</v>
      </c>
      <c r="P24" s="2056">
        <f>'Sockeye Returns Data'!E31/O24</f>
        <v>0.99776576951054763</v>
      </c>
      <c r="Q24" s="2074"/>
      <c r="R24" s="1103">
        <v>1</v>
      </c>
      <c r="S24" s="1103"/>
      <c r="T24" s="1103">
        <v>1</v>
      </c>
      <c r="U24" s="1103"/>
      <c r="V24" s="1103">
        <v>1</v>
      </c>
      <c r="W24" s="2106">
        <f>'Spawning Ground Ratios'!O11</f>
        <v>1</v>
      </c>
      <c r="X24" s="2101" t="b">
        <f>V24='Sockeye Returns Data'!BQ31</f>
        <v>1</v>
      </c>
      <c r="Y24" s="1103"/>
      <c r="Z24" s="2094">
        <v>38442</v>
      </c>
      <c r="AA24" s="2094">
        <f>'Sockeye Returns Data'!C31</f>
        <v>38407</v>
      </c>
      <c r="AB24" s="2056">
        <f t="shared" si="2"/>
        <v>0.99908953748504237</v>
      </c>
      <c r="AC24" s="2056"/>
      <c r="AD24" s="2074">
        <v>27678.240000000002</v>
      </c>
      <c r="AE24" s="2074">
        <f>'Sockeye Returns Data'!AD31</f>
        <v>27616</v>
      </c>
      <c r="AF24" s="2056">
        <f t="shared" si="3"/>
        <v>0.99775130210591423</v>
      </c>
      <c r="AG24" s="2074"/>
      <c r="AH24" s="2074">
        <v>27678.240000000002</v>
      </c>
      <c r="AI24" s="2096"/>
      <c r="AJ24" s="2083">
        <v>27678.240000000002</v>
      </c>
      <c r="AK24" s="2077">
        <f t="shared" si="0"/>
        <v>27616</v>
      </c>
      <c r="AL24" s="485">
        <f t="shared" si="1"/>
        <v>0.99775130210591423</v>
      </c>
    </row>
    <row r="25" spans="1:39" x14ac:dyDescent="0.3">
      <c r="A25" s="854">
        <v>24</v>
      </c>
      <c r="B25" s="2089">
        <v>2007</v>
      </c>
      <c r="C25" s="2074">
        <v>24376</v>
      </c>
      <c r="D25" s="2099" t="b">
        <f>C25='Sockeye Returns Data'!D32</f>
        <v>1</v>
      </c>
      <c r="E25" s="2074"/>
      <c r="F25" s="2074">
        <v>58</v>
      </c>
      <c r="G25" s="2099" t="b">
        <f>F25='Sockeye Returns Data'!F32</f>
        <v>1</v>
      </c>
      <c r="H25" s="2074"/>
      <c r="I25" s="1103">
        <v>0.89</v>
      </c>
      <c r="J25" s="2101" t="b">
        <f>I25='Sockeye Returns Data'!U32</f>
        <v>1</v>
      </c>
      <c r="K25" s="1103"/>
      <c r="L25" s="2074">
        <v>0</v>
      </c>
      <c r="M25" s="2099" t="b">
        <f>L25='Sockeye Returns Data'!AI32</f>
        <v>1</v>
      </c>
      <c r="N25" s="2074"/>
      <c r="O25" s="2074">
        <v>25263</v>
      </c>
      <c r="P25" s="2056">
        <f>'Sockeye Returns Data'!E32/O25</f>
        <v>0.99608122550765943</v>
      </c>
      <c r="Q25" s="2074"/>
      <c r="R25" s="1103">
        <v>1</v>
      </c>
      <c r="S25" s="1103"/>
      <c r="T25" s="1103">
        <v>0.87969924812030098</v>
      </c>
      <c r="U25" s="1103"/>
      <c r="V25" s="2107">
        <v>0.87969924812030098</v>
      </c>
      <c r="W25" s="2108">
        <f>'Spawning Ground Ratios'!O12</f>
        <v>0.8799851742031134</v>
      </c>
      <c r="X25" s="2101" t="b">
        <f>ROUND(V25,2)=ROUND('Spawning Ground Ratios'!O12,2)</f>
        <v>1</v>
      </c>
      <c r="Y25" s="1103"/>
      <c r="Z25" s="2094">
        <v>25205</v>
      </c>
      <c r="AA25" s="2094">
        <f>'Sockeye Returns Data'!C32</f>
        <v>25164</v>
      </c>
      <c r="AB25" s="2056">
        <f t="shared" si="2"/>
        <v>0.99837333862328903</v>
      </c>
      <c r="AC25" s="2056"/>
      <c r="AD25" s="2074">
        <v>22432.45</v>
      </c>
      <c r="AE25" s="2074">
        <f>'Sockeye Returns Data'!AD32</f>
        <v>22344</v>
      </c>
      <c r="AF25" s="2056">
        <f t="shared" si="3"/>
        <v>0.9960570512806225</v>
      </c>
      <c r="AG25" s="2074"/>
      <c r="AH25" s="2074">
        <v>22432.45</v>
      </c>
      <c r="AI25" s="2096"/>
      <c r="AJ25" s="2083">
        <v>19733.8093984962</v>
      </c>
      <c r="AK25" s="2077">
        <f t="shared" si="0"/>
        <v>19662.388732394367</v>
      </c>
      <c r="AL25" s="485">
        <f t="shared" si="1"/>
        <v>0.99638079680108416</v>
      </c>
    </row>
    <row r="26" spans="1:39" x14ac:dyDescent="0.3">
      <c r="A26" s="854">
        <v>25</v>
      </c>
      <c r="B26" s="2089">
        <v>2008</v>
      </c>
      <c r="C26" s="2074">
        <v>213607</v>
      </c>
      <c r="D26" s="2099" t="b">
        <f>C26='Sockeye Returns Data'!D33</f>
        <v>1</v>
      </c>
      <c r="E26" s="2074"/>
      <c r="F26" s="2074">
        <v>890</v>
      </c>
      <c r="G26" s="2099" t="b">
        <f>F26='Sockeye Returns Data'!F33</f>
        <v>1</v>
      </c>
      <c r="H26" s="2074"/>
      <c r="I26" s="1103">
        <v>0.85</v>
      </c>
      <c r="J26" s="2101" t="b">
        <f>I26='Sockeye Returns Data'!U33</f>
        <v>1</v>
      </c>
      <c r="K26" s="1103"/>
      <c r="L26" s="2074">
        <v>974</v>
      </c>
      <c r="M26" s="2099" t="b">
        <f>L26='Sockeye Returns Data'!AI33</f>
        <v>0</v>
      </c>
      <c r="N26" s="2074"/>
      <c r="O26" s="2074">
        <v>223672</v>
      </c>
      <c r="P26" s="2056">
        <f>'Sockeye Returns Data'!E33/O26</f>
        <v>1.0038136199434886</v>
      </c>
      <c r="Q26" s="2074"/>
      <c r="R26" s="1103">
        <v>1</v>
      </c>
      <c r="S26" s="1103"/>
      <c r="T26" s="1103">
        <v>0.93667334669338698</v>
      </c>
      <c r="U26" s="1103"/>
      <c r="V26" s="2107">
        <v>0.93667334669338698</v>
      </c>
      <c r="W26" s="2108">
        <f>'Spawning Ground Ratios'!O13</f>
        <v>0.93700185867750374</v>
      </c>
      <c r="X26" s="2101" t="b">
        <f>ROUND(V26,2)=ROUND('Spawning Ground Ratios'!O13,2)</f>
        <v>1</v>
      </c>
      <c r="Y26" s="1103"/>
      <c r="Z26" s="2094">
        <v>223756</v>
      </c>
      <c r="AA26" s="2094">
        <f>'Sockeye Returns Data'!C33</f>
        <v>225383</v>
      </c>
      <c r="AB26" s="2056">
        <f t="shared" si="2"/>
        <v>1.007271313394948</v>
      </c>
      <c r="AC26" s="2056"/>
      <c r="AD26" s="2074">
        <v>190192.6</v>
      </c>
      <c r="AE26" s="2074">
        <f>'Sockeye Returns Data'!AD33</f>
        <v>190819</v>
      </c>
      <c r="AF26" s="2056">
        <f t="shared" si="3"/>
        <v>1.0032935035327346</v>
      </c>
      <c r="AG26" s="2074"/>
      <c r="AH26" s="2074">
        <v>190192.6</v>
      </c>
      <c r="AI26" s="2096"/>
      <c r="AJ26" s="2083">
        <v>178148.33915831699</v>
      </c>
      <c r="AK26" s="2077">
        <f t="shared" si="0"/>
        <v>178797.7576709826</v>
      </c>
      <c r="AL26" s="485">
        <f t="shared" si="1"/>
        <v>1.0036453806739589</v>
      </c>
    </row>
    <row r="27" spans="1:39" x14ac:dyDescent="0.3">
      <c r="A27" s="854">
        <v>26</v>
      </c>
      <c r="B27" s="2089">
        <v>2009</v>
      </c>
      <c r="C27" s="2074">
        <v>177823</v>
      </c>
      <c r="D27" s="2099" t="b">
        <f>C27='Sockeye Returns Data'!D34</f>
        <v>1</v>
      </c>
      <c r="E27" s="2074"/>
      <c r="F27" s="2074">
        <v>1414</v>
      </c>
      <c r="G27" s="2099" t="b">
        <f>F27='Sockeye Returns Data'!F34</f>
        <v>1</v>
      </c>
      <c r="H27" s="2074"/>
      <c r="I27" s="1103">
        <v>0.83</v>
      </c>
      <c r="J27" s="2101" t="b">
        <f>I27='Sockeye Returns Data'!U34</f>
        <v>1</v>
      </c>
      <c r="K27" s="1103"/>
      <c r="L27" s="2074">
        <v>1188</v>
      </c>
      <c r="M27" s="2099" t="b">
        <f>L27='Sockeye Returns Data'!AI34</f>
        <v>0</v>
      </c>
      <c r="N27" s="2074"/>
      <c r="O27" s="2074">
        <v>186054.5</v>
      </c>
      <c r="P27" s="2056">
        <f>'Sockeye Returns Data'!E34/O27</f>
        <v>1.0023138381495744</v>
      </c>
      <c r="Q27" s="2074"/>
      <c r="R27" s="1103">
        <v>1</v>
      </c>
      <c r="S27" s="1103"/>
      <c r="T27" s="1103">
        <v>0.88888888888888895</v>
      </c>
      <c r="U27" s="1103"/>
      <c r="V27" s="2107">
        <v>0.88888888888888895</v>
      </c>
      <c r="W27" s="2108">
        <f>'Spawning Ground Ratios'!O14</f>
        <v>0.86583986010903269</v>
      </c>
      <c r="X27" s="2073" t="b">
        <f>ROUND(V27,2)=ROUND('Spawning Ground Ratios'!O14,2)</f>
        <v>0</v>
      </c>
      <c r="Y27" s="1103"/>
      <c r="Z27" s="2094">
        <v>185828.5</v>
      </c>
      <c r="AA27" s="2094">
        <f>'Sockeye Returns Data'!C34</f>
        <v>187614</v>
      </c>
      <c r="AB27" s="2056">
        <f t="shared" si="2"/>
        <v>1.0096083216514151</v>
      </c>
      <c r="AC27" s="2056"/>
      <c r="AD27" s="2074">
        <v>154237.655</v>
      </c>
      <c r="AE27" s="2074">
        <f>'Sockeye Returns Data'!AD34</f>
        <v>154546</v>
      </c>
      <c r="AF27" s="2056">
        <f t="shared" si="3"/>
        <v>1.0019991551349765</v>
      </c>
      <c r="AG27" s="2074"/>
      <c r="AH27" s="2074">
        <v>154237.655</v>
      </c>
      <c r="AI27" s="2096"/>
      <c r="AJ27" s="2083">
        <v>137100.137777778</v>
      </c>
      <c r="AK27" s="2077">
        <f t="shared" si="0"/>
        <v>133812.08702041057</v>
      </c>
      <c r="AL27" s="485">
        <f t="shared" si="1"/>
        <v>0.97601715935036515</v>
      </c>
    </row>
    <row r="28" spans="1:39" x14ac:dyDescent="0.3">
      <c r="A28" s="854">
        <v>27</v>
      </c>
      <c r="B28" s="2089">
        <v>2010</v>
      </c>
      <c r="C28" s="2074">
        <v>386525</v>
      </c>
      <c r="D28" s="2099" t="b">
        <f>C28='Sockeye Returns Data'!D35</f>
        <v>1</v>
      </c>
      <c r="E28" s="2074"/>
      <c r="F28" s="2074">
        <v>1861</v>
      </c>
      <c r="G28" s="2099" t="b">
        <f>F28='Sockeye Returns Data'!F35</f>
        <v>1</v>
      </c>
      <c r="H28" s="2074"/>
      <c r="I28" s="1103">
        <v>0.87</v>
      </c>
      <c r="J28" s="2101" t="b">
        <f>I28='Sockeye Returns Data'!U35</f>
        <v>1</v>
      </c>
      <c r="K28" s="1103"/>
      <c r="L28" s="2074">
        <v>468</v>
      </c>
      <c r="M28" s="2099" t="b">
        <f>L28='Sockeye Returns Data'!AI35</f>
        <v>0</v>
      </c>
      <c r="N28" s="2074"/>
      <c r="O28" s="2074">
        <v>406148</v>
      </c>
      <c r="P28" s="2056">
        <f>'Sockeye Returns Data'!E35/O28</f>
        <v>1.0054118203216562</v>
      </c>
      <c r="Q28" s="2074"/>
      <c r="R28" s="1103">
        <v>1</v>
      </c>
      <c r="S28" s="1103"/>
      <c r="T28" s="1103">
        <v>0.96875</v>
      </c>
      <c r="U28" s="1103"/>
      <c r="V28" s="2107">
        <v>0.96875</v>
      </c>
      <c r="W28" s="2108">
        <f>'Spawning Ground Ratios'!O15</f>
        <v>0.95749171088362228</v>
      </c>
      <c r="X28" s="2073" t="b">
        <f>ROUND(V28,2)=ROUND('Spawning Ground Ratios'!O15,2)</f>
        <v>0</v>
      </c>
      <c r="Y28" s="1103"/>
      <c r="Z28" s="2094">
        <v>404755</v>
      </c>
      <c r="AA28" s="2094">
        <f>'Sockeye Returns Data'!C35</f>
        <v>409950</v>
      </c>
      <c r="AB28" s="2056">
        <f t="shared" si="2"/>
        <v>1.0128349248310706</v>
      </c>
      <c r="AC28" s="2056"/>
      <c r="AD28" s="2074">
        <v>352136.85</v>
      </c>
      <c r="AE28" s="2074">
        <f>'Sockeye Returns Data'!AD35</f>
        <v>355037</v>
      </c>
      <c r="AF28" s="2056">
        <f t="shared" si="3"/>
        <v>1.0082358605752282</v>
      </c>
      <c r="AG28" s="2074"/>
      <c r="AH28" s="2074">
        <v>352136.85</v>
      </c>
      <c r="AI28" s="2096"/>
      <c r="AJ28" s="2083">
        <v>341132.57343749999</v>
      </c>
      <c r="AK28" s="2077">
        <f t="shared" si="0"/>
        <v>339944.98455698858</v>
      </c>
      <c r="AL28" s="485">
        <f t="shared" si="1"/>
        <v>0.9965186881201511</v>
      </c>
    </row>
    <row r="29" spans="1:39" x14ac:dyDescent="0.3">
      <c r="A29" s="854">
        <v>28</v>
      </c>
      <c r="B29" s="2089">
        <v>2011</v>
      </c>
      <c r="C29" s="2074">
        <v>185796</v>
      </c>
      <c r="D29" s="2099" t="b">
        <f>C29='Sockeye Returns Data'!D36</f>
        <v>1</v>
      </c>
      <c r="E29" s="2074"/>
      <c r="F29" s="2074">
        <v>1561</v>
      </c>
      <c r="G29" s="2099" t="b">
        <f>F29='Sockeye Returns Data'!F36</f>
        <v>1</v>
      </c>
      <c r="H29" s="2074"/>
      <c r="I29" s="1103">
        <v>0.88</v>
      </c>
      <c r="J29" s="2101" t="b">
        <f>I29='Sockeye Returns Data'!U36</f>
        <v>1</v>
      </c>
      <c r="K29" s="1103"/>
      <c r="L29" s="2074">
        <v>1873</v>
      </c>
      <c r="M29" s="2099" t="b">
        <f>L29='Sockeye Returns Data'!AI36</f>
        <v>0</v>
      </c>
      <c r="N29" s="2074"/>
      <c r="O29" s="2074">
        <v>194447</v>
      </c>
      <c r="P29" s="2056">
        <f>'Sockeye Returns Data'!E36/O29</f>
        <v>1.0026382510401293</v>
      </c>
      <c r="Q29" s="2074"/>
      <c r="R29" s="1103">
        <v>0.83704072769470605</v>
      </c>
      <c r="S29" s="1103"/>
      <c r="T29" s="1103">
        <v>0.87716097573069296</v>
      </c>
      <c r="U29" s="1103"/>
      <c r="V29" s="2107">
        <v>0.95912263210368898</v>
      </c>
      <c r="W29" s="2110" t="s">
        <v>779</v>
      </c>
      <c r="Y29" s="1103"/>
      <c r="Z29" s="2094">
        <v>194759</v>
      </c>
      <c r="AA29" s="2094">
        <f>'Sockeye Returns Data'!C36</f>
        <v>196529</v>
      </c>
      <c r="AB29" s="2056">
        <f t="shared" si="2"/>
        <v>1.0090881551045139</v>
      </c>
      <c r="AC29" s="2056"/>
      <c r="AD29" s="2074">
        <v>171387.92</v>
      </c>
      <c r="AE29" s="2074">
        <f>'Sockeye Returns Data'!AD36</f>
        <v>171572</v>
      </c>
      <c r="AF29" s="2056">
        <f t="shared" si="3"/>
        <v>1.0010740546941697</v>
      </c>
      <c r="AG29" s="2074"/>
      <c r="AH29" s="2074">
        <v>143458.66927488201</v>
      </c>
      <c r="AI29" s="2096"/>
      <c r="AJ29" s="2091">
        <v>150334.79513565401</v>
      </c>
      <c r="AK29" s="2087" t="s">
        <v>247</v>
      </c>
      <c r="AL29" s="485"/>
      <c r="AM29" s="1068" t="s">
        <v>780</v>
      </c>
    </row>
    <row r="30" spans="1:39" x14ac:dyDescent="0.3">
      <c r="A30" s="854">
        <v>29</v>
      </c>
      <c r="B30" s="2089">
        <v>2012</v>
      </c>
      <c r="C30" s="2074">
        <v>515673</v>
      </c>
      <c r="D30" s="2099" t="b">
        <f>C30='Sockeye Returns Data'!D37</f>
        <v>1</v>
      </c>
      <c r="E30" s="2074"/>
      <c r="F30" s="2074">
        <v>512</v>
      </c>
      <c r="G30" s="2099" t="b">
        <f>F30='Sockeye Returns Data'!F37</f>
        <v>1</v>
      </c>
      <c r="H30" s="2074"/>
      <c r="I30" s="1103">
        <v>0.84</v>
      </c>
      <c r="J30" s="2101" t="b">
        <f>I30='Sockeye Returns Data'!U37</f>
        <v>1</v>
      </c>
      <c r="K30" s="1103"/>
      <c r="L30" s="2074">
        <v>5491</v>
      </c>
      <c r="M30" s="2099" t="b">
        <f>L30='Sockeye Returns Data'!AI37</f>
        <v>0</v>
      </c>
      <c r="N30" s="2074"/>
      <c r="O30" s="2074">
        <v>542730</v>
      </c>
      <c r="P30" s="2056">
        <f>'Sockeye Returns Data'!E37/O30</f>
        <v>1.0053562544911834</v>
      </c>
      <c r="Q30" s="2074"/>
      <c r="R30" s="1103">
        <v>0.895353622800658</v>
      </c>
      <c r="S30" s="1103"/>
      <c r="T30" s="1103">
        <v>0.87759281581394699</v>
      </c>
      <c r="U30" s="1103"/>
      <c r="V30" s="2107">
        <v>0.98016336056009301</v>
      </c>
      <c r="W30" s="2108">
        <f>'Spawning Ground Ratios'!O17</f>
        <v>0.89566814837377096</v>
      </c>
      <c r="X30" s="2073" t="b">
        <f>ROUND(V30,2)=ROUND('Spawning Ground Ratios'!O17,2)</f>
        <v>0</v>
      </c>
      <c r="Y30" s="1103"/>
      <c r="Z30" s="2094">
        <v>547709</v>
      </c>
      <c r="AA30" s="2094">
        <f>'Sockeye Returns Data'!C37</f>
        <v>550232</v>
      </c>
      <c r="AB30" s="2056">
        <f t="shared" si="2"/>
        <v>1.0046064607300591</v>
      </c>
      <c r="AC30" s="2056"/>
      <c r="AD30" s="2074">
        <v>460075.56</v>
      </c>
      <c r="AE30" s="2074">
        <f>'Sockeye Returns Data'!AD37</f>
        <v>461765</v>
      </c>
      <c r="AF30" s="2056">
        <f t="shared" si="3"/>
        <v>1.0036720924710716</v>
      </c>
      <c r="AG30" s="2074"/>
      <c r="AH30" s="2074">
        <v>411930.31940804102</v>
      </c>
      <c r="AI30" s="2096"/>
      <c r="AJ30" s="2083">
        <v>403759.00618757901</v>
      </c>
      <c r="AK30" s="2077">
        <f t="shared" ref="AK30:AK39" si="4">VLOOKUP(B30,SockeyeReturnsData,75)</f>
        <v>401558.28786681773</v>
      </c>
      <c r="AL30" s="485">
        <f t="shared" ref="AL30:AL39" si="5">AK30/AJ30</f>
        <v>0.99454942605109631</v>
      </c>
    </row>
    <row r="31" spans="1:39" x14ac:dyDescent="0.3">
      <c r="A31" s="854">
        <v>30</v>
      </c>
      <c r="B31" s="2089">
        <v>2013</v>
      </c>
      <c r="C31" s="2074">
        <v>185505</v>
      </c>
      <c r="D31" s="2099" t="b">
        <f>C31='Sockeye Returns Data'!D38</f>
        <v>1</v>
      </c>
      <c r="E31" s="2074"/>
      <c r="F31" s="2074">
        <v>1011</v>
      </c>
      <c r="G31" s="2099" t="b">
        <f>F31='Sockeye Returns Data'!F38</f>
        <v>1</v>
      </c>
      <c r="H31" s="2074"/>
      <c r="I31" s="1103">
        <v>0.82</v>
      </c>
      <c r="J31" s="2101" t="b">
        <f>I31='Sockeye Returns Data'!U38</f>
        <v>1</v>
      </c>
      <c r="K31" s="1103"/>
      <c r="L31" s="2074">
        <v>718</v>
      </c>
      <c r="M31" s="2099" t="b">
        <f>L31='Sockeye Returns Data'!AI38</f>
        <v>0</v>
      </c>
      <c r="N31" s="2074"/>
      <c r="O31" s="2074">
        <v>194145</v>
      </c>
      <c r="P31" s="2056">
        <f>'Sockeye Returns Data'!E38/O31</f>
        <v>1.0026062994153855</v>
      </c>
      <c r="Q31" s="2074"/>
      <c r="R31" s="1103">
        <v>0.80138980738915599</v>
      </c>
      <c r="S31" s="1103"/>
      <c r="T31" s="1103">
        <v>0.68690554919070501</v>
      </c>
      <c r="U31" s="1103"/>
      <c r="V31" s="2107">
        <v>0.85714285714285698</v>
      </c>
      <c r="W31" s="2108">
        <f>'Spawning Ground Ratios'!O18</f>
        <v>0.73704050678087085</v>
      </c>
      <c r="X31" s="2073" t="b">
        <f>ROUND(V31,2)=ROUND('Spawning Ground Ratios'!O18,2)</f>
        <v>0</v>
      </c>
      <c r="Y31" s="1103"/>
      <c r="Z31" s="2094">
        <v>193852</v>
      </c>
      <c r="AA31" s="2094">
        <f>'Sockeye Returns Data'!C38</f>
        <v>195327</v>
      </c>
      <c r="AB31" s="2056">
        <f t="shared" si="2"/>
        <v>1.0076088975094402</v>
      </c>
      <c r="AC31" s="2056"/>
      <c r="AD31" s="2074">
        <v>158958.64000000001</v>
      </c>
      <c r="AE31" s="2074">
        <f>'Sockeye Returns Data'!AD38</f>
        <v>159339</v>
      </c>
      <c r="AF31" s="2056">
        <f t="shared" si="3"/>
        <v>1.0023928236930058</v>
      </c>
      <c r="AG31" s="2074"/>
      <c r="AH31" s="2074">
        <v>127387.83389244199</v>
      </c>
      <c r="AI31" s="2096"/>
      <c r="AJ31" s="2083">
        <v>109189.571907808</v>
      </c>
      <c r="AK31" s="2077">
        <f t="shared" si="4"/>
        <v>104583.98942719486</v>
      </c>
      <c r="AL31" s="485">
        <f t="shared" si="5"/>
        <v>0.95782030829370979</v>
      </c>
    </row>
    <row r="32" spans="1:39" x14ac:dyDescent="0.3">
      <c r="A32" s="854">
        <v>31</v>
      </c>
      <c r="B32" s="2089">
        <v>2014</v>
      </c>
      <c r="C32" s="2074">
        <v>614179</v>
      </c>
      <c r="D32" s="2099" t="b">
        <f>C32='Sockeye Returns Data'!D39</f>
        <v>1</v>
      </c>
      <c r="E32" s="2074"/>
      <c r="F32" s="2074">
        <v>2523</v>
      </c>
      <c r="G32" s="2099" t="b">
        <f>F32='Sockeye Returns Data'!F39</f>
        <v>1</v>
      </c>
      <c r="H32" s="2074"/>
      <c r="I32" s="1103">
        <v>0.83</v>
      </c>
      <c r="J32" s="2101" t="b">
        <f>I32='Sockeye Returns Data'!U39</f>
        <v>1</v>
      </c>
      <c r="K32" s="1103"/>
      <c r="L32" s="2074">
        <v>1738</v>
      </c>
      <c r="M32" s="2099" t="b">
        <f>L32='Sockeye Returns Data'!AI39</f>
        <v>0</v>
      </c>
      <c r="N32" s="2074"/>
      <c r="O32" s="2074">
        <v>647102.5</v>
      </c>
      <c r="P32" s="2056">
        <f>'Sockeye Returns Data'!E39/O32</f>
        <v>1.0050247062868711</v>
      </c>
      <c r="Q32" s="2074"/>
      <c r="R32" s="1103">
        <v>0.74679789985359801</v>
      </c>
      <c r="S32" s="1103"/>
      <c r="T32" s="1103">
        <v>0.727337368261322</v>
      </c>
      <c r="U32" s="1103"/>
      <c r="V32" s="2107">
        <v>0.973941368078176</v>
      </c>
      <c r="W32" s="2108">
        <f>'Spawning Ground Ratios'!O19</f>
        <v>0.87683437585353352</v>
      </c>
      <c r="X32" s="2073" t="b">
        <f>ROUND(V32,2)=ROUND('Spawning Ground Ratios'!O19,2)</f>
        <v>0</v>
      </c>
      <c r="Y32" s="1103"/>
      <c r="Z32" s="2094">
        <v>646317.5</v>
      </c>
      <c r="AA32" s="2094">
        <f>'Sockeye Returns Data'!C39</f>
        <v>651702</v>
      </c>
      <c r="AB32" s="2056">
        <f t="shared" si="2"/>
        <v>1.0083310447264695</v>
      </c>
      <c r="AC32" s="2056"/>
      <c r="AD32" s="2074">
        <v>536443.52500000002</v>
      </c>
      <c r="AE32" s="2074">
        <f>'Sockeye Returns Data'!AD39</f>
        <v>538819</v>
      </c>
      <c r="AF32" s="2056">
        <f t="shared" si="3"/>
        <v>1.0044281921382125</v>
      </c>
      <c r="AG32" s="2074"/>
      <c r="AH32" s="2074">
        <v>400614.89786006103</v>
      </c>
      <c r="AI32" s="2096"/>
      <c r="AJ32" s="2083">
        <v>390175.42169432697</v>
      </c>
      <c r="AK32" s="2077">
        <f t="shared" si="4"/>
        <v>391663.6338020282</v>
      </c>
      <c r="AL32" s="485">
        <f t="shared" si="5"/>
        <v>1.0038142128513341</v>
      </c>
    </row>
    <row r="33" spans="1:39" x14ac:dyDescent="0.3">
      <c r="A33" s="854">
        <v>32</v>
      </c>
      <c r="B33" s="2089">
        <v>2015</v>
      </c>
      <c r="C33" s="2074">
        <v>510706</v>
      </c>
      <c r="D33" s="2099" t="b">
        <f>C33='Sockeye Returns Data'!D40</f>
        <v>1</v>
      </c>
      <c r="E33" s="2074"/>
      <c r="F33" s="2074">
        <v>1749</v>
      </c>
      <c r="G33" s="2099" t="b">
        <f>F33='Sockeye Returns Data'!F40</f>
        <v>1</v>
      </c>
      <c r="H33" s="2074"/>
      <c r="I33" s="1103">
        <v>0.81</v>
      </c>
      <c r="J33" s="2101" t="b">
        <f>I33='Sockeye Returns Data'!U40</f>
        <v>1</v>
      </c>
      <c r="K33" s="1103"/>
      <c r="L33" s="2074">
        <v>1547</v>
      </c>
      <c r="M33" s="2099" t="b">
        <f>L33='Sockeye Returns Data'!AI40</f>
        <v>0</v>
      </c>
      <c r="N33" s="2074"/>
      <c r="O33" s="2074">
        <v>537465</v>
      </c>
      <c r="P33" s="2056">
        <f>'Sockeye Returns Data'!E40/O33</f>
        <v>1.0053808154949624</v>
      </c>
      <c r="Q33" s="2074"/>
      <c r="R33" s="1103">
        <v>0.42020197109598001</v>
      </c>
      <c r="S33" s="1103"/>
      <c r="T33" s="1103">
        <v>0.41353209853890099</v>
      </c>
      <c r="U33" s="1103"/>
      <c r="V33" s="2107">
        <v>0.98412698412698396</v>
      </c>
      <c r="W33" s="2108">
        <f>'Spawning Ground Ratios'!O20</f>
        <v>0.99315840309079206</v>
      </c>
      <c r="X33" s="2073" t="b">
        <f>ROUND(V33,2)=ROUND('Spawning Ground Ratios'!O20,2)</f>
        <v>0</v>
      </c>
      <c r="Y33" s="1103"/>
      <c r="Z33" s="2094">
        <v>537263</v>
      </c>
      <c r="AA33" s="2094">
        <f>'Sockeye Returns Data'!C40</f>
        <v>542103</v>
      </c>
      <c r="AB33" s="2056">
        <f t="shared" si="2"/>
        <v>1.0090086233371738</v>
      </c>
      <c r="AC33" s="2056"/>
      <c r="AD33" s="2074">
        <v>435183.03</v>
      </c>
      <c r="AE33" s="2074">
        <f>'Sockeye Returns Data'!AD40</f>
        <v>437687</v>
      </c>
      <c r="AF33" s="2056">
        <f t="shared" si="3"/>
        <v>1.0057538318991897</v>
      </c>
      <c r="AG33" s="2074"/>
      <c r="AH33" s="2074">
        <v>182864.76699352101</v>
      </c>
      <c r="AI33" s="2096"/>
      <c r="AJ33" s="2083">
        <v>179962.151644417</v>
      </c>
      <c r="AK33" s="2077">
        <f t="shared" si="4"/>
        <v>180919.31652446877</v>
      </c>
      <c r="AL33" s="485">
        <f t="shared" si="5"/>
        <v>1.0053187010229963</v>
      </c>
    </row>
    <row r="34" spans="1:39" x14ac:dyDescent="0.3">
      <c r="A34" s="854">
        <v>33</v>
      </c>
      <c r="B34" s="2089">
        <v>2016</v>
      </c>
      <c r="C34" s="2074">
        <v>342498</v>
      </c>
      <c r="D34" s="2099" t="b">
        <f>C34='Sockeye Returns Data'!D41</f>
        <v>1</v>
      </c>
      <c r="E34" s="2074"/>
      <c r="F34" s="2074">
        <v>946</v>
      </c>
      <c r="G34" s="2099" t="b">
        <f>F34='Sockeye Returns Data'!F41</f>
        <v>1</v>
      </c>
      <c r="H34" s="2074"/>
      <c r="I34" s="1103">
        <v>0.76</v>
      </c>
      <c r="J34" s="2101" t="b">
        <f>I34='Sockeye Returns Data'!U41</f>
        <v>1</v>
      </c>
      <c r="K34" s="1103"/>
      <c r="L34" s="2074">
        <v>1197</v>
      </c>
      <c r="M34" s="2099" t="b">
        <f>L34='Sockeye Returns Data'!AI41</f>
        <v>0</v>
      </c>
      <c r="N34" s="2074"/>
      <c r="O34" s="2074">
        <v>359603</v>
      </c>
      <c r="P34" s="2056">
        <f>'Sockeye Returns Data'!E41/O34</f>
        <v>1.0053948381965667</v>
      </c>
      <c r="Q34" s="2074"/>
      <c r="R34" s="1103">
        <v>0.59840946041958198</v>
      </c>
      <c r="S34" s="1103"/>
      <c r="T34" s="1103">
        <v>0.59413510713087003</v>
      </c>
      <c r="U34" s="1103"/>
      <c r="V34" s="2107">
        <v>0.99285714285714299</v>
      </c>
      <c r="W34" s="2108">
        <f>'Spawning Ground Ratios'!O21</f>
        <v>0.98742640175264951</v>
      </c>
      <c r="X34" s="2101" t="b">
        <f>ROUND(V34,2)=ROUND('Spawning Ground Ratios'!O21,2)</f>
        <v>1</v>
      </c>
      <c r="Y34" s="1103"/>
      <c r="Z34" s="2094">
        <v>359854</v>
      </c>
      <c r="AA34" s="2094">
        <f>'Sockeye Returns Data'!C41</f>
        <v>363350</v>
      </c>
      <c r="AB34" s="2056">
        <f t="shared" si="2"/>
        <v>1.0097150511040589</v>
      </c>
      <c r="AC34" s="2056"/>
      <c r="AD34" s="2074">
        <v>273489.03999999998</v>
      </c>
      <c r="AE34" s="2074">
        <f>'Sockeye Returns Data'!AD41</f>
        <v>275427</v>
      </c>
      <c r="AF34" s="2056">
        <f t="shared" si="3"/>
        <v>1.0070860609258785</v>
      </c>
      <c r="AG34" s="2074"/>
      <c r="AH34" s="2074">
        <v>163658.428857069</v>
      </c>
      <c r="AI34" s="2096"/>
      <c r="AJ34" s="2083">
        <v>162489.440079519</v>
      </c>
      <c r="AK34" s="2077">
        <f t="shared" si="4"/>
        <v>162368.05036650912</v>
      </c>
      <c r="AL34" s="485">
        <f t="shared" si="5"/>
        <v>0.9992529378342957</v>
      </c>
    </row>
    <row r="35" spans="1:39" x14ac:dyDescent="0.3">
      <c r="A35" s="854">
        <v>34</v>
      </c>
      <c r="B35" s="2089">
        <v>2017</v>
      </c>
      <c r="C35" s="2074">
        <v>87693</v>
      </c>
      <c r="D35" s="2099" t="b">
        <f>C35='Sockeye Returns Data'!D42</f>
        <v>1</v>
      </c>
      <c r="E35" s="2074"/>
      <c r="F35" s="2074">
        <v>444</v>
      </c>
      <c r="G35" s="2099" t="b">
        <f>F35='Sockeye Returns Data'!F42</f>
        <v>1</v>
      </c>
      <c r="H35" s="2074"/>
      <c r="I35" s="1103">
        <v>0.64</v>
      </c>
      <c r="J35" s="2101" t="b">
        <f>I35='Sockeye Returns Data'!U42</f>
        <v>1</v>
      </c>
      <c r="K35" s="1103"/>
      <c r="L35" s="2074">
        <v>429</v>
      </c>
      <c r="M35" s="2099" t="b">
        <f>L35='Sockeye Returns Data'!AI42</f>
        <v>0</v>
      </c>
      <c r="N35" s="2074"/>
      <c r="O35" s="2074">
        <v>91420.5</v>
      </c>
      <c r="P35" s="2056">
        <f>'Sockeye Returns Data'!E42/O35</f>
        <v>0.99181255845242589</v>
      </c>
      <c r="Q35" s="2074"/>
      <c r="R35" s="1103">
        <v>0.27041660593750599</v>
      </c>
      <c r="S35" s="1103"/>
      <c r="T35" s="1103">
        <v>0.27041660593750599</v>
      </c>
      <c r="U35" s="1103"/>
      <c r="V35" s="2107">
        <v>1</v>
      </c>
      <c r="W35" s="2108">
        <f>'Spawning Ground Ratios'!O22</f>
        <v>0.99768779910738292</v>
      </c>
      <c r="X35" s="2101" t="b">
        <f>ROUND(V35,2)=ROUND('Spawning Ground Ratios'!O22,2)</f>
        <v>1</v>
      </c>
      <c r="Y35" s="1103"/>
      <c r="Z35" s="2094">
        <v>91405.5</v>
      </c>
      <c r="AA35" s="2094">
        <f>'Sockeye Returns Data'!C42</f>
        <v>91242</v>
      </c>
      <c r="AB35" s="2056">
        <f t="shared" si="2"/>
        <v>0.9982112673745015</v>
      </c>
      <c r="AC35" s="2056"/>
      <c r="AD35" s="2074">
        <v>58499.519999999997</v>
      </c>
      <c r="AE35" s="2074">
        <f>'Sockeye Returns Data'!AD42</f>
        <v>58111</v>
      </c>
      <c r="AF35" s="2056">
        <f t="shared" si="3"/>
        <v>0.99335857798491345</v>
      </c>
      <c r="AG35" s="2074"/>
      <c r="AH35" s="2074">
        <v>15819.241647373299</v>
      </c>
      <c r="AI35" s="2096"/>
      <c r="AJ35" s="2083">
        <v>15819.241647373299</v>
      </c>
      <c r="AK35" s="2077">
        <f t="shared" si="4"/>
        <v>15714.374307684035</v>
      </c>
      <c r="AL35" s="485">
        <f t="shared" si="5"/>
        <v>0.99337089969122017</v>
      </c>
    </row>
    <row r="36" spans="1:39" x14ac:dyDescent="0.3">
      <c r="A36" s="854">
        <v>35</v>
      </c>
      <c r="B36" s="2089">
        <v>2018</v>
      </c>
      <c r="C36" s="2074">
        <v>193816</v>
      </c>
      <c r="D36" s="2099" t="b">
        <f>C36='Sockeye Returns Data'!D43</f>
        <v>1</v>
      </c>
      <c r="E36" s="2074"/>
      <c r="F36" s="2074">
        <v>297</v>
      </c>
      <c r="G36" s="2099" t="b">
        <f>F36='Sockeye Returns Data'!F43</f>
        <v>1</v>
      </c>
      <c r="H36" s="2074"/>
      <c r="I36" s="1103">
        <v>0.92</v>
      </c>
      <c r="J36" s="2101" t="b">
        <f>I36='Sockeye Returns Data'!U43</f>
        <v>1</v>
      </c>
      <c r="K36" s="1103"/>
      <c r="L36" s="2074">
        <v>112</v>
      </c>
      <c r="M36" s="2099" t="b">
        <f>L36='Sockeye Returns Data'!AI43</f>
        <v>0</v>
      </c>
      <c r="N36" s="2074"/>
      <c r="O36" s="2074">
        <v>202854.5</v>
      </c>
      <c r="P36" s="2056">
        <f>'Sockeye Returns Data'!E43/O36</f>
        <v>1.0031130687265997</v>
      </c>
      <c r="Q36" s="2074"/>
      <c r="R36" s="1103">
        <v>0.42617970886998102</v>
      </c>
      <c r="S36" s="1103"/>
      <c r="T36" s="1103">
        <v>0.42317844331455901</v>
      </c>
      <c r="U36" s="1103"/>
      <c r="V36" s="2107">
        <v>0.99295774647887303</v>
      </c>
      <c r="W36" s="2108">
        <f>'Spawning Ground Ratios'!O23</f>
        <v>0.93224835397451578</v>
      </c>
      <c r="X36" s="2073" t="b">
        <f>ROUND(V36,2)=ROUND('Spawning Ground Ratios'!O23,2)</f>
        <v>0</v>
      </c>
      <c r="Y36" s="1103"/>
      <c r="Z36" s="2094">
        <v>202669.5</v>
      </c>
      <c r="AA36" s="2094">
        <f>'Sockeye Returns Data'!C43</f>
        <v>203637</v>
      </c>
      <c r="AB36" s="2056">
        <f t="shared" si="2"/>
        <v>1.0047737819454827</v>
      </c>
      <c r="AC36" s="2056"/>
      <c r="AD36" s="2074">
        <v>186455.94</v>
      </c>
      <c r="AE36" s="2074">
        <f>'Sockeye Returns Data'!AD43</f>
        <v>187073</v>
      </c>
      <c r="AF36" s="2056">
        <f t="shared" si="3"/>
        <v>1.0033094145458707</v>
      </c>
      <c r="AG36" s="2074"/>
      <c r="AH36" s="2074">
        <v>79463.7382262787</v>
      </c>
      <c r="AI36" s="2096"/>
      <c r="AJ36" s="2083">
        <v>78904.134435952801</v>
      </c>
      <c r="AK36" s="2077">
        <f t="shared" si="4"/>
        <v>78967.627382958686</v>
      </c>
      <c r="AL36" s="485">
        <f t="shared" si="5"/>
        <v>1.0008046846652556</v>
      </c>
    </row>
    <row r="37" spans="1:39" x14ac:dyDescent="0.3">
      <c r="A37" s="854">
        <v>36</v>
      </c>
      <c r="B37" s="2089">
        <v>2019</v>
      </c>
      <c r="C37" s="2074">
        <v>63046</v>
      </c>
      <c r="D37" s="2099" t="b">
        <f>C37='Sockeye Returns Data'!D44</f>
        <v>1</v>
      </c>
      <c r="E37" s="2074"/>
      <c r="F37" s="2074">
        <v>335</v>
      </c>
      <c r="G37" s="2099" t="b">
        <f>F37='Sockeye Returns Data'!F44</f>
        <v>1</v>
      </c>
      <c r="H37" s="2074"/>
      <c r="I37" s="1103">
        <v>0.85</v>
      </c>
      <c r="J37" s="2101" t="b">
        <f>I37='Sockeye Returns Data'!U44</f>
        <v>1</v>
      </c>
      <c r="K37" s="1103"/>
      <c r="L37" s="2074">
        <v>41</v>
      </c>
      <c r="M37" s="2099" t="b">
        <f>L37='Sockeye Returns Data'!AI44</f>
        <v>1</v>
      </c>
      <c r="N37" s="2074"/>
      <c r="O37" s="2074">
        <v>65631.5</v>
      </c>
      <c r="P37" s="2056">
        <f>'Sockeye Returns Data'!E44/O37</f>
        <v>0.98230270525586039</v>
      </c>
      <c r="Q37" s="2074"/>
      <c r="R37" s="1103">
        <v>0.560312962103515</v>
      </c>
      <c r="S37" s="1103"/>
      <c r="T37" s="1103">
        <v>0.54799714299165903</v>
      </c>
      <c r="U37" s="1103"/>
      <c r="V37" s="2107">
        <v>0.97801974977409001</v>
      </c>
      <c r="W37" s="2110" t="s">
        <v>779</v>
      </c>
      <c r="Y37" s="1103"/>
      <c r="Z37" s="2094">
        <v>65337.5</v>
      </c>
      <c r="AA37" s="2094">
        <f>'Sockeye Returns Data'!C44</f>
        <v>64511</v>
      </c>
      <c r="AB37" s="2056">
        <f t="shared" si="2"/>
        <v>0.98735029653721063</v>
      </c>
      <c r="AC37" s="2056"/>
      <c r="AD37" s="2074">
        <v>55536.875</v>
      </c>
      <c r="AE37" s="2074">
        <f>'Sockeye Returns Data'!AD44</f>
        <v>54550</v>
      </c>
      <c r="AF37" s="2056">
        <f t="shared" si="3"/>
        <v>0.98223027492994519</v>
      </c>
      <c r="AG37" s="2074"/>
      <c r="AH37" s="2074">
        <v>31118.0309372226</v>
      </c>
      <c r="AI37" s="2096"/>
      <c r="AJ37" s="2091">
        <v>30434.0488306849</v>
      </c>
      <c r="AK37" s="2077">
        <f t="shared" si="4"/>
        <v>27808.12446155211</v>
      </c>
      <c r="AL37" s="485">
        <f t="shared" si="5"/>
        <v>0.91371754761445934</v>
      </c>
      <c r="AM37" s="1068" t="s">
        <v>781</v>
      </c>
    </row>
    <row r="38" spans="1:39" x14ac:dyDescent="0.3">
      <c r="A38" s="854">
        <v>37</v>
      </c>
      <c r="B38" s="2089">
        <v>2020</v>
      </c>
      <c r="C38" s="2074">
        <v>341739</v>
      </c>
      <c r="D38" s="2099" t="b">
        <f>C38='Sockeye Returns Data'!D45</f>
        <v>1</v>
      </c>
      <c r="E38" s="2074"/>
      <c r="F38" s="2074">
        <v>750</v>
      </c>
      <c r="G38" s="2099" t="b">
        <f>F38='Sockeye Returns Data'!F45</f>
        <v>1</v>
      </c>
      <c r="H38" s="2074"/>
      <c r="I38" s="1103">
        <v>0.85</v>
      </c>
      <c r="J38" s="2101" t="b">
        <f>I38='Sockeye Returns Data'!U45</f>
        <v>1</v>
      </c>
      <c r="K38" s="1103"/>
      <c r="L38" s="2074">
        <v>3357</v>
      </c>
      <c r="M38" s="2099" t="b">
        <f>L38='Sockeye Returns Data'!AI45</f>
        <v>0</v>
      </c>
      <c r="N38" s="2074"/>
      <c r="O38" s="2074">
        <v>358821.5</v>
      </c>
      <c r="P38" s="2056">
        <f>'Sockeye Returns Data'!E45/O38</f>
        <v>1.0053355219795914</v>
      </c>
      <c r="Q38" s="2074"/>
      <c r="R38" s="1103">
        <v>0.54597116033047199</v>
      </c>
      <c r="S38" s="1103"/>
      <c r="T38" s="1103">
        <v>0.532051215732811</v>
      </c>
      <c r="U38" s="1103"/>
      <c r="V38" s="2107">
        <v>0.97450424929178503</v>
      </c>
      <c r="W38" s="2108">
        <f>'Spawning Ground Ratios'!O25</f>
        <v>0.79110630302340146</v>
      </c>
      <c r="X38" s="2073" t="b">
        <f>ROUND(V38,2)=ROUND('Spawning Ground Ratios'!O25,2)</f>
        <v>0</v>
      </c>
      <c r="Y38" s="1103"/>
      <c r="Z38" s="2094">
        <v>361428.5</v>
      </c>
      <c r="AA38" s="2094">
        <f>'Sockeye Returns Data'!C45</f>
        <v>364015</v>
      </c>
      <c r="AB38" s="2056">
        <f t="shared" si="2"/>
        <v>1.0071563255249656</v>
      </c>
      <c r="AC38" s="2056"/>
      <c r="AD38" s="2074">
        <v>307214.22499999998</v>
      </c>
      <c r="AE38" s="2074">
        <f>'Sockeye Returns Data'!AD45</f>
        <v>308775</v>
      </c>
      <c r="AF38" s="2056">
        <f t="shared" si="3"/>
        <v>1.005080412536236</v>
      </c>
      <c r="AG38" s="2074"/>
      <c r="AH38" s="2074">
        <v>167730.106893277</v>
      </c>
      <c r="AI38" s="2096"/>
      <c r="AJ38" s="2083">
        <v>163453.70190166301</v>
      </c>
      <c r="AK38" s="2077">
        <f t="shared" si="4"/>
        <v>159970.04156710723</v>
      </c>
      <c r="AL38" s="485">
        <f t="shared" si="5"/>
        <v>0.97868717383561232</v>
      </c>
    </row>
    <row r="39" spans="1:39" ht="15" thickBot="1" x14ac:dyDescent="0.35">
      <c r="A39" s="943">
        <v>38</v>
      </c>
      <c r="B39" s="2090">
        <v>2021</v>
      </c>
      <c r="C39" s="2084">
        <v>151765</v>
      </c>
      <c r="D39" s="2100" t="b">
        <f>C39='Sockeye Returns Data'!D46</f>
        <v>1</v>
      </c>
      <c r="E39" s="2084"/>
      <c r="F39" s="2084">
        <v>953</v>
      </c>
      <c r="G39" s="2100" t="b">
        <f>F39='Sockeye Returns Data'!F46</f>
        <v>0</v>
      </c>
      <c r="H39" s="2084"/>
      <c r="I39" s="2085">
        <v>0.72</v>
      </c>
      <c r="J39" s="2102" t="b">
        <f>I39='Sockeye Returns Data'!U46</f>
        <v>1</v>
      </c>
      <c r="K39" s="2085"/>
      <c r="L39" s="2084">
        <v>550</v>
      </c>
      <c r="M39" s="2100" t="b">
        <f>L39='Sockeye Returns Data'!AI46</f>
        <v>0</v>
      </c>
      <c r="N39" s="2084"/>
      <c r="O39" s="2084">
        <v>158636</v>
      </c>
      <c r="P39" s="2056">
        <f>'Sockeye Returns Data'!E46/O39</f>
        <v>1.0009266496885953</v>
      </c>
      <c r="Q39" s="2084"/>
      <c r="R39" s="2085">
        <v>0.54716528701599298</v>
      </c>
      <c r="S39" s="2085"/>
      <c r="T39" s="2085">
        <v>0.51155097839365005</v>
      </c>
      <c r="U39" s="2085"/>
      <c r="V39" s="2109">
        <v>0.93491124260354996</v>
      </c>
      <c r="W39" s="2108">
        <f>'Spawning Ground Ratios'!O26</f>
        <v>0.88307964970809005</v>
      </c>
      <c r="X39" s="2073" t="b">
        <f>ROUND(V39,2)=ROUND('Spawning Ground Ratios'!O26,2)</f>
        <v>0</v>
      </c>
      <c r="Y39" s="2085"/>
      <c r="Z39" s="2095">
        <v>158233</v>
      </c>
      <c r="AA39" s="2095">
        <f>'Sockeye Returns Data'!C46</f>
        <v>159340</v>
      </c>
      <c r="AB39" s="2056">
        <f t="shared" si="2"/>
        <v>1.0069960122098425</v>
      </c>
      <c r="AC39" s="2098"/>
      <c r="AD39" s="2084">
        <v>113927.76</v>
      </c>
      <c r="AE39" s="2074">
        <f>'Sockeye Returns Data'!AD46</f>
        <v>114039</v>
      </c>
      <c r="AF39" s="2056">
        <f t="shared" si="3"/>
        <v>1.0009764082081487</v>
      </c>
      <c r="AG39" s="2084"/>
      <c r="AH39" s="2084">
        <v>62337.315499489101</v>
      </c>
      <c r="AI39" s="2097"/>
      <c r="AJ39" s="2086">
        <v>58279.857094197003</v>
      </c>
      <c r="AK39" s="2078">
        <f t="shared" si="4"/>
        <v>55371.464605909532</v>
      </c>
      <c r="AL39" s="2079">
        <f t="shared" si="5"/>
        <v>0.95009609437465381</v>
      </c>
    </row>
  </sheetData>
  <conditionalFormatting sqref="AL29:AL39">
    <cfRule type="colorScale" priority="19">
      <colorScale>
        <cfvo type="min"/>
        <cfvo type="percentile" val="50"/>
        <cfvo type="max"/>
        <color rgb="FFF8696B"/>
        <color rgb="FFFFEB84"/>
        <color rgb="FF63BE7B"/>
      </colorScale>
    </cfRule>
  </conditionalFormatting>
  <conditionalFormatting sqref="AB2:AC39">
    <cfRule type="colorScale" priority="18">
      <colorScale>
        <cfvo type="min"/>
        <cfvo type="percentile" val="50"/>
        <cfvo type="max"/>
        <color rgb="FFF8696B"/>
        <color rgb="FFFCFCFF"/>
        <color rgb="FF5A8AC6"/>
      </colorScale>
    </cfRule>
  </conditionalFormatting>
  <conditionalFormatting sqref="AL2:AL28">
    <cfRule type="colorScale" priority="17">
      <colorScale>
        <cfvo type="min"/>
        <cfvo type="percentile" val="50"/>
        <cfvo type="max"/>
        <color rgb="FFF8696B"/>
        <color rgb="FFFCFCFF"/>
        <color rgb="FF5A8AC6"/>
      </colorScale>
    </cfRule>
  </conditionalFormatting>
  <conditionalFormatting sqref="AC1">
    <cfRule type="colorScale" priority="16">
      <colorScale>
        <cfvo type="min"/>
        <cfvo type="percentile" val="50"/>
        <cfvo type="max"/>
        <color rgb="FFF8696B"/>
        <color rgb="FFFCFCFF"/>
        <color rgb="FF5A8AC6"/>
      </colorScale>
    </cfRule>
  </conditionalFormatting>
  <conditionalFormatting sqref="AI1">
    <cfRule type="colorScale" priority="15">
      <colorScale>
        <cfvo type="min"/>
        <cfvo type="percentile" val="50"/>
        <cfvo type="max"/>
        <color rgb="FFF8696B"/>
        <color rgb="FFFCFCFF"/>
        <color rgb="FF5A8AC6"/>
      </colorScale>
    </cfRule>
  </conditionalFormatting>
  <conditionalFormatting sqref="AG1">
    <cfRule type="colorScale" priority="14">
      <colorScale>
        <cfvo type="min"/>
        <cfvo type="percentile" val="50"/>
        <cfvo type="max"/>
        <color rgb="FFF8696B"/>
        <color rgb="FFFCFCFF"/>
        <color rgb="FF5A8AC6"/>
      </colorScale>
    </cfRule>
  </conditionalFormatting>
  <conditionalFormatting sqref="AF2:AF39">
    <cfRule type="colorScale" priority="13">
      <colorScale>
        <cfvo type="min"/>
        <cfvo type="percentile" val="50"/>
        <cfvo type="max"/>
        <color rgb="FFF8696B"/>
        <color rgb="FFFCFCFF"/>
        <color rgb="FF5A8AC6"/>
      </colorScale>
    </cfRule>
  </conditionalFormatting>
  <conditionalFormatting sqref="H1">
    <cfRule type="colorScale" priority="12">
      <colorScale>
        <cfvo type="min"/>
        <cfvo type="percentile" val="50"/>
        <cfvo type="max"/>
        <color rgb="FFF8696B"/>
        <color rgb="FFFCFCFF"/>
        <color rgb="FF5A8AC6"/>
      </colorScale>
    </cfRule>
  </conditionalFormatting>
  <conditionalFormatting sqref="N1">
    <cfRule type="colorScale" priority="10">
      <colorScale>
        <cfvo type="min"/>
        <cfvo type="percentile" val="50"/>
        <cfvo type="max"/>
        <color rgb="FFF8696B"/>
        <color rgb="FFFCFCFF"/>
        <color rgb="FF5A8AC6"/>
      </colorScale>
    </cfRule>
  </conditionalFormatting>
  <conditionalFormatting sqref="Q1">
    <cfRule type="colorScale" priority="9">
      <colorScale>
        <cfvo type="min"/>
        <cfvo type="percentile" val="50"/>
        <cfvo type="max"/>
        <color rgb="FFF8696B"/>
        <color rgb="FFFCFCFF"/>
        <color rgb="FF5A8AC6"/>
      </colorScale>
    </cfRule>
  </conditionalFormatting>
  <conditionalFormatting sqref="S1">
    <cfRule type="colorScale" priority="8">
      <colorScale>
        <cfvo type="min"/>
        <cfvo type="percentile" val="50"/>
        <cfvo type="max"/>
        <color rgb="FFF8696B"/>
        <color rgb="FFFCFCFF"/>
        <color rgb="FF5A8AC6"/>
      </colorScale>
    </cfRule>
  </conditionalFormatting>
  <conditionalFormatting sqref="U1">
    <cfRule type="colorScale" priority="7">
      <colorScale>
        <cfvo type="min"/>
        <cfvo type="percentile" val="50"/>
        <cfvo type="max"/>
        <color rgb="FFF8696B"/>
        <color rgb="FFFCFCFF"/>
        <color rgb="FF5A8AC6"/>
      </colorScale>
    </cfRule>
  </conditionalFormatting>
  <conditionalFormatting sqref="E1">
    <cfRule type="colorScale" priority="6">
      <colorScale>
        <cfvo type="min"/>
        <cfvo type="percentile" val="50"/>
        <cfvo type="max"/>
        <color rgb="FFF8696B"/>
        <color rgb="FFFCFCFF"/>
        <color rgb="FF5A8AC6"/>
      </colorScale>
    </cfRule>
  </conditionalFormatting>
  <conditionalFormatting sqref="K1">
    <cfRule type="colorScale" priority="5">
      <colorScale>
        <cfvo type="min"/>
        <cfvo type="percentile" val="50"/>
        <cfvo type="max"/>
        <color rgb="FFF8696B"/>
        <color rgb="FFFCFCFF"/>
        <color rgb="FF5A8AC6"/>
      </colorScale>
    </cfRule>
  </conditionalFormatting>
  <conditionalFormatting sqref="D2">
    <cfRule type="expression" dxfId="712" priority="4">
      <formula>FALSE</formula>
    </cfRule>
  </conditionalFormatting>
  <conditionalFormatting sqref="P2:P39">
    <cfRule type="colorScale" priority="3">
      <colorScale>
        <cfvo type="min"/>
        <cfvo type="percentile" val="50"/>
        <cfvo type="max"/>
        <color rgb="FFF8696B"/>
        <color rgb="FFFCFCFF"/>
        <color rgb="FF5A8AC6"/>
      </colorScale>
    </cfRule>
  </conditionalFormatting>
  <conditionalFormatting sqref="Y1">
    <cfRule type="colorScale" priority="1">
      <colorScale>
        <cfvo type="min"/>
        <cfvo type="percentile" val="50"/>
        <cfvo type="max"/>
        <color rgb="FFF8696B"/>
        <color rgb="FFFCFCFF"/>
        <color rgb="FF5A8AC6"/>
      </colorScale>
    </cfRule>
  </conditionalFormatting>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22D6D-F093-499F-B588-D6D09C9C474B}">
  <sheetPr>
    <tabColor rgb="FFC00000"/>
  </sheetPr>
  <dimension ref="A1:H40"/>
  <sheetViews>
    <sheetView workbookViewId="0">
      <selection activeCell="G3" sqref="G3"/>
    </sheetView>
  </sheetViews>
  <sheetFormatPr defaultRowHeight="14.4" x14ac:dyDescent="0.3"/>
  <cols>
    <col min="1" max="1" width="4.33203125" bestFit="1" customWidth="1"/>
    <col min="2" max="2" width="11.109375" style="664" bestFit="1" customWidth="1"/>
    <col min="3" max="3" width="15.33203125" bestFit="1" customWidth="1"/>
    <col min="4" max="4" width="7.88671875" bestFit="1" customWidth="1"/>
    <col min="5" max="5" width="8" bestFit="1" customWidth="1"/>
    <col min="6" max="6" width="7.88671875" bestFit="1" customWidth="1"/>
    <col min="7" max="7" width="10.5546875" bestFit="1" customWidth="1"/>
    <col min="8" max="8" width="7" bestFit="1" customWidth="1"/>
  </cols>
  <sheetData>
    <row r="1" spans="1:8" x14ac:dyDescent="0.3">
      <c r="A1" s="2617" t="s">
        <v>782</v>
      </c>
      <c r="B1" s="2618"/>
      <c r="C1" s="2618"/>
      <c r="D1" s="2618"/>
      <c r="E1" s="2618"/>
      <c r="F1" s="2619"/>
      <c r="G1" s="2620" t="s">
        <v>783</v>
      </c>
      <c r="H1" s="2620" t="s">
        <v>766</v>
      </c>
    </row>
    <row r="2" spans="1:8" ht="15" thickBot="1" x14ac:dyDescent="0.35">
      <c r="A2" s="491" t="s">
        <v>784</v>
      </c>
      <c r="B2" s="2062" t="s">
        <v>759</v>
      </c>
      <c r="C2" s="2062" t="s">
        <v>785</v>
      </c>
      <c r="D2" s="2062" t="s">
        <v>786</v>
      </c>
      <c r="E2" s="2062" t="s">
        <v>787</v>
      </c>
      <c r="F2" s="2063" t="s">
        <v>788</v>
      </c>
      <c r="G2" s="2621"/>
      <c r="H2" s="2621"/>
    </row>
    <row r="3" spans="1:8" x14ac:dyDescent="0.3">
      <c r="A3" s="720">
        <v>1</v>
      </c>
      <c r="B3" s="489">
        <v>1984</v>
      </c>
      <c r="C3" s="2061" t="s">
        <v>789</v>
      </c>
      <c r="D3" s="702">
        <v>140795.67600000001</v>
      </c>
      <c r="E3" s="702">
        <v>142821.98699999999</v>
      </c>
      <c r="F3" s="721">
        <v>141691.62</v>
      </c>
      <c r="G3" s="2064">
        <f t="shared" ref="G3:G40" si="0">VLOOKUP(B3,SockeyeReturnsData,74)</f>
        <v>0</v>
      </c>
      <c r="H3" s="2065">
        <f>1-G3/F3</f>
        <v>1</v>
      </c>
    </row>
    <row r="4" spans="1:8" x14ac:dyDescent="0.3">
      <c r="A4" s="290">
        <v>2</v>
      </c>
      <c r="B4" s="669">
        <v>1985</v>
      </c>
      <c r="C4" s="813" t="s">
        <v>789</v>
      </c>
      <c r="D4" s="701">
        <v>120929.21725</v>
      </c>
      <c r="E4" s="701">
        <v>122485.8585</v>
      </c>
      <c r="F4" s="481">
        <v>121623.78</v>
      </c>
      <c r="G4" s="2059">
        <f t="shared" si="0"/>
        <v>0</v>
      </c>
      <c r="H4" s="2058">
        <f t="shared" ref="H4:H40" si="1">1-G4/F4</f>
        <v>1</v>
      </c>
    </row>
    <row r="5" spans="1:8" x14ac:dyDescent="0.3">
      <c r="A5" s="290">
        <v>3</v>
      </c>
      <c r="B5" s="669">
        <v>1986</v>
      </c>
      <c r="C5" s="813" t="s">
        <v>789</v>
      </c>
      <c r="D5" s="701">
        <v>48859.110249999998</v>
      </c>
      <c r="E5" s="701">
        <v>49638.168749999997</v>
      </c>
      <c r="F5" s="481">
        <v>49213.84</v>
      </c>
      <c r="G5" s="2059">
        <f t="shared" si="0"/>
        <v>0</v>
      </c>
      <c r="H5" s="2058">
        <f t="shared" si="1"/>
        <v>1</v>
      </c>
    </row>
    <row r="6" spans="1:8" x14ac:dyDescent="0.3">
      <c r="A6" s="290">
        <v>4</v>
      </c>
      <c r="B6" s="669">
        <v>1987</v>
      </c>
      <c r="C6" s="813" t="s">
        <v>789</v>
      </c>
      <c r="D6" s="701">
        <v>98883.790500000003</v>
      </c>
      <c r="E6" s="701">
        <v>100088.505</v>
      </c>
      <c r="F6" s="481">
        <v>99433.29</v>
      </c>
      <c r="G6" s="2059">
        <f t="shared" si="0"/>
        <v>0</v>
      </c>
      <c r="H6" s="2058">
        <f t="shared" si="1"/>
        <v>1</v>
      </c>
    </row>
    <row r="7" spans="1:8" x14ac:dyDescent="0.3">
      <c r="A7" s="290">
        <v>5</v>
      </c>
      <c r="B7" s="669">
        <v>1988</v>
      </c>
      <c r="C7" s="813" t="s">
        <v>789</v>
      </c>
      <c r="D7" s="701">
        <v>78062.341499999995</v>
      </c>
      <c r="E7" s="701">
        <v>79063.998000000007</v>
      </c>
      <c r="F7" s="481">
        <v>78515.97</v>
      </c>
      <c r="G7" s="2059">
        <f t="shared" si="0"/>
        <v>0</v>
      </c>
      <c r="H7" s="2058">
        <f t="shared" si="1"/>
        <v>1</v>
      </c>
    </row>
    <row r="8" spans="1:8" x14ac:dyDescent="0.3">
      <c r="A8" s="290">
        <v>6</v>
      </c>
      <c r="B8" s="669">
        <v>1989</v>
      </c>
      <c r="C8" s="813" t="s">
        <v>789</v>
      </c>
      <c r="D8" s="701">
        <v>18142.698</v>
      </c>
      <c r="E8" s="701">
        <v>18473.710500000001</v>
      </c>
      <c r="F8" s="481">
        <v>18294.36</v>
      </c>
      <c r="G8" s="2059">
        <f t="shared" si="0"/>
        <v>0</v>
      </c>
      <c r="H8" s="2058">
        <f t="shared" si="1"/>
        <v>1</v>
      </c>
    </row>
    <row r="9" spans="1:8" x14ac:dyDescent="0.3">
      <c r="A9" s="290">
        <v>7</v>
      </c>
      <c r="B9" s="669">
        <v>1990</v>
      </c>
      <c r="C9" s="813" t="s">
        <v>789</v>
      </c>
      <c r="D9" s="701">
        <v>12320.394</v>
      </c>
      <c r="E9" s="701">
        <v>12534.005999999999</v>
      </c>
      <c r="F9" s="481">
        <v>12415.68</v>
      </c>
      <c r="G9" s="2059">
        <f t="shared" si="0"/>
        <v>0</v>
      </c>
      <c r="H9" s="2058">
        <f t="shared" si="1"/>
        <v>1</v>
      </c>
    </row>
    <row r="10" spans="1:8" x14ac:dyDescent="0.3">
      <c r="A10" s="290">
        <v>8</v>
      </c>
      <c r="B10" s="669">
        <v>1991</v>
      </c>
      <c r="C10" s="813" t="s">
        <v>789</v>
      </c>
      <c r="D10" s="701">
        <v>39566.487500000003</v>
      </c>
      <c r="E10" s="701">
        <v>40166.5</v>
      </c>
      <c r="F10" s="481">
        <v>39845.25</v>
      </c>
      <c r="G10" s="2059">
        <f t="shared" si="0"/>
        <v>0</v>
      </c>
      <c r="H10" s="2058">
        <f t="shared" si="1"/>
        <v>1</v>
      </c>
    </row>
    <row r="11" spans="1:8" x14ac:dyDescent="0.3">
      <c r="A11" s="290">
        <v>9</v>
      </c>
      <c r="B11" s="669">
        <v>1992</v>
      </c>
      <c r="C11" s="813" t="s">
        <v>789</v>
      </c>
      <c r="D11" s="701">
        <v>60677.202749999997</v>
      </c>
      <c r="E11" s="701">
        <v>61606.753499999999</v>
      </c>
      <c r="F11" s="481">
        <v>61112.61</v>
      </c>
      <c r="G11" s="2059">
        <f t="shared" si="0"/>
        <v>0</v>
      </c>
      <c r="H11" s="2058">
        <f t="shared" si="1"/>
        <v>1</v>
      </c>
    </row>
    <row r="12" spans="1:8" x14ac:dyDescent="0.3">
      <c r="A12" s="290">
        <v>10</v>
      </c>
      <c r="B12" s="669">
        <v>1993</v>
      </c>
      <c r="C12" s="813" t="s">
        <v>789</v>
      </c>
      <c r="D12" s="701">
        <v>39849.576000000001</v>
      </c>
      <c r="E12" s="701">
        <v>40460.699999999997</v>
      </c>
      <c r="F12" s="481">
        <v>40130.400000000001</v>
      </c>
      <c r="G12" s="2059">
        <f t="shared" si="0"/>
        <v>0</v>
      </c>
      <c r="H12" s="2058">
        <f t="shared" si="1"/>
        <v>1</v>
      </c>
    </row>
    <row r="13" spans="1:8" x14ac:dyDescent="0.3">
      <c r="A13" s="290">
        <v>11</v>
      </c>
      <c r="B13" s="669">
        <v>1994</v>
      </c>
      <c r="C13" s="813" t="s">
        <v>789</v>
      </c>
      <c r="D13" s="701">
        <v>2200.8200000000002</v>
      </c>
      <c r="E13" s="701">
        <v>2264.9185000000002</v>
      </c>
      <c r="F13" s="481">
        <v>2227.6799999999998</v>
      </c>
      <c r="G13" s="2059">
        <f t="shared" si="0"/>
        <v>0</v>
      </c>
      <c r="H13" s="2058">
        <f t="shared" si="1"/>
        <v>1</v>
      </c>
    </row>
    <row r="14" spans="1:8" x14ac:dyDescent="0.3">
      <c r="A14" s="290">
        <v>12</v>
      </c>
      <c r="B14" s="669">
        <v>1995</v>
      </c>
      <c r="C14" s="813" t="s">
        <v>789</v>
      </c>
      <c r="D14" s="701">
        <v>5272.8005000000003</v>
      </c>
      <c r="E14" s="701">
        <v>5443.93</v>
      </c>
      <c r="F14" s="481">
        <v>5341.5649999999996</v>
      </c>
      <c r="G14" s="2059">
        <f t="shared" si="0"/>
        <v>0</v>
      </c>
      <c r="H14" s="2058">
        <f t="shared" si="1"/>
        <v>1</v>
      </c>
    </row>
    <row r="15" spans="1:8" x14ac:dyDescent="0.3">
      <c r="A15" s="290">
        <v>13</v>
      </c>
      <c r="B15" s="669">
        <v>1996</v>
      </c>
      <c r="C15" s="813" t="s">
        <v>789</v>
      </c>
      <c r="D15" s="701">
        <v>23018.4215</v>
      </c>
      <c r="E15" s="701">
        <v>23493.594000000001</v>
      </c>
      <c r="F15" s="481">
        <v>23233.040000000001</v>
      </c>
      <c r="G15" s="2059">
        <f t="shared" si="0"/>
        <v>0</v>
      </c>
      <c r="H15" s="2058">
        <f t="shared" si="1"/>
        <v>1</v>
      </c>
    </row>
    <row r="16" spans="1:8" x14ac:dyDescent="0.3">
      <c r="A16" s="290">
        <v>14</v>
      </c>
      <c r="B16" s="669">
        <v>1997</v>
      </c>
      <c r="C16" s="813" t="s">
        <v>789</v>
      </c>
      <c r="D16" s="701">
        <v>35868.466</v>
      </c>
      <c r="E16" s="701">
        <v>36527.195500000002</v>
      </c>
      <c r="F16" s="481">
        <v>36169.72</v>
      </c>
      <c r="G16" s="2059">
        <f t="shared" si="0"/>
        <v>0</v>
      </c>
      <c r="H16" s="2058">
        <f t="shared" si="1"/>
        <v>1</v>
      </c>
    </row>
    <row r="17" spans="1:8" x14ac:dyDescent="0.3">
      <c r="A17" s="290">
        <v>15</v>
      </c>
      <c r="B17" s="669">
        <v>1998</v>
      </c>
      <c r="C17" s="813" t="s">
        <v>789</v>
      </c>
      <c r="D17" s="701">
        <v>7696.6957499999999</v>
      </c>
      <c r="E17" s="701">
        <v>7911.6</v>
      </c>
      <c r="F17" s="481">
        <v>7791.33</v>
      </c>
      <c r="G17" s="2059">
        <f t="shared" si="0"/>
        <v>0</v>
      </c>
      <c r="H17" s="2058">
        <f t="shared" si="1"/>
        <v>1</v>
      </c>
    </row>
    <row r="18" spans="1:8" x14ac:dyDescent="0.3">
      <c r="A18" s="290">
        <v>16</v>
      </c>
      <c r="B18" s="669">
        <v>1999</v>
      </c>
      <c r="C18" s="813" t="s">
        <v>789</v>
      </c>
      <c r="D18" s="701">
        <v>16645.697250000001</v>
      </c>
      <c r="E18" s="701">
        <v>17068.915499999999</v>
      </c>
      <c r="F18" s="481">
        <v>16834.09</v>
      </c>
      <c r="G18" s="2059">
        <f t="shared" si="0"/>
        <v>0</v>
      </c>
      <c r="H18" s="2058">
        <f t="shared" si="1"/>
        <v>1</v>
      </c>
    </row>
    <row r="19" spans="1:8" x14ac:dyDescent="0.3">
      <c r="A19" s="290">
        <v>17</v>
      </c>
      <c r="B19" s="669">
        <v>2000</v>
      </c>
      <c r="C19" s="813" t="s">
        <v>789</v>
      </c>
      <c r="D19" s="701">
        <v>73538.36</v>
      </c>
      <c r="E19" s="701">
        <v>74624.418999999994</v>
      </c>
      <c r="F19" s="481">
        <v>74036.92</v>
      </c>
      <c r="G19" s="2059">
        <f t="shared" si="0"/>
        <v>0</v>
      </c>
      <c r="H19" s="2058">
        <f t="shared" si="1"/>
        <v>1</v>
      </c>
    </row>
    <row r="20" spans="1:8" x14ac:dyDescent="0.3">
      <c r="A20" s="290">
        <v>18</v>
      </c>
      <c r="B20" s="669">
        <v>2001</v>
      </c>
      <c r="C20" s="813" t="s">
        <v>789</v>
      </c>
      <c r="D20" s="701">
        <v>83366.438250000007</v>
      </c>
      <c r="E20" s="701">
        <v>84602.486999999994</v>
      </c>
      <c r="F20" s="481">
        <v>83935.05</v>
      </c>
      <c r="G20" s="2059">
        <f t="shared" si="0"/>
        <v>0</v>
      </c>
      <c r="H20" s="2058">
        <f t="shared" si="1"/>
        <v>1</v>
      </c>
    </row>
    <row r="21" spans="1:8" x14ac:dyDescent="0.3">
      <c r="A21" s="290">
        <v>19</v>
      </c>
      <c r="B21" s="669">
        <v>2002</v>
      </c>
      <c r="C21" s="813" t="s">
        <v>789</v>
      </c>
      <c r="D21" s="701">
        <v>14322.266</v>
      </c>
      <c r="E21" s="701">
        <v>14577.402</v>
      </c>
      <c r="F21" s="481">
        <v>14434.56</v>
      </c>
      <c r="G21" s="2059">
        <f t="shared" si="0"/>
        <v>0</v>
      </c>
      <c r="H21" s="2058">
        <f t="shared" si="1"/>
        <v>1</v>
      </c>
    </row>
    <row r="22" spans="1:8" x14ac:dyDescent="0.3">
      <c r="A22" s="290">
        <v>20</v>
      </c>
      <c r="B22" s="669">
        <v>2003</v>
      </c>
      <c r="C22" s="813" t="s">
        <v>789</v>
      </c>
      <c r="D22" s="701">
        <v>34781.818500000001</v>
      </c>
      <c r="E22" s="701">
        <v>35429.506000000001</v>
      </c>
      <c r="F22" s="481">
        <v>35070.370000000003</v>
      </c>
      <c r="G22" s="2059">
        <f t="shared" si="0"/>
        <v>0</v>
      </c>
      <c r="H22" s="2058">
        <f t="shared" si="1"/>
        <v>1</v>
      </c>
    </row>
    <row r="23" spans="1:8" x14ac:dyDescent="0.3">
      <c r="A23" s="290">
        <v>21</v>
      </c>
      <c r="B23" s="669">
        <v>2004</v>
      </c>
      <c r="C23" s="813" t="s">
        <v>789</v>
      </c>
      <c r="D23" s="701">
        <v>91217.906749999995</v>
      </c>
      <c r="E23" s="701">
        <v>92574.965249999994</v>
      </c>
      <c r="F23" s="481">
        <v>91825.72</v>
      </c>
      <c r="G23" s="2059">
        <f t="shared" si="0"/>
        <v>0</v>
      </c>
      <c r="H23" s="2058">
        <f t="shared" si="1"/>
        <v>1</v>
      </c>
    </row>
    <row r="24" spans="1:8" x14ac:dyDescent="0.3">
      <c r="A24" s="290">
        <v>22</v>
      </c>
      <c r="B24" s="669">
        <v>2005</v>
      </c>
      <c r="C24" s="813" t="s">
        <v>789</v>
      </c>
      <c r="D24" s="701">
        <v>58856.4015</v>
      </c>
      <c r="E24" s="701">
        <v>59755.097999999998</v>
      </c>
      <c r="F24" s="481">
        <v>59281.17</v>
      </c>
      <c r="G24" s="2059">
        <f t="shared" si="0"/>
        <v>0</v>
      </c>
      <c r="H24" s="2058">
        <f t="shared" si="1"/>
        <v>1</v>
      </c>
    </row>
    <row r="25" spans="1:8" x14ac:dyDescent="0.3">
      <c r="A25" s="290">
        <v>23</v>
      </c>
      <c r="B25" s="669">
        <v>2006</v>
      </c>
      <c r="C25" s="813" t="s">
        <v>789</v>
      </c>
      <c r="D25" s="701">
        <v>27439.848000000002</v>
      </c>
      <c r="E25" s="701">
        <v>27973.53</v>
      </c>
      <c r="F25" s="481">
        <v>27680.400000000001</v>
      </c>
      <c r="G25" s="2059">
        <f t="shared" si="0"/>
        <v>0</v>
      </c>
      <c r="H25" s="2058">
        <f t="shared" si="1"/>
        <v>1</v>
      </c>
    </row>
    <row r="26" spans="1:8" x14ac:dyDescent="0.3">
      <c r="A26" s="290">
        <v>24</v>
      </c>
      <c r="B26" s="2057">
        <v>2007</v>
      </c>
      <c r="C26" s="813" t="s">
        <v>789</v>
      </c>
      <c r="D26" s="701">
        <v>22214.355500000001</v>
      </c>
      <c r="E26" s="701">
        <v>22710.13</v>
      </c>
      <c r="F26" s="481">
        <v>22441.35</v>
      </c>
      <c r="G26" s="2059">
        <f t="shared" si="0"/>
        <v>0.12001482579688658</v>
      </c>
      <c r="H26" s="2058">
        <f t="shared" si="1"/>
        <v>0.99999465206746485</v>
      </c>
    </row>
    <row r="27" spans="1:8" x14ac:dyDescent="0.3">
      <c r="A27" s="290">
        <v>25</v>
      </c>
      <c r="B27" s="669">
        <v>2008</v>
      </c>
      <c r="C27" s="813" t="s">
        <v>789</v>
      </c>
      <c r="D27" s="701">
        <v>176112.15859040199</v>
      </c>
      <c r="E27" s="701">
        <v>180552.55140819601</v>
      </c>
      <c r="F27" s="481">
        <v>178326.991319925</v>
      </c>
      <c r="G27" s="2059">
        <f t="shared" si="0"/>
        <v>6.2998141322496301E-2</v>
      </c>
      <c r="H27" s="2058">
        <f t="shared" si="1"/>
        <v>0.99999964672683106</v>
      </c>
    </row>
    <row r="28" spans="1:8" x14ac:dyDescent="0.3">
      <c r="A28" s="290">
        <v>26</v>
      </c>
      <c r="B28" s="669">
        <v>2009</v>
      </c>
      <c r="C28" s="813" t="s">
        <v>789</v>
      </c>
      <c r="D28" s="701">
        <v>131131.86593286699</v>
      </c>
      <c r="E28" s="701">
        <v>138760.13447560501</v>
      </c>
      <c r="F28" s="481">
        <v>135026.520659364</v>
      </c>
      <c r="G28" s="2059">
        <f t="shared" si="0"/>
        <v>0.13416013989096734</v>
      </c>
      <c r="H28" s="2058">
        <f t="shared" si="1"/>
        <v>0.99999900641637485</v>
      </c>
    </row>
    <row r="29" spans="1:8" x14ac:dyDescent="0.3">
      <c r="A29" s="290">
        <v>27</v>
      </c>
      <c r="B29" s="669">
        <v>2010</v>
      </c>
      <c r="C29" s="813" t="s">
        <v>789</v>
      </c>
      <c r="D29" s="701">
        <v>336382.80337558198</v>
      </c>
      <c r="E29" s="701">
        <v>344878.27887536603</v>
      </c>
      <c r="F29" s="481">
        <v>340404.648485196</v>
      </c>
      <c r="G29" s="2059">
        <f t="shared" si="0"/>
        <v>4.2508289116377697E-2</v>
      </c>
      <c r="H29" s="2058">
        <f t="shared" si="1"/>
        <v>0.99999987512424016</v>
      </c>
    </row>
    <row r="30" spans="1:8" x14ac:dyDescent="0.3">
      <c r="A30" s="290">
        <v>28</v>
      </c>
      <c r="B30" s="2057">
        <v>2011</v>
      </c>
      <c r="C30" s="813" t="s">
        <v>789</v>
      </c>
      <c r="D30" s="701">
        <v>54445.192725570501</v>
      </c>
      <c r="E30" s="701">
        <v>65835.267789726902</v>
      </c>
      <c r="F30" s="481">
        <v>59807.756344249901</v>
      </c>
      <c r="G30" s="2059">
        <f t="shared" si="0"/>
        <v>0.66803155988857932</v>
      </c>
      <c r="H30" s="2058">
        <f t="shared" si="1"/>
        <v>0.99998883035243713</v>
      </c>
    </row>
    <row r="31" spans="1:8" x14ac:dyDescent="0.3">
      <c r="A31" s="290">
        <v>29</v>
      </c>
      <c r="B31" s="669">
        <v>2012</v>
      </c>
      <c r="C31" s="813" t="s">
        <v>789</v>
      </c>
      <c r="D31" s="701">
        <v>395056.89256703103</v>
      </c>
      <c r="E31" s="701">
        <v>408003.71710846102</v>
      </c>
      <c r="F31" s="481">
        <v>401404.30043268099</v>
      </c>
      <c r="G31" s="2059">
        <f t="shared" si="0"/>
        <v>0.13038387953435687</v>
      </c>
      <c r="H31" s="2058">
        <f t="shared" si="1"/>
        <v>0.99999967518066102</v>
      </c>
    </row>
    <row r="32" spans="1:8" x14ac:dyDescent="0.3">
      <c r="A32" s="290">
        <v>30</v>
      </c>
      <c r="B32" s="2057">
        <v>2013</v>
      </c>
      <c r="C32" s="813" t="s">
        <v>789</v>
      </c>
      <c r="D32" s="701">
        <v>93805.449365146793</v>
      </c>
      <c r="E32" s="701">
        <v>102506.44178617701</v>
      </c>
      <c r="F32" s="481">
        <v>98227.371782964605</v>
      </c>
      <c r="G32" s="2059">
        <f t="shared" si="0"/>
        <v>0.34363847251962881</v>
      </c>
      <c r="H32" s="2058">
        <f t="shared" si="1"/>
        <v>0.99999650160167897</v>
      </c>
    </row>
    <row r="33" spans="1:8" x14ac:dyDescent="0.3">
      <c r="A33" s="290">
        <v>31</v>
      </c>
      <c r="B33" s="669">
        <v>2014</v>
      </c>
      <c r="C33" s="813" t="s">
        <v>789</v>
      </c>
      <c r="D33" s="701">
        <v>383864.17923397</v>
      </c>
      <c r="E33" s="701">
        <v>397184.149914129</v>
      </c>
      <c r="F33" s="481">
        <v>390299.03856947698</v>
      </c>
      <c r="G33" s="2059">
        <f t="shared" si="0"/>
        <v>0.27310723303738699</v>
      </c>
      <c r="H33" s="2058">
        <f t="shared" si="1"/>
        <v>0.99999930026157879</v>
      </c>
    </row>
    <row r="34" spans="1:8" x14ac:dyDescent="0.3">
      <c r="A34" s="290">
        <v>32</v>
      </c>
      <c r="B34" s="669">
        <v>2015</v>
      </c>
      <c r="C34" s="813" t="s">
        <v>789</v>
      </c>
      <c r="D34" s="701">
        <v>165246.22810655</v>
      </c>
      <c r="E34" s="701">
        <v>192762.18856391899</v>
      </c>
      <c r="F34" s="481">
        <v>178618.42287389201</v>
      </c>
      <c r="G34" s="2059">
        <f t="shared" si="0"/>
        <v>0.58664681262073404</v>
      </c>
      <c r="H34" s="2058">
        <f t="shared" si="1"/>
        <v>0.99999671564218751</v>
      </c>
    </row>
    <row r="35" spans="1:8" x14ac:dyDescent="0.3">
      <c r="A35" s="290">
        <v>33</v>
      </c>
      <c r="B35" s="669">
        <v>2016</v>
      </c>
      <c r="C35" s="813" t="s">
        <v>789</v>
      </c>
      <c r="D35" s="701">
        <v>157590.014822839</v>
      </c>
      <c r="E35" s="701">
        <v>167328.185333028</v>
      </c>
      <c r="F35" s="481">
        <v>162530.70636977299</v>
      </c>
      <c r="G35" s="2059">
        <f t="shared" si="0"/>
        <v>0.40618305896894807</v>
      </c>
      <c r="H35" s="2058">
        <f t="shared" si="1"/>
        <v>0.99999750088418338</v>
      </c>
    </row>
    <row r="36" spans="1:8" x14ac:dyDescent="0.3">
      <c r="A36" s="290">
        <v>34</v>
      </c>
      <c r="B36" s="669">
        <v>2017</v>
      </c>
      <c r="C36" s="813" t="s">
        <v>789</v>
      </c>
      <c r="D36" s="701">
        <v>15130.1205333992</v>
      </c>
      <c r="E36" s="701">
        <v>16703.788257264699</v>
      </c>
      <c r="F36" s="481">
        <v>15874.7174467679</v>
      </c>
      <c r="G36" s="2059">
        <f t="shared" si="0"/>
        <v>0.72958003979136421</v>
      </c>
      <c r="H36" s="2058">
        <f t="shared" si="1"/>
        <v>0.99995404138421751</v>
      </c>
    </row>
    <row r="37" spans="1:8" x14ac:dyDescent="0.3">
      <c r="A37" s="290">
        <v>35</v>
      </c>
      <c r="B37" s="669">
        <v>2018</v>
      </c>
      <c r="C37" s="813" t="s">
        <v>789</v>
      </c>
      <c r="D37" s="701">
        <v>77880.8093450288</v>
      </c>
      <c r="E37" s="701">
        <v>80690.236439786895</v>
      </c>
      <c r="F37" s="481">
        <v>79318.770689273006</v>
      </c>
      <c r="G37" s="2059">
        <f t="shared" si="0"/>
        <v>0.57683055903011637</v>
      </c>
      <c r="H37" s="2058">
        <f t="shared" si="1"/>
        <v>0.99999272769164205</v>
      </c>
    </row>
    <row r="38" spans="1:8" x14ac:dyDescent="0.3">
      <c r="A38" s="290">
        <v>36</v>
      </c>
      <c r="B38" s="669">
        <v>2019</v>
      </c>
      <c r="C38" s="813" t="s">
        <v>789</v>
      </c>
      <c r="D38" s="701">
        <v>26602.6754000203</v>
      </c>
      <c r="E38" s="701">
        <v>30061.611780394502</v>
      </c>
      <c r="F38" s="481">
        <v>28496.549086613901</v>
      </c>
      <c r="G38" s="2059">
        <f t="shared" si="0"/>
        <v>0.46314024933022213</v>
      </c>
      <c r="H38" s="2058">
        <f t="shared" si="1"/>
        <v>0.99998374749700669</v>
      </c>
    </row>
    <row r="39" spans="1:8" x14ac:dyDescent="0.3">
      <c r="A39" s="290">
        <v>37</v>
      </c>
      <c r="B39" s="669">
        <v>2020</v>
      </c>
      <c r="C39" s="813" t="s">
        <v>789</v>
      </c>
      <c r="D39" s="701">
        <v>163405.196428408</v>
      </c>
      <c r="E39" s="701">
        <v>170916.72303507401</v>
      </c>
      <c r="F39" s="481">
        <v>167374.88164669901</v>
      </c>
      <c r="G39" s="2059">
        <f t="shared" si="0"/>
        <v>0.46816603086033137</v>
      </c>
      <c r="H39" s="2058">
        <f t="shared" si="1"/>
        <v>0.99999720288954796</v>
      </c>
    </row>
    <row r="40" spans="1:8" ht="15" thickBot="1" x14ac:dyDescent="0.35">
      <c r="A40" s="292">
        <v>38</v>
      </c>
      <c r="B40" s="706">
        <v>2021</v>
      </c>
      <c r="C40" s="999" t="s">
        <v>789</v>
      </c>
      <c r="D40" s="718">
        <v>54710.828813947599</v>
      </c>
      <c r="E40" s="718">
        <v>61674.998544116803</v>
      </c>
      <c r="F40" s="719">
        <v>58138.604861915701</v>
      </c>
      <c r="G40" s="2060">
        <f t="shared" si="0"/>
        <v>0.48458861551292742</v>
      </c>
      <c r="H40" s="2058">
        <f t="shared" si="1"/>
        <v>0.99999166494248248</v>
      </c>
    </row>
  </sheetData>
  <mergeCells count="3">
    <mergeCell ref="A1:F1"/>
    <mergeCell ref="G1:G2"/>
    <mergeCell ref="H1:H2"/>
  </mergeCells>
  <conditionalFormatting sqref="H3:H40">
    <cfRule type="colorScale" priority="1">
      <colorScale>
        <cfvo type="min"/>
        <cfvo type="percentile" val="50"/>
        <cfvo type="max"/>
        <color rgb="FF63BE7B"/>
        <color rgb="FFFFEB84"/>
        <color rgb="FFF8696B"/>
      </colorScale>
    </cfRule>
    <cfRule type="colorScale" priority="2">
      <colorScale>
        <cfvo type="min"/>
        <cfvo type="max"/>
        <color rgb="FFF8696B"/>
        <color rgb="FFFCFCFF"/>
      </colorScale>
    </cfRule>
  </conditionalFormatting>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A356DA-DDBE-4929-B78A-94208A15605A}">
  <dimension ref="A1:R13"/>
  <sheetViews>
    <sheetView workbookViewId="0">
      <selection activeCell="J20" sqref="J20"/>
    </sheetView>
  </sheetViews>
  <sheetFormatPr defaultRowHeight="14.4" x14ac:dyDescent="0.3"/>
  <cols>
    <col min="1" max="1" width="20.5546875" customWidth="1"/>
    <col min="2" max="2" width="8.33203125" customWidth="1"/>
    <col min="3" max="3" width="8.6640625" customWidth="1"/>
    <col min="4" max="5" width="8.6640625" style="664" customWidth="1"/>
    <col min="6" max="6" width="12.88671875" customWidth="1"/>
    <col min="7" max="7" width="5.44140625" bestFit="1" customWidth="1"/>
    <col min="8" max="8" width="5.6640625" bestFit="1" customWidth="1"/>
    <col min="10" max="11" width="9.88671875" customWidth="1"/>
    <col min="12" max="12" width="9.6640625" customWidth="1"/>
    <col min="13" max="13" width="8.33203125" customWidth="1"/>
    <col min="15" max="15" width="1.33203125" customWidth="1"/>
    <col min="16" max="17" width="13.6640625" customWidth="1"/>
    <col min="18" max="18" width="28.5546875" customWidth="1"/>
  </cols>
  <sheetData>
    <row r="1" spans="1:18" ht="43.8" thickBot="1" x14ac:dyDescent="0.35">
      <c r="A1" s="1942" t="s">
        <v>790</v>
      </c>
      <c r="B1" s="2008" t="s">
        <v>539</v>
      </c>
      <c r="C1" s="2009" t="s">
        <v>791</v>
      </c>
      <c r="D1" s="2008" t="s">
        <v>538</v>
      </c>
      <c r="E1" s="2007" t="s">
        <v>792</v>
      </c>
      <c r="F1" s="2006" t="s">
        <v>793</v>
      </c>
      <c r="G1" s="2005" t="s">
        <v>794</v>
      </c>
      <c r="H1" s="2004" t="s">
        <v>795</v>
      </c>
      <c r="I1" s="2003" t="s">
        <v>796</v>
      </c>
      <c r="J1" s="2002" t="s">
        <v>797</v>
      </c>
      <c r="K1" s="2001" t="s">
        <v>798</v>
      </c>
      <c r="L1" s="2000" t="s">
        <v>799</v>
      </c>
      <c r="M1" s="2008" t="s">
        <v>800</v>
      </c>
      <c r="N1" s="2006" t="s">
        <v>801</v>
      </c>
      <c r="O1" s="2"/>
      <c r="P1" s="2625" t="s">
        <v>802</v>
      </c>
      <c r="Q1" s="2626"/>
      <c r="R1" s="2627"/>
    </row>
    <row r="2" spans="1:18" ht="28.2" customHeight="1" x14ac:dyDescent="0.3">
      <c r="A2" s="1999" t="s">
        <v>803</v>
      </c>
      <c r="B2" s="759">
        <f>D2-4</f>
        <v>2011</v>
      </c>
      <c r="C2" s="2024">
        <v>838</v>
      </c>
      <c r="D2" s="759">
        <v>2015</v>
      </c>
      <c r="E2" s="2023">
        <f>170+0</f>
        <v>170</v>
      </c>
      <c r="F2" s="1996">
        <v>0</v>
      </c>
      <c r="G2" s="1995">
        <v>8</v>
      </c>
      <c r="H2" s="1145">
        <v>8</v>
      </c>
      <c r="I2" s="1994">
        <f>AVERAGE(G2:H2)</f>
        <v>8</v>
      </c>
      <c r="J2" s="1993">
        <v>10000</v>
      </c>
      <c r="K2" s="1992">
        <v>14000</v>
      </c>
      <c r="L2" s="1991">
        <f>SUM(J2:K2)</f>
        <v>24000</v>
      </c>
      <c r="M2" s="2029">
        <v>0.82</v>
      </c>
      <c r="N2" s="2025">
        <v>0.9</v>
      </c>
      <c r="P2" s="2631" t="s">
        <v>804</v>
      </c>
      <c r="Q2" s="2632"/>
      <c r="R2" s="2633"/>
    </row>
    <row r="3" spans="1:18" ht="28.2" customHeight="1" x14ac:dyDescent="0.3">
      <c r="A3" s="1999" t="s">
        <v>803</v>
      </c>
      <c r="B3" s="760">
        <f>D3-4</f>
        <v>2012</v>
      </c>
      <c r="C3" s="2022">
        <v>869</v>
      </c>
      <c r="D3" s="760">
        <v>2016</v>
      </c>
      <c r="E3" s="2021">
        <f>380+241</f>
        <v>621</v>
      </c>
      <c r="F3" s="1996">
        <v>0.39</v>
      </c>
      <c r="G3" s="1995">
        <v>17</v>
      </c>
      <c r="H3" s="1145">
        <v>14</v>
      </c>
      <c r="I3" s="1994">
        <f>AVERAGE(G3:H3)</f>
        <v>15.5</v>
      </c>
      <c r="J3" s="1993">
        <v>55000</v>
      </c>
      <c r="K3" s="1992">
        <v>37000</v>
      </c>
      <c r="L3" s="1991">
        <f>SUM(J3:K3)</f>
        <v>92000</v>
      </c>
      <c r="M3" s="2027">
        <v>0.56000000000000005</v>
      </c>
      <c r="N3" s="2025">
        <v>0.82</v>
      </c>
      <c r="P3" s="2628" t="s">
        <v>805</v>
      </c>
      <c r="Q3" s="2629"/>
      <c r="R3" s="2630"/>
    </row>
    <row r="4" spans="1:18" ht="28.2" customHeight="1" thickBot="1" x14ac:dyDescent="0.35">
      <c r="A4" s="2020" t="s">
        <v>803</v>
      </c>
      <c r="B4" s="762">
        <f>D4-4</f>
        <v>2013</v>
      </c>
      <c r="C4" s="2019">
        <v>0</v>
      </c>
      <c r="D4" s="762">
        <v>2017</v>
      </c>
      <c r="E4" s="2018">
        <f>0+86</f>
        <v>86</v>
      </c>
      <c r="F4" s="2017">
        <v>1</v>
      </c>
      <c r="G4" s="2016">
        <v>19</v>
      </c>
      <c r="H4" s="2015">
        <v>11</v>
      </c>
      <c r="I4" s="2014">
        <f>AVERAGE(G4:H4)</f>
        <v>15</v>
      </c>
      <c r="J4" s="2013">
        <v>10000</v>
      </c>
      <c r="K4" s="2012">
        <v>27000</v>
      </c>
      <c r="L4" s="2011">
        <f>SUM(J4:K4)</f>
        <v>37000</v>
      </c>
      <c r="M4" s="2028">
        <v>0.55000000000000004</v>
      </c>
      <c r="N4" s="2026">
        <v>0.67</v>
      </c>
      <c r="P4" s="2622" t="s">
        <v>806</v>
      </c>
      <c r="Q4" s="2623"/>
      <c r="R4" s="2624"/>
    </row>
    <row r="5" spans="1:18" ht="15" thickBot="1" x14ac:dyDescent="0.35">
      <c r="B5" s="1271"/>
      <c r="C5" s="1271"/>
      <c r="P5" s="318"/>
      <c r="Q5" s="318"/>
      <c r="R5" s="318"/>
    </row>
    <row r="6" spans="1:18" s="664" customFormat="1" ht="43.8" thickBot="1" x14ac:dyDescent="0.35">
      <c r="A6" s="1942" t="s">
        <v>790</v>
      </c>
      <c r="B6" s="2010" t="s">
        <v>807</v>
      </c>
      <c r="C6" s="2009" t="s">
        <v>791</v>
      </c>
      <c r="D6" s="2008" t="s">
        <v>538</v>
      </c>
      <c r="E6" s="2007" t="s">
        <v>792</v>
      </c>
      <c r="F6" s="2006" t="s">
        <v>808</v>
      </c>
      <c r="G6" s="2005" t="s">
        <v>794</v>
      </c>
      <c r="H6" s="2004" t="s">
        <v>795</v>
      </c>
      <c r="I6" s="2003" t="s">
        <v>796</v>
      </c>
      <c r="J6" s="2002" t="s">
        <v>797</v>
      </c>
      <c r="K6" s="2001" t="s">
        <v>798</v>
      </c>
      <c r="L6" s="2000" t="s">
        <v>799</v>
      </c>
      <c r="M6" s="2008" t="s">
        <v>800</v>
      </c>
      <c r="N6" s="2006" t="s">
        <v>801</v>
      </c>
      <c r="O6" s="985"/>
      <c r="P6" s="2625" t="s">
        <v>802</v>
      </c>
      <c r="Q6" s="2626"/>
      <c r="R6" s="2627"/>
    </row>
    <row r="7" spans="1:18" ht="28.2" customHeight="1" x14ac:dyDescent="0.3">
      <c r="A7" s="1999" t="s">
        <v>809</v>
      </c>
      <c r="B7" s="759">
        <f t="shared" ref="B7:B13" si="0">D7-4</f>
        <v>2007</v>
      </c>
      <c r="C7" s="1998">
        <v>886</v>
      </c>
      <c r="D7" s="759">
        <v>2011</v>
      </c>
      <c r="E7" s="1997">
        <f>1103+18303</f>
        <v>19406</v>
      </c>
      <c r="F7" s="1996">
        <v>0.06</v>
      </c>
      <c r="G7" s="1995">
        <v>9</v>
      </c>
      <c r="H7" s="1145">
        <v>10</v>
      </c>
      <c r="I7" s="1994">
        <f t="shared" ref="I7:I13" si="1">AVERAGE(G7:H7)</f>
        <v>9.5</v>
      </c>
      <c r="J7" s="1993">
        <v>13000</v>
      </c>
      <c r="K7" s="1992">
        <v>23000</v>
      </c>
      <c r="L7" s="1991">
        <f t="shared" ref="L7:L13" si="2">SUM(J7:K7)</f>
        <v>36000</v>
      </c>
      <c r="M7" s="2029" t="s">
        <v>247</v>
      </c>
      <c r="N7" s="2025" t="s">
        <v>247</v>
      </c>
      <c r="O7" s="318"/>
      <c r="P7" s="2631" t="s">
        <v>810</v>
      </c>
      <c r="Q7" s="2632"/>
      <c r="R7" s="2633"/>
    </row>
    <row r="8" spans="1:18" ht="28.2" customHeight="1" x14ac:dyDescent="0.3">
      <c r="A8" s="1989" t="s">
        <v>809</v>
      </c>
      <c r="B8" s="760">
        <f t="shared" si="0"/>
        <v>2008</v>
      </c>
      <c r="C8" s="1988">
        <v>1614</v>
      </c>
      <c r="D8" s="760">
        <v>2012</v>
      </c>
      <c r="E8" s="1987">
        <f>6502+5287</f>
        <v>11789</v>
      </c>
      <c r="F8" s="1986">
        <v>0.25</v>
      </c>
      <c r="G8" s="1985">
        <v>15</v>
      </c>
      <c r="H8" s="459">
        <v>10</v>
      </c>
      <c r="I8" s="1984">
        <f t="shared" si="1"/>
        <v>12.5</v>
      </c>
      <c r="J8" s="1983">
        <v>94000</v>
      </c>
      <c r="K8" s="666">
        <v>11000</v>
      </c>
      <c r="L8" s="1982">
        <f t="shared" si="2"/>
        <v>105000</v>
      </c>
      <c r="M8" s="2027">
        <v>0.78</v>
      </c>
      <c r="N8" s="2025" t="s">
        <v>247</v>
      </c>
      <c r="P8" s="2628" t="s">
        <v>811</v>
      </c>
      <c r="Q8" s="2629"/>
      <c r="R8" s="2630"/>
    </row>
    <row r="9" spans="1:18" ht="28.2" customHeight="1" x14ac:dyDescent="0.3">
      <c r="A9" s="1990" t="s">
        <v>809</v>
      </c>
      <c r="B9" s="760">
        <f t="shared" si="0"/>
        <v>2010</v>
      </c>
      <c r="C9" s="1988">
        <v>900</v>
      </c>
      <c r="D9" s="760">
        <v>2014</v>
      </c>
      <c r="E9" s="1987">
        <f>3910+20284</f>
        <v>24194</v>
      </c>
      <c r="F9" s="1986">
        <v>0.16</v>
      </c>
      <c r="G9" s="1985">
        <v>11</v>
      </c>
      <c r="H9" s="459">
        <v>13</v>
      </c>
      <c r="I9" s="1984">
        <f t="shared" si="1"/>
        <v>12</v>
      </c>
      <c r="J9" s="1983">
        <v>147000</v>
      </c>
      <c r="K9" s="666">
        <v>50000</v>
      </c>
      <c r="L9" s="1982">
        <f t="shared" si="2"/>
        <v>197000</v>
      </c>
      <c r="M9" s="2027">
        <v>0.74</v>
      </c>
      <c r="N9" s="2030">
        <v>0.65</v>
      </c>
      <c r="P9" s="2628" t="s">
        <v>812</v>
      </c>
      <c r="Q9" s="2629"/>
      <c r="R9" s="2630"/>
    </row>
    <row r="10" spans="1:18" ht="28.2" customHeight="1" x14ac:dyDescent="0.3">
      <c r="A10" s="1989" t="s">
        <v>809</v>
      </c>
      <c r="B10" s="760">
        <f t="shared" si="0"/>
        <v>2014</v>
      </c>
      <c r="C10" s="1988">
        <v>1762</v>
      </c>
      <c r="D10" s="760">
        <v>2018</v>
      </c>
      <c r="E10" s="1987">
        <f>219+4710</f>
        <v>4929</v>
      </c>
      <c r="F10" s="1986">
        <v>0.04</v>
      </c>
      <c r="G10" s="1985">
        <v>11</v>
      </c>
      <c r="H10" s="459">
        <v>17</v>
      </c>
      <c r="I10" s="1984">
        <f t="shared" si="1"/>
        <v>14</v>
      </c>
      <c r="J10" s="1983">
        <v>31000</v>
      </c>
      <c r="K10" s="666">
        <v>42000</v>
      </c>
      <c r="L10" s="1982">
        <f t="shared" si="2"/>
        <v>73000</v>
      </c>
      <c r="M10" s="2027">
        <v>0.65</v>
      </c>
      <c r="N10" s="2030">
        <v>0.75</v>
      </c>
      <c r="P10" s="2628" t="s">
        <v>813</v>
      </c>
      <c r="Q10" s="2629"/>
      <c r="R10" s="2630"/>
    </row>
    <row r="11" spans="1:18" ht="28.2" customHeight="1" x14ac:dyDescent="0.3">
      <c r="A11" s="1989" t="s">
        <v>814</v>
      </c>
      <c r="B11" s="760">
        <f t="shared" si="0"/>
        <v>2015</v>
      </c>
      <c r="C11" s="1988">
        <v>368</v>
      </c>
      <c r="D11" s="760">
        <v>2019</v>
      </c>
      <c r="E11" s="1987">
        <f>543+4332</f>
        <v>4875</v>
      </c>
      <c r="F11" s="1986">
        <v>0.11</v>
      </c>
      <c r="G11" s="1985">
        <v>12</v>
      </c>
      <c r="H11" s="459">
        <v>12</v>
      </c>
      <c r="I11" s="1984">
        <f t="shared" si="1"/>
        <v>12</v>
      </c>
      <c r="J11" s="1983">
        <v>13000</v>
      </c>
      <c r="K11" s="666">
        <v>10000</v>
      </c>
      <c r="L11" s="1982">
        <f t="shared" si="2"/>
        <v>23000</v>
      </c>
      <c r="M11" s="2027">
        <v>0.59</v>
      </c>
      <c r="N11" s="2030">
        <v>0.4</v>
      </c>
      <c r="P11" s="2628" t="s">
        <v>815</v>
      </c>
      <c r="Q11" s="2629"/>
      <c r="R11" s="2630"/>
    </row>
    <row r="12" spans="1:18" ht="28.2" customHeight="1" x14ac:dyDescent="0.3">
      <c r="A12" s="1989" t="s">
        <v>816</v>
      </c>
      <c r="B12" s="760">
        <f t="shared" si="0"/>
        <v>2016</v>
      </c>
      <c r="C12" s="1988">
        <v>5177</v>
      </c>
      <c r="D12" s="760">
        <v>2020</v>
      </c>
      <c r="E12" s="1987">
        <f>1248+17096</f>
        <v>18344</v>
      </c>
      <c r="F12" s="1986">
        <v>7.0000000000000007E-2</v>
      </c>
      <c r="G12" s="1985">
        <v>18</v>
      </c>
      <c r="H12" s="459">
        <v>14</v>
      </c>
      <c r="I12" s="1984">
        <f t="shared" si="1"/>
        <v>16</v>
      </c>
      <c r="J12" s="1983">
        <v>48000</v>
      </c>
      <c r="K12" s="666">
        <v>40000</v>
      </c>
      <c r="L12" s="1982">
        <f t="shared" si="2"/>
        <v>88000</v>
      </c>
      <c r="M12" s="2027" t="s">
        <v>247</v>
      </c>
      <c r="N12" s="2030">
        <v>0.93</v>
      </c>
      <c r="P12" s="2628" t="s">
        <v>817</v>
      </c>
      <c r="Q12" s="2629"/>
      <c r="R12" s="2630"/>
    </row>
    <row r="13" spans="1:18" ht="28.2" customHeight="1" thickBot="1" x14ac:dyDescent="0.35">
      <c r="A13" s="1981" t="s">
        <v>818</v>
      </c>
      <c r="B13" s="762">
        <f t="shared" si="0"/>
        <v>2017</v>
      </c>
      <c r="C13" s="1980">
        <v>1233</v>
      </c>
      <c r="D13" s="762">
        <v>2021</v>
      </c>
      <c r="E13" s="1979">
        <f>692+1551</f>
        <v>2243</v>
      </c>
      <c r="F13" s="1978">
        <v>0.3</v>
      </c>
      <c r="G13" s="1977">
        <v>11</v>
      </c>
      <c r="H13" s="1976">
        <v>10</v>
      </c>
      <c r="I13" s="1975">
        <f t="shared" si="1"/>
        <v>10.5</v>
      </c>
      <c r="J13" s="1974">
        <v>10000</v>
      </c>
      <c r="K13" s="1973">
        <v>9000</v>
      </c>
      <c r="L13" s="1972">
        <f t="shared" si="2"/>
        <v>19000</v>
      </c>
      <c r="M13" s="2028" t="s">
        <v>247</v>
      </c>
      <c r="N13" s="2031">
        <v>1</v>
      </c>
      <c r="P13" s="2622" t="s">
        <v>819</v>
      </c>
      <c r="Q13" s="2623"/>
      <c r="R13" s="2624"/>
    </row>
  </sheetData>
  <mergeCells count="12">
    <mergeCell ref="P1:R1"/>
    <mergeCell ref="P2:R2"/>
    <mergeCell ref="P3:R3"/>
    <mergeCell ref="P4:R4"/>
    <mergeCell ref="P7:R7"/>
    <mergeCell ref="P13:R13"/>
    <mergeCell ref="P6:R6"/>
    <mergeCell ref="P8:R8"/>
    <mergeCell ref="P9:R9"/>
    <mergeCell ref="P10:R10"/>
    <mergeCell ref="P11:R11"/>
    <mergeCell ref="P12:R12"/>
  </mergeCells>
  <conditionalFormatting sqref="M2:N13">
    <cfRule type="colorScale" priority="6">
      <colorScale>
        <cfvo type="min"/>
        <cfvo type="percentile" val="50"/>
        <cfvo type="max"/>
        <color rgb="FFF8696B"/>
        <color rgb="FFFFEB84"/>
        <color rgb="FF63BE7B"/>
      </colorScale>
    </cfRule>
  </conditionalFormatting>
  <conditionalFormatting sqref="L2:L13">
    <cfRule type="colorScale" priority="5">
      <colorScale>
        <cfvo type="min"/>
        <cfvo type="percentile" val="50"/>
        <cfvo type="max"/>
        <color rgb="FFF8696B"/>
        <color rgb="FFFFEB84"/>
        <color rgb="FF63BE7B"/>
      </colorScale>
    </cfRule>
  </conditionalFormatting>
  <conditionalFormatting sqref="I2:I5 I7:I13">
    <cfRule type="colorScale" priority="4">
      <colorScale>
        <cfvo type="min"/>
        <cfvo type="percentile" val="50"/>
        <cfvo type="max"/>
        <color rgb="FFF8696B"/>
        <color rgb="FFFFEB84"/>
        <color rgb="FF63BE7B"/>
      </colorScale>
    </cfRule>
  </conditionalFormatting>
  <conditionalFormatting sqref="F2:F6">
    <cfRule type="colorScale" priority="3">
      <colorScale>
        <cfvo type="min"/>
        <cfvo type="percentile" val="50"/>
        <cfvo type="max"/>
        <color rgb="FF63BE7B"/>
        <color rgb="FFFFEB84"/>
        <color rgb="FFF8696B"/>
      </colorScale>
    </cfRule>
  </conditionalFormatting>
  <conditionalFormatting sqref="F7:F13">
    <cfRule type="colorScale" priority="2">
      <colorScale>
        <cfvo type="min"/>
        <cfvo type="percentile" val="50"/>
        <cfvo type="max"/>
        <color rgb="FF63BE7B"/>
        <color rgb="FFFFEB84"/>
        <color rgb="FFF8696B"/>
      </colorScale>
    </cfRule>
  </conditionalFormatting>
  <conditionalFormatting sqref="C7:C13 C2:C4">
    <cfRule type="dataBar" priority="1">
      <dataBar>
        <cfvo type="min"/>
        <cfvo type="max"/>
        <color rgb="FF008AEF"/>
      </dataBar>
      <extLst>
        <ext xmlns:x14="http://schemas.microsoft.com/office/spreadsheetml/2009/9/main" uri="{B025F937-C7B1-47D3-B67F-A62EFF666E3E}">
          <x14:id>{D58E546D-8492-45EA-9A01-9A8AB85A2CEA}</x14:id>
        </ext>
      </extLst>
    </cfRule>
  </conditionalFormatting>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dataBar" id="{D58E546D-8492-45EA-9A01-9A8AB85A2CEA}">
            <x14:dataBar minLength="0" maxLength="100" border="1" negativeBarBorderColorSameAsPositive="0">
              <x14:cfvo type="autoMin"/>
              <x14:cfvo type="autoMax"/>
              <x14:borderColor rgb="FF008AEF"/>
              <x14:negativeFillColor rgb="FFFF0000"/>
              <x14:negativeBorderColor rgb="FFFF0000"/>
              <x14:axisColor rgb="FF000000"/>
            </x14:dataBar>
          </x14:cfRule>
          <xm:sqref>C7:C13 C2:C4</xm:sqref>
        </x14:conditionalFormatting>
      </x14:conditionalFormattings>
    </ext>
  </extLst>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6FDBD0-0979-456B-8E9C-2B9481D7B616}">
  <sheetPr codeName="Sheet30">
    <tabColor theme="7"/>
  </sheetPr>
  <dimension ref="A1:T73"/>
  <sheetViews>
    <sheetView zoomScaleNormal="100" workbookViewId="0">
      <pane xSplit="3" ySplit="1" topLeftCell="D48" activePane="bottomRight" state="frozen"/>
      <selection pane="topRight" activeCell="C15" sqref="C15"/>
      <selection pane="bottomLeft" activeCell="C15" sqref="C15"/>
      <selection pane="bottomRight" activeCell="K61" sqref="K61:L61"/>
    </sheetView>
  </sheetViews>
  <sheetFormatPr defaultRowHeight="14.4" x14ac:dyDescent="0.3"/>
  <cols>
    <col min="1" max="1" width="11.6640625" bestFit="1" customWidth="1"/>
    <col min="2" max="2" width="13.6640625" bestFit="1" customWidth="1"/>
    <col min="3" max="3" width="9.33203125" bestFit="1" customWidth="1"/>
    <col min="4" max="4" width="11.33203125" bestFit="1" customWidth="1"/>
    <col min="5" max="5" width="13.44140625" bestFit="1" customWidth="1"/>
    <col min="6" max="6" width="13.6640625" customWidth="1"/>
    <col min="7" max="7" width="16.44140625" bestFit="1" customWidth="1"/>
    <col min="8" max="8" width="15.6640625" style="708" bestFit="1" customWidth="1"/>
    <col min="9" max="9" width="14.33203125" bestFit="1" customWidth="1"/>
    <col min="10" max="10" width="8.6640625" customWidth="1"/>
    <col min="11" max="11" width="7.6640625" customWidth="1"/>
    <col min="12" max="12" width="8.6640625" customWidth="1"/>
    <col min="13" max="13" width="8.6640625" style="708" bestFit="1" customWidth="1"/>
    <col min="14" max="15" width="8.6640625" style="708"/>
    <col min="16" max="16" width="0" hidden="1" customWidth="1"/>
    <col min="17" max="17" width="9" hidden="1" customWidth="1"/>
  </cols>
  <sheetData>
    <row r="1" spans="1:17" s="1271" customFormat="1" ht="28.8" x14ac:dyDescent="0.3">
      <c r="A1" s="1266" t="s">
        <v>820</v>
      </c>
      <c r="B1" s="1267" t="s">
        <v>821</v>
      </c>
      <c r="C1" s="1268" t="s">
        <v>15</v>
      </c>
      <c r="D1" s="1268" t="s">
        <v>822</v>
      </c>
      <c r="E1" s="1268" t="s">
        <v>823</v>
      </c>
      <c r="F1" s="1268" t="s">
        <v>824</v>
      </c>
      <c r="G1" s="1268" t="s">
        <v>825</v>
      </c>
      <c r="H1" s="1268" t="s">
        <v>826</v>
      </c>
      <c r="I1" s="1566" t="s">
        <v>827</v>
      </c>
      <c r="J1" s="1566" t="s">
        <v>828</v>
      </c>
      <c r="K1" s="1566" t="s">
        <v>829</v>
      </c>
      <c r="L1" s="1566" t="s">
        <v>830</v>
      </c>
      <c r="M1" s="1269" t="s">
        <v>831</v>
      </c>
      <c r="N1" s="1269" t="s">
        <v>832</v>
      </c>
      <c r="O1" s="1269" t="s">
        <v>833</v>
      </c>
      <c r="P1" s="1269" t="s">
        <v>834</v>
      </c>
      <c r="Q1" s="1270" t="s">
        <v>835</v>
      </c>
    </row>
    <row r="2" spans="1:17" s="1271" customFormat="1" x14ac:dyDescent="0.3">
      <c r="A2" s="1843" t="s">
        <v>836</v>
      </c>
      <c r="B2" s="1843" t="s">
        <v>837</v>
      </c>
      <c r="C2" s="1844">
        <v>2000</v>
      </c>
      <c r="D2" s="1785"/>
      <c r="E2" s="1727">
        <v>21926</v>
      </c>
      <c r="F2" s="1785"/>
      <c r="G2" s="1832">
        <v>4.0000000000000001E-3</v>
      </c>
      <c r="H2" s="1840">
        <v>88</v>
      </c>
      <c r="I2" s="1786"/>
      <c r="J2" s="1786"/>
      <c r="K2" s="1786"/>
      <c r="L2" s="1786"/>
      <c r="M2" s="1831">
        <v>21838</v>
      </c>
      <c r="N2" s="1831">
        <v>0</v>
      </c>
      <c r="O2" s="1831">
        <v>21838</v>
      </c>
      <c r="P2" s="1831">
        <v>0</v>
      </c>
      <c r="Q2" s="1832">
        <f t="shared" ref="Q2:Q9" si="0">IF(ISNUMBER(N2),N2/M2,"")</f>
        <v>0</v>
      </c>
    </row>
    <row r="3" spans="1:17" s="1271" customFormat="1" x14ac:dyDescent="0.3">
      <c r="A3" s="1843" t="s">
        <v>836</v>
      </c>
      <c r="B3" s="1843" t="s">
        <v>837</v>
      </c>
      <c r="C3" s="1844">
        <v>2001</v>
      </c>
      <c r="D3" s="1785"/>
      <c r="E3" s="1727">
        <v>39378</v>
      </c>
      <c r="F3" s="1785"/>
      <c r="G3" s="1832">
        <v>8.9999999999999993E-3</v>
      </c>
      <c r="H3" s="1840">
        <v>354</v>
      </c>
      <c r="I3" s="1786"/>
      <c r="J3" s="1786"/>
      <c r="K3" s="1786"/>
      <c r="L3" s="1786"/>
      <c r="M3" s="1831">
        <v>39024</v>
      </c>
      <c r="N3" s="1831">
        <v>0</v>
      </c>
      <c r="O3" s="1831">
        <v>39024</v>
      </c>
      <c r="P3" s="1831">
        <v>0</v>
      </c>
      <c r="Q3" s="1832">
        <f t="shared" si="0"/>
        <v>0</v>
      </c>
    </row>
    <row r="4" spans="1:17" s="1271" customFormat="1" x14ac:dyDescent="0.3">
      <c r="A4" s="1843" t="s">
        <v>836</v>
      </c>
      <c r="B4" s="1843" t="s">
        <v>837</v>
      </c>
      <c r="C4" s="1844">
        <v>2002</v>
      </c>
      <c r="D4" s="1785"/>
      <c r="E4" s="1727">
        <v>4904</v>
      </c>
      <c r="F4" s="1785"/>
      <c r="G4" s="1832">
        <v>0.27400000000000002</v>
      </c>
      <c r="H4" s="1840">
        <v>1344</v>
      </c>
      <c r="I4" s="1786"/>
      <c r="J4" s="1786"/>
      <c r="K4" s="1786"/>
      <c r="L4" s="1786"/>
      <c r="M4" s="1831">
        <v>3560</v>
      </c>
      <c r="N4" s="1831">
        <v>0</v>
      </c>
      <c r="O4" s="1831">
        <v>3560</v>
      </c>
      <c r="P4" s="1831">
        <v>0</v>
      </c>
      <c r="Q4" s="1832">
        <f t="shared" si="0"/>
        <v>0</v>
      </c>
    </row>
    <row r="5" spans="1:17" s="1271" customFormat="1" x14ac:dyDescent="0.3">
      <c r="A5" s="1843" t="s">
        <v>836</v>
      </c>
      <c r="B5" s="1843" t="s">
        <v>837</v>
      </c>
      <c r="C5" s="1844">
        <v>2003</v>
      </c>
      <c r="D5" s="1785"/>
      <c r="E5" s="1727">
        <v>17753</v>
      </c>
      <c r="F5" s="1785"/>
      <c r="G5" s="1832">
        <v>0</v>
      </c>
      <c r="H5" s="1840">
        <v>0</v>
      </c>
      <c r="I5" s="1786"/>
      <c r="J5" s="1786"/>
      <c r="K5" s="1786"/>
      <c r="L5" s="1786"/>
      <c r="M5" s="1831">
        <v>17753</v>
      </c>
      <c r="N5" s="1831">
        <v>0</v>
      </c>
      <c r="O5" s="1831">
        <v>17753</v>
      </c>
      <c r="P5" s="1831">
        <v>0</v>
      </c>
      <c r="Q5" s="1832">
        <f t="shared" si="0"/>
        <v>0</v>
      </c>
    </row>
    <row r="6" spans="1:17" s="1271" customFormat="1" x14ac:dyDescent="0.3">
      <c r="A6" s="1843" t="s">
        <v>836</v>
      </c>
      <c r="B6" s="1843" t="s">
        <v>837</v>
      </c>
      <c r="C6" s="1844">
        <v>2004</v>
      </c>
      <c r="D6" s="1785"/>
      <c r="E6" s="1727">
        <v>41791</v>
      </c>
      <c r="F6" s="1785"/>
      <c r="G6" s="1832">
        <v>0</v>
      </c>
      <c r="H6" s="1840">
        <v>0</v>
      </c>
      <c r="I6" s="1786"/>
      <c r="J6" s="1786"/>
      <c r="K6" s="1786"/>
      <c r="L6" s="1786"/>
      <c r="M6" s="1831">
        <v>41791</v>
      </c>
      <c r="N6" s="1831">
        <v>0</v>
      </c>
      <c r="O6" s="1831">
        <v>41791</v>
      </c>
      <c r="P6" s="1831">
        <v>0</v>
      </c>
      <c r="Q6" s="1832">
        <f t="shared" si="0"/>
        <v>0</v>
      </c>
    </row>
    <row r="7" spans="1:17" s="1271" customFormat="1" x14ac:dyDescent="0.3">
      <c r="A7" s="1843" t="s">
        <v>836</v>
      </c>
      <c r="B7" s="1843" t="s">
        <v>837</v>
      </c>
      <c r="C7" s="1844">
        <v>2005</v>
      </c>
      <c r="D7" s="1785"/>
      <c r="E7" s="1727">
        <v>31260</v>
      </c>
      <c r="F7" s="1785"/>
      <c r="G7" s="1832">
        <v>0</v>
      </c>
      <c r="H7" s="1840">
        <v>0</v>
      </c>
      <c r="I7" s="1786"/>
      <c r="J7" s="1786"/>
      <c r="K7" s="1786"/>
      <c r="L7" s="1786"/>
      <c r="M7" s="1831">
        <v>31260</v>
      </c>
      <c r="N7" s="1831">
        <v>0</v>
      </c>
      <c r="O7" s="1831">
        <v>31260</v>
      </c>
      <c r="P7" s="1831">
        <v>0</v>
      </c>
      <c r="Q7" s="1832">
        <f t="shared" si="0"/>
        <v>0</v>
      </c>
    </row>
    <row r="8" spans="1:17" s="1271" customFormat="1" x14ac:dyDescent="0.3">
      <c r="A8" s="1843" t="s">
        <v>836</v>
      </c>
      <c r="B8" s="1843" t="s">
        <v>837</v>
      </c>
      <c r="C8" s="1844">
        <v>2006</v>
      </c>
      <c r="D8" s="1785"/>
      <c r="E8" s="1727">
        <v>20819</v>
      </c>
      <c r="F8" s="1785"/>
      <c r="G8" s="1832">
        <v>0</v>
      </c>
      <c r="H8" s="1840">
        <v>0</v>
      </c>
      <c r="I8" s="1786"/>
      <c r="J8" s="1786"/>
      <c r="K8" s="1786"/>
      <c r="L8" s="1786"/>
      <c r="M8" s="1831">
        <v>20819</v>
      </c>
      <c r="N8" s="1831">
        <v>0</v>
      </c>
      <c r="O8" s="1831">
        <v>20819</v>
      </c>
      <c r="P8" s="1831">
        <v>0</v>
      </c>
      <c r="Q8" s="1832">
        <f t="shared" si="0"/>
        <v>0</v>
      </c>
    </row>
    <row r="9" spans="1:17" s="1271" customFormat="1" x14ac:dyDescent="0.3">
      <c r="A9" s="1843" t="s">
        <v>836</v>
      </c>
      <c r="B9" s="1843" t="s">
        <v>837</v>
      </c>
      <c r="C9" s="1844">
        <v>2007</v>
      </c>
      <c r="D9" s="1785"/>
      <c r="E9" s="1727">
        <v>13490</v>
      </c>
      <c r="F9" s="1785"/>
      <c r="G9" s="1832">
        <v>0</v>
      </c>
      <c r="H9" s="1840">
        <v>0</v>
      </c>
      <c r="I9" s="1786"/>
      <c r="J9" s="1786"/>
      <c r="K9" s="1786"/>
      <c r="L9" s="1786"/>
      <c r="M9" s="1831">
        <v>13490</v>
      </c>
      <c r="N9" s="1831">
        <v>1619</v>
      </c>
      <c r="O9" s="1831">
        <v>11871</v>
      </c>
      <c r="P9" s="1831">
        <v>1619</v>
      </c>
      <c r="Q9" s="1832">
        <f t="shared" si="0"/>
        <v>0.12001482579688658</v>
      </c>
    </row>
    <row r="10" spans="1:17" ht="28.8" x14ac:dyDescent="0.3">
      <c r="A10" s="1843" t="s">
        <v>836</v>
      </c>
      <c r="B10" s="1843" t="s">
        <v>837</v>
      </c>
      <c r="C10" s="1844">
        <v>2008</v>
      </c>
      <c r="D10" s="1571">
        <v>12396693</v>
      </c>
      <c r="E10" s="1727">
        <v>126972</v>
      </c>
      <c r="F10" s="1571">
        <v>2517</v>
      </c>
      <c r="G10" s="1832">
        <f t="shared" ref="G10:G61" si="1">IF(ISNUMBER(H10),H10/E10,"")</f>
        <v>0</v>
      </c>
      <c r="H10" s="1840">
        <f t="shared" ref="H10:H61" si="2">IF(ISTEXT(I10),_xlfn.NUMBERVALUE((LEFT(I10,FIND("(",I10)-2))),"")</f>
        <v>0</v>
      </c>
      <c r="I10" s="1729" t="s">
        <v>838</v>
      </c>
      <c r="J10" s="1729" t="s">
        <v>839</v>
      </c>
      <c r="K10" s="1729" t="s">
        <v>840</v>
      </c>
      <c r="L10" s="1729" t="s">
        <v>841</v>
      </c>
      <c r="M10" s="1831">
        <f t="shared" ref="M10:O12" si="3">IF(ISTEXT(J10),_xlfn.NUMBERVALUE((LEFT(J10,FIND("(",J10)-2))),"")</f>
        <v>126972</v>
      </c>
      <c r="N10" s="1831">
        <f t="shared" si="3"/>
        <v>7999</v>
      </c>
      <c r="O10" s="1831">
        <f t="shared" si="3"/>
        <v>118973</v>
      </c>
      <c r="P10" s="1831">
        <f t="shared" ref="P10:P24" si="4">N10</f>
        <v>7999</v>
      </c>
      <c r="Q10" s="1832">
        <f t="shared" ref="Q10:Q24" si="5">IF(ISNUMBER(N10),N10/M10,"")</f>
        <v>6.2998141322496301E-2</v>
      </c>
    </row>
    <row r="11" spans="1:17" ht="28.8" x14ac:dyDescent="0.3">
      <c r="A11" s="1845" t="s">
        <v>836</v>
      </c>
      <c r="B11" s="1843" t="s">
        <v>837</v>
      </c>
      <c r="C11" s="1844">
        <v>2009</v>
      </c>
      <c r="D11" s="1571">
        <v>704968</v>
      </c>
      <c r="E11" s="1727">
        <v>64088</v>
      </c>
      <c r="F11" s="1571">
        <v>1762</v>
      </c>
      <c r="G11" s="1832">
        <f t="shared" si="1"/>
        <v>9.9862688802896012E-4</v>
      </c>
      <c r="H11" s="1840">
        <f t="shared" si="2"/>
        <v>64</v>
      </c>
      <c r="I11" s="1729" t="s">
        <v>842</v>
      </c>
      <c r="J11" s="1729" t="s">
        <v>843</v>
      </c>
      <c r="K11" s="1729" t="s">
        <v>844</v>
      </c>
      <c r="L11" s="1729" t="s">
        <v>845</v>
      </c>
      <c r="M11" s="1831">
        <f t="shared" si="3"/>
        <v>64024</v>
      </c>
      <c r="N11" s="1831">
        <f t="shared" si="3"/>
        <v>7107</v>
      </c>
      <c r="O11" s="1831">
        <f t="shared" si="3"/>
        <v>56917</v>
      </c>
      <c r="P11" s="1831">
        <f t="shared" si="4"/>
        <v>7107</v>
      </c>
      <c r="Q11" s="1833">
        <f t="shared" si="5"/>
        <v>0.11100524803198801</v>
      </c>
    </row>
    <row r="12" spans="1:17" ht="28.8" x14ac:dyDescent="0.3">
      <c r="A12" s="1845" t="s">
        <v>836</v>
      </c>
      <c r="B12" s="1843" t="s">
        <v>837</v>
      </c>
      <c r="C12" s="1844">
        <v>2010</v>
      </c>
      <c r="D12" s="1571">
        <v>2007362</v>
      </c>
      <c r="E12" s="1727">
        <v>182487</v>
      </c>
      <c r="F12" s="1571">
        <v>2635</v>
      </c>
      <c r="G12" s="1832">
        <v>2E-3</v>
      </c>
      <c r="H12" s="1840">
        <f t="shared" si="2"/>
        <v>365</v>
      </c>
      <c r="I12" s="1729" t="s">
        <v>846</v>
      </c>
      <c r="J12" s="1729" t="s">
        <v>847</v>
      </c>
      <c r="K12" s="1729" t="s">
        <v>848</v>
      </c>
      <c r="L12" s="1729" t="s">
        <v>849</v>
      </c>
      <c r="M12" s="1831">
        <f t="shared" si="3"/>
        <v>182122</v>
      </c>
      <c r="N12" s="1831">
        <f t="shared" si="3"/>
        <v>5646</v>
      </c>
      <c r="O12" s="1831">
        <f t="shared" si="3"/>
        <v>176476</v>
      </c>
      <c r="P12" s="1831">
        <f t="shared" si="4"/>
        <v>5646</v>
      </c>
      <c r="Q12" s="1833">
        <f t="shared" si="5"/>
        <v>3.100119699981331E-2</v>
      </c>
    </row>
    <row r="13" spans="1:17" ht="28.8" x14ac:dyDescent="0.3">
      <c r="A13" s="1846" t="s">
        <v>836</v>
      </c>
      <c r="B13" s="1847" t="s">
        <v>837</v>
      </c>
      <c r="C13" s="1848">
        <v>2011</v>
      </c>
      <c r="D13" s="1781"/>
      <c r="E13" s="1787">
        <f>M13+H13</f>
        <v>11028.4</v>
      </c>
      <c r="F13" s="1788">
        <v>1966</v>
      </c>
      <c r="G13" s="1841">
        <v>6.0000000000000001E-3</v>
      </c>
      <c r="H13" s="1842">
        <f t="shared" si="2"/>
        <v>215.4</v>
      </c>
      <c r="I13" s="1789" t="s">
        <v>850</v>
      </c>
      <c r="J13" s="1789" t="s">
        <v>851</v>
      </c>
      <c r="K13" s="1789" t="s">
        <v>852</v>
      </c>
      <c r="L13" s="1789" t="s">
        <v>853</v>
      </c>
      <c r="M13" s="1834">
        <f>35900-M41-M28</f>
        <v>10813</v>
      </c>
      <c r="N13" s="1834">
        <f>M13*0.041</f>
        <v>443.33300000000003</v>
      </c>
      <c r="O13" s="1834">
        <f>M13*0.959</f>
        <v>10369.666999999999</v>
      </c>
      <c r="P13" s="1834">
        <f t="shared" si="4"/>
        <v>443.33300000000003</v>
      </c>
      <c r="Q13" s="1835">
        <f t="shared" si="5"/>
        <v>4.1000000000000002E-2</v>
      </c>
    </row>
    <row r="14" spans="1:17" ht="28.8" x14ac:dyDescent="0.3">
      <c r="A14" s="1845" t="s">
        <v>836</v>
      </c>
      <c r="B14" s="1843" t="s">
        <v>837</v>
      </c>
      <c r="C14" s="1844">
        <v>2012</v>
      </c>
      <c r="D14" s="1571">
        <v>999484</v>
      </c>
      <c r="E14" s="1727">
        <v>90862</v>
      </c>
      <c r="F14" s="1571">
        <v>2457</v>
      </c>
      <c r="G14" s="1832">
        <f t="shared" si="1"/>
        <v>0</v>
      </c>
      <c r="H14" s="1840">
        <f t="shared" si="2"/>
        <v>0</v>
      </c>
      <c r="I14" s="1729" t="s">
        <v>838</v>
      </c>
      <c r="J14" s="1729" t="s">
        <v>854</v>
      </c>
      <c r="K14" s="1729" t="s">
        <v>855</v>
      </c>
      <c r="L14" s="1729" t="s">
        <v>856</v>
      </c>
      <c r="M14" s="1831">
        <f t="shared" ref="M14:O20" si="6">IF(ISTEXT(J14),_xlfn.NUMBERVALUE((LEFT(J14,FIND("(",J14)-2))),"")</f>
        <v>90862</v>
      </c>
      <c r="N14" s="1831">
        <f t="shared" si="6"/>
        <v>1817</v>
      </c>
      <c r="O14" s="1831">
        <f t="shared" si="6"/>
        <v>89045</v>
      </c>
      <c r="P14" s="1831">
        <f t="shared" si="4"/>
        <v>1817</v>
      </c>
      <c r="Q14" s="1833">
        <f t="shared" si="5"/>
        <v>1.9997358631771257E-2</v>
      </c>
    </row>
    <row r="15" spans="1:17" ht="28.8" x14ac:dyDescent="0.3">
      <c r="A15" s="1845" t="s">
        <v>836</v>
      </c>
      <c r="B15" s="1843" t="s">
        <v>837</v>
      </c>
      <c r="C15" s="1844">
        <v>2013</v>
      </c>
      <c r="D15" s="1571">
        <v>378835</v>
      </c>
      <c r="E15" s="1727">
        <v>34440</v>
      </c>
      <c r="F15" s="1571">
        <v>1817</v>
      </c>
      <c r="G15" s="1832">
        <f t="shared" si="1"/>
        <v>1.8002322880371662E-2</v>
      </c>
      <c r="H15" s="1840">
        <f t="shared" si="2"/>
        <v>620</v>
      </c>
      <c r="I15" s="1729" t="s">
        <v>857</v>
      </c>
      <c r="J15" s="1729" t="s">
        <v>858</v>
      </c>
      <c r="K15" s="1729" t="s">
        <v>859</v>
      </c>
      <c r="L15" s="1729" t="s">
        <v>860</v>
      </c>
      <c r="M15" s="1831">
        <f t="shared" si="6"/>
        <v>33820</v>
      </c>
      <c r="N15" s="1831">
        <f t="shared" si="6"/>
        <v>4870</v>
      </c>
      <c r="O15" s="1831">
        <f t="shared" si="6"/>
        <v>28950</v>
      </c>
      <c r="P15" s="1831">
        <f t="shared" si="4"/>
        <v>4870</v>
      </c>
      <c r="Q15" s="1833">
        <f t="shared" si="5"/>
        <v>0.14399763453577766</v>
      </c>
    </row>
    <row r="16" spans="1:17" ht="28.8" x14ac:dyDescent="0.3">
      <c r="A16" s="1845" t="s">
        <v>836</v>
      </c>
      <c r="B16" s="1843" t="s">
        <v>837</v>
      </c>
      <c r="C16" s="1844">
        <v>2014</v>
      </c>
      <c r="D16" s="1571">
        <v>1597267</v>
      </c>
      <c r="E16" s="1727">
        <v>145206</v>
      </c>
      <c r="F16" s="1571">
        <v>3711</v>
      </c>
      <c r="G16" s="1832">
        <f t="shared" si="1"/>
        <v>0</v>
      </c>
      <c r="H16" s="1840">
        <f t="shared" si="2"/>
        <v>0</v>
      </c>
      <c r="I16" s="1729" t="s">
        <v>838</v>
      </c>
      <c r="J16" s="1729" t="s">
        <v>861</v>
      </c>
      <c r="K16" s="1729" t="s">
        <v>862</v>
      </c>
      <c r="L16" s="1729" t="s">
        <v>863</v>
      </c>
      <c r="M16" s="1831">
        <f t="shared" si="6"/>
        <v>145206</v>
      </c>
      <c r="N16" s="1831">
        <f t="shared" si="6"/>
        <v>3775</v>
      </c>
      <c r="O16" s="1831">
        <f t="shared" si="6"/>
        <v>141431</v>
      </c>
      <c r="P16" s="1831">
        <f t="shared" si="4"/>
        <v>3775</v>
      </c>
      <c r="Q16" s="1833">
        <f t="shared" si="5"/>
        <v>2.5997548310675866E-2</v>
      </c>
    </row>
    <row r="17" spans="1:20" ht="28.8" x14ac:dyDescent="0.3">
      <c r="A17" s="1845" t="s">
        <v>836</v>
      </c>
      <c r="B17" s="1843" t="s">
        <v>837</v>
      </c>
      <c r="C17" s="1844">
        <v>2015</v>
      </c>
      <c r="D17" s="1571">
        <v>112809</v>
      </c>
      <c r="E17" s="1727">
        <v>10255</v>
      </c>
      <c r="F17" s="1571">
        <v>528</v>
      </c>
      <c r="G17" s="1832">
        <f t="shared" si="1"/>
        <v>0</v>
      </c>
      <c r="H17" s="1840">
        <f t="shared" si="2"/>
        <v>0</v>
      </c>
      <c r="I17" s="1729" t="s">
        <v>838</v>
      </c>
      <c r="J17" s="1729" t="s">
        <v>864</v>
      </c>
      <c r="K17" s="1729" t="s">
        <v>865</v>
      </c>
      <c r="L17" s="1729" t="s">
        <v>866</v>
      </c>
      <c r="M17" s="1831">
        <f t="shared" si="6"/>
        <v>10255</v>
      </c>
      <c r="N17" s="1831">
        <f t="shared" si="6"/>
        <v>164</v>
      </c>
      <c r="O17" s="1831">
        <f t="shared" si="6"/>
        <v>10091</v>
      </c>
      <c r="P17" s="1831">
        <f t="shared" si="4"/>
        <v>164</v>
      </c>
      <c r="Q17" s="1833">
        <f t="shared" si="5"/>
        <v>1.599219892735251E-2</v>
      </c>
    </row>
    <row r="18" spans="1:20" ht="28.8" x14ac:dyDescent="0.3">
      <c r="A18" s="1845" t="s">
        <v>836</v>
      </c>
      <c r="B18" s="1843" t="s">
        <v>837</v>
      </c>
      <c r="C18" s="1844">
        <v>2016</v>
      </c>
      <c r="D18" s="1571">
        <v>600096</v>
      </c>
      <c r="E18" s="1727">
        <v>54554</v>
      </c>
      <c r="F18" s="1571">
        <v>1202</v>
      </c>
      <c r="G18" s="1832">
        <f t="shared" si="1"/>
        <v>5.0042160061590348E-3</v>
      </c>
      <c r="H18" s="1840">
        <f t="shared" si="2"/>
        <v>273</v>
      </c>
      <c r="I18" s="1729" t="s">
        <v>867</v>
      </c>
      <c r="J18" s="1729" t="s">
        <v>868</v>
      </c>
      <c r="K18" s="1729" t="s">
        <v>869</v>
      </c>
      <c r="L18" s="1729" t="s">
        <v>870</v>
      </c>
      <c r="M18" s="1831">
        <f t="shared" si="6"/>
        <v>54281</v>
      </c>
      <c r="N18" s="1831">
        <f t="shared" si="6"/>
        <v>380</v>
      </c>
      <c r="O18" s="1831">
        <f t="shared" si="6"/>
        <v>53901</v>
      </c>
      <c r="P18" s="1831">
        <f t="shared" si="4"/>
        <v>380</v>
      </c>
      <c r="Q18" s="1833">
        <f t="shared" si="5"/>
        <v>7.000607947532286E-3</v>
      </c>
    </row>
    <row r="19" spans="1:20" ht="28.8" x14ac:dyDescent="0.3">
      <c r="A19" s="1845" t="s">
        <v>836</v>
      </c>
      <c r="B19" s="1843" t="s">
        <v>837</v>
      </c>
      <c r="C19" s="1844">
        <v>2017</v>
      </c>
      <c r="D19" s="1571">
        <v>110361</v>
      </c>
      <c r="E19" s="1727">
        <v>10033</v>
      </c>
      <c r="F19" s="1571">
        <v>899</v>
      </c>
      <c r="G19" s="1832">
        <f t="shared" si="1"/>
        <v>1.3953951958536829E-2</v>
      </c>
      <c r="H19" s="1840">
        <f t="shared" si="2"/>
        <v>140</v>
      </c>
      <c r="I19" s="1729" t="s">
        <v>871</v>
      </c>
      <c r="J19" s="1729" t="s">
        <v>872</v>
      </c>
      <c r="K19" s="1729" t="s">
        <v>838</v>
      </c>
      <c r="L19" s="1729" t="s">
        <v>873</v>
      </c>
      <c r="M19" s="1831">
        <f t="shared" si="6"/>
        <v>9893</v>
      </c>
      <c r="N19" s="1831">
        <f t="shared" si="6"/>
        <v>0</v>
      </c>
      <c r="O19" s="1831">
        <f t="shared" si="6"/>
        <v>9893</v>
      </c>
      <c r="P19" s="1831">
        <f t="shared" si="4"/>
        <v>0</v>
      </c>
      <c r="Q19" s="1833">
        <v>0</v>
      </c>
    </row>
    <row r="20" spans="1:20" ht="28.8" x14ac:dyDescent="0.3">
      <c r="A20" s="1845" t="s">
        <v>836</v>
      </c>
      <c r="B20" s="1843" t="s">
        <v>837</v>
      </c>
      <c r="C20" s="1844">
        <v>2018</v>
      </c>
      <c r="D20" s="1571">
        <v>338305</v>
      </c>
      <c r="E20" s="1727">
        <v>30755</v>
      </c>
      <c r="F20" s="1571">
        <v>1238</v>
      </c>
      <c r="G20" s="1832">
        <f t="shared" si="1"/>
        <v>0</v>
      </c>
      <c r="H20" s="1840">
        <f t="shared" si="2"/>
        <v>0</v>
      </c>
      <c r="I20" s="1729" t="s">
        <v>838</v>
      </c>
      <c r="J20" s="1729" t="s">
        <v>874</v>
      </c>
      <c r="K20" s="1729" t="s">
        <v>875</v>
      </c>
      <c r="L20" s="1729" t="s">
        <v>876</v>
      </c>
      <c r="M20" s="1831">
        <f t="shared" si="6"/>
        <v>30755</v>
      </c>
      <c r="N20" s="1831">
        <f t="shared" si="6"/>
        <v>215</v>
      </c>
      <c r="O20" s="1831">
        <f t="shared" si="6"/>
        <v>30540</v>
      </c>
      <c r="P20" s="1831">
        <f t="shared" si="4"/>
        <v>215</v>
      </c>
      <c r="Q20" s="1833">
        <f t="shared" si="5"/>
        <v>6.990733214111527E-3</v>
      </c>
    </row>
    <row r="21" spans="1:20" ht="28.8" x14ac:dyDescent="0.3">
      <c r="A21" s="1845" t="s">
        <v>836</v>
      </c>
      <c r="B21" s="1843" t="s">
        <v>837</v>
      </c>
      <c r="C21" s="1844">
        <v>2019</v>
      </c>
      <c r="D21" s="1571">
        <v>143627</v>
      </c>
      <c r="E21" s="1727">
        <v>13057</v>
      </c>
      <c r="F21" s="1571">
        <v>487</v>
      </c>
      <c r="G21" s="1832">
        <f t="shared" si="1"/>
        <v>1.1028567052155932E-2</v>
      </c>
      <c r="H21" s="1840">
        <f t="shared" si="2"/>
        <v>144</v>
      </c>
      <c r="I21" s="1729" t="s">
        <v>877</v>
      </c>
      <c r="J21" s="1729" t="s">
        <v>878</v>
      </c>
      <c r="K21" s="1729"/>
      <c r="L21" s="1729"/>
      <c r="M21" s="1831">
        <f>IF(ISTEXT(J21),_xlfn.NUMBERVALUE((LEFT(J21,FIND("(",J21)-2))),"")</f>
        <v>12913</v>
      </c>
      <c r="N21" s="1836">
        <f>M21*Q21</f>
        <v>542.99164999999994</v>
      </c>
      <c r="O21" s="1836">
        <f>M21-N21</f>
        <v>12370.00835</v>
      </c>
      <c r="P21" s="1836">
        <f t="shared" si="4"/>
        <v>542.99164999999994</v>
      </c>
      <c r="Q21" s="1837">
        <v>4.2049999999999997E-2</v>
      </c>
      <c r="R21" s="1731" t="s">
        <v>879</v>
      </c>
    </row>
    <row r="22" spans="1:20" ht="28.8" x14ac:dyDescent="0.3">
      <c r="A22" s="1845" t="s">
        <v>836</v>
      </c>
      <c r="B22" s="1843" t="s">
        <v>837</v>
      </c>
      <c r="C22" s="1844">
        <v>2020</v>
      </c>
      <c r="D22" s="1708">
        <v>513667</v>
      </c>
      <c r="E22" s="1728">
        <v>46697</v>
      </c>
      <c r="F22" s="1708">
        <v>1364</v>
      </c>
      <c r="G22" s="1832">
        <f t="shared" si="1"/>
        <v>4.0045399062038243E-3</v>
      </c>
      <c r="H22" s="1840">
        <f t="shared" si="2"/>
        <v>187</v>
      </c>
      <c r="I22" s="1730" t="s">
        <v>880</v>
      </c>
      <c r="J22" s="1730" t="s">
        <v>881</v>
      </c>
      <c r="K22" s="1730" t="s">
        <v>882</v>
      </c>
      <c r="L22" s="1730" t="s">
        <v>883</v>
      </c>
      <c r="M22" s="1831">
        <f>IF(ISTEXT(J22),_xlfn.NUMBERVALUE((LEFT(J22,FIND("(",J22)-2))),"")</f>
        <v>46510</v>
      </c>
      <c r="N22" s="1831">
        <f>IF(ISTEXT(K22),_xlfn.NUMBERVALUE((LEFT(K22,FIND("(",K22)-2))),"")</f>
        <v>1209</v>
      </c>
      <c r="O22" s="1831">
        <f>IF(ISTEXT(L22),_xlfn.NUMBERVALUE((LEFT(L22,FIND("(",L22)-2))),"")</f>
        <v>45301</v>
      </c>
      <c r="P22" s="1831">
        <f t="shared" si="4"/>
        <v>1209</v>
      </c>
      <c r="Q22" s="1833">
        <f t="shared" si="5"/>
        <v>2.5994409804343151E-2</v>
      </c>
    </row>
    <row r="23" spans="1:20" ht="28.8" x14ac:dyDescent="0.3">
      <c r="A23" s="1845" t="s">
        <v>836</v>
      </c>
      <c r="B23" s="1843" t="s">
        <v>837</v>
      </c>
      <c r="C23" s="1844">
        <v>2021</v>
      </c>
      <c r="D23" s="1571">
        <v>117260</v>
      </c>
      <c r="E23" s="1727">
        <v>10660</v>
      </c>
      <c r="F23" s="1571">
        <v>806</v>
      </c>
      <c r="G23" s="1832">
        <f t="shared" si="1"/>
        <v>1.9043151969981239E-2</v>
      </c>
      <c r="H23" s="1840">
        <f t="shared" si="2"/>
        <v>203</v>
      </c>
      <c r="I23" s="1729" t="s">
        <v>884</v>
      </c>
      <c r="J23" s="1729" t="s">
        <v>885</v>
      </c>
      <c r="K23" s="1729" t="s">
        <v>886</v>
      </c>
      <c r="L23" s="1729" t="s">
        <v>887</v>
      </c>
      <c r="M23" s="1831">
        <f>IF(ISTEXT(J23),_xlfn.NUMBERVALUE((LEFT(J23,FIND("(",J23)-2))),"")</f>
        <v>10457</v>
      </c>
      <c r="N23" s="1831">
        <f>IF(ISTEXT(K23),_xlfn.NUMBERVALUE((LEFT(K23,FIND("(",K23)-2))),"")</f>
        <v>690</v>
      </c>
      <c r="O23" s="1831">
        <f>IF(ISTEXT(L23),_xlfn.NUMBERVALUE((LEFT(L23,FIND("(",L23)-2))),"")</f>
        <v>9767</v>
      </c>
      <c r="P23" s="1831">
        <f t="shared" si="4"/>
        <v>690</v>
      </c>
      <c r="Q23" s="1833">
        <f t="shared" si="5"/>
        <v>6.5984507985081764E-2</v>
      </c>
    </row>
    <row r="24" spans="1:20" ht="28.5" customHeight="1" thickBot="1" x14ac:dyDescent="0.35">
      <c r="A24" s="1843" t="s">
        <v>836</v>
      </c>
      <c r="B24" s="1843" t="s">
        <v>837</v>
      </c>
      <c r="C24" s="1844">
        <v>2022</v>
      </c>
      <c r="D24" s="1571">
        <v>821695</v>
      </c>
      <c r="E24" s="1571">
        <v>74700</v>
      </c>
      <c r="F24" s="1571"/>
      <c r="G24" s="2243" t="str">
        <f t="shared" si="1"/>
        <v/>
      </c>
      <c r="H24" s="2244" t="str">
        <f t="shared" si="2"/>
        <v/>
      </c>
      <c r="I24" s="2245"/>
      <c r="J24" s="2245"/>
      <c r="K24" s="2245">
        <v>1.02</v>
      </c>
      <c r="L24" s="2347">
        <v>98.98</v>
      </c>
      <c r="M24" s="2246">
        <v>75437</v>
      </c>
      <c r="N24" s="2246">
        <f>M24*(K24/100)</f>
        <v>769.45740000000001</v>
      </c>
      <c r="O24" s="2246">
        <f>M24*(L24/100)</f>
        <v>74667.542600000001</v>
      </c>
      <c r="P24" s="1838">
        <f t="shared" si="4"/>
        <v>769.45740000000001</v>
      </c>
      <c r="Q24" s="1839">
        <f t="shared" si="5"/>
        <v>1.0200000000000001E-2</v>
      </c>
      <c r="T24" t="s">
        <v>888</v>
      </c>
    </row>
    <row r="25" spans="1:20" ht="28.5" customHeight="1" thickBot="1" x14ac:dyDescent="0.35">
      <c r="A25" s="1843" t="s">
        <v>836</v>
      </c>
      <c r="B25" s="1843" t="s">
        <v>837</v>
      </c>
      <c r="C25" s="1844">
        <v>2023</v>
      </c>
      <c r="D25" s="1571"/>
      <c r="E25" s="1571"/>
      <c r="F25" s="1571"/>
      <c r="G25" s="2243"/>
      <c r="H25" s="2244"/>
      <c r="I25" s="2245"/>
      <c r="J25" s="2245"/>
      <c r="K25" s="2245">
        <f>100-L25</f>
        <v>3.4200000000000017</v>
      </c>
      <c r="L25" s="2245">
        <v>96.58</v>
      </c>
      <c r="M25" s="2246">
        <v>17238</v>
      </c>
      <c r="N25" s="2246">
        <f>M25*(K25/100)</f>
        <v>589.53960000000029</v>
      </c>
      <c r="O25" s="2246">
        <f>M25*(L25/100)</f>
        <v>16648.4604</v>
      </c>
      <c r="P25" s="2233"/>
      <c r="Q25" s="2234"/>
    </row>
    <row r="26" spans="1:20" ht="28.8" x14ac:dyDescent="0.3">
      <c r="A26" s="2235" t="s">
        <v>836</v>
      </c>
      <c r="B26" s="2236" t="s">
        <v>889</v>
      </c>
      <c r="C26" s="2237">
        <v>2009</v>
      </c>
      <c r="D26" s="2238">
        <v>44448</v>
      </c>
      <c r="E26" s="2239">
        <v>4041</v>
      </c>
      <c r="F26" s="2238">
        <v>352</v>
      </c>
      <c r="G26" s="2240">
        <v>3.0000000000000001E-3</v>
      </c>
      <c r="H26" s="2241">
        <f t="shared" ref="H26:H32" si="7">G26*E26</f>
        <v>12.123000000000001</v>
      </c>
      <c r="I26" s="2242"/>
      <c r="J26" s="2242"/>
      <c r="K26" s="2242"/>
      <c r="L26" s="2242"/>
      <c r="M26" s="1791">
        <v>4029</v>
      </c>
      <c r="N26" s="1784">
        <v>2023</v>
      </c>
      <c r="O26" s="1784">
        <v>2006</v>
      </c>
      <c r="P26" s="1573">
        <f>M26*Q26</f>
        <v>2023</v>
      </c>
      <c r="Q26" s="1794">
        <f>N26/M26</f>
        <v>0.50210970464135019</v>
      </c>
    </row>
    <row r="27" spans="1:20" ht="28.8" x14ac:dyDescent="0.3">
      <c r="A27" s="1292" t="s">
        <v>836</v>
      </c>
      <c r="B27" s="1293" t="s">
        <v>889</v>
      </c>
      <c r="C27" s="1291">
        <v>2010</v>
      </c>
      <c r="D27" s="1571">
        <v>196425</v>
      </c>
      <c r="E27" s="1727">
        <v>17857</v>
      </c>
      <c r="F27" s="1571">
        <v>283</v>
      </c>
      <c r="G27" s="1294">
        <v>1E-3</v>
      </c>
      <c r="H27" s="1387">
        <f t="shared" si="7"/>
        <v>17.856999999999999</v>
      </c>
      <c r="I27" s="1568"/>
      <c r="J27" s="1568"/>
      <c r="K27" s="1568"/>
      <c r="L27" s="1568"/>
      <c r="M27" s="1791">
        <v>17839</v>
      </c>
      <c r="N27" s="1791">
        <v>2854</v>
      </c>
      <c r="O27" s="1791">
        <v>14985</v>
      </c>
      <c r="P27" s="1296">
        <f t="shared" ref="P27:P35" si="8">M27*Q27</f>
        <v>2854</v>
      </c>
      <c r="Q27" s="1795">
        <f t="shared" ref="Q27:Q38" si="9">N27/M27</f>
        <v>0.15998654633107237</v>
      </c>
    </row>
    <row r="28" spans="1:20" ht="28.8" x14ac:dyDescent="0.3">
      <c r="A28" s="1640" t="s">
        <v>836</v>
      </c>
      <c r="B28" s="1293" t="s">
        <v>889</v>
      </c>
      <c r="C28" s="1641">
        <v>2011</v>
      </c>
      <c r="D28" s="1571">
        <v>23520</v>
      </c>
      <c r="E28" s="1574">
        <v>2138</v>
      </c>
      <c r="F28" s="1571">
        <v>449</v>
      </c>
      <c r="G28" s="1294">
        <v>1.2999999999999999E-2</v>
      </c>
      <c r="H28" s="1387">
        <f t="shared" si="7"/>
        <v>27.794</v>
      </c>
      <c r="I28" s="1568"/>
      <c r="J28" s="1568"/>
      <c r="K28" s="1568"/>
      <c r="L28" s="1568"/>
      <c r="M28" s="1642">
        <v>2208</v>
      </c>
      <c r="N28" s="1642">
        <v>660</v>
      </c>
      <c r="O28" s="1642">
        <v>1548</v>
      </c>
      <c r="P28" s="1642">
        <f t="shared" si="8"/>
        <v>660</v>
      </c>
      <c r="Q28" s="1796">
        <f t="shared" si="9"/>
        <v>0.29891304347826086</v>
      </c>
    </row>
    <row r="29" spans="1:20" ht="28.8" x14ac:dyDescent="0.3">
      <c r="A29" s="1292" t="s">
        <v>836</v>
      </c>
      <c r="B29" s="1293" t="s">
        <v>889</v>
      </c>
      <c r="C29" s="1291">
        <v>2012</v>
      </c>
      <c r="D29" s="1571">
        <v>35301</v>
      </c>
      <c r="E29" s="1727">
        <v>3209</v>
      </c>
      <c r="F29" s="1571">
        <v>372</v>
      </c>
      <c r="G29" s="1294">
        <v>2E-3</v>
      </c>
      <c r="H29" s="1387">
        <f t="shared" si="7"/>
        <v>6.4180000000000001</v>
      </c>
      <c r="I29" s="1568"/>
      <c r="J29" s="1568"/>
      <c r="K29" s="1568"/>
      <c r="L29" s="1568"/>
      <c r="M29" s="1791">
        <v>3203</v>
      </c>
      <c r="N29" s="1792">
        <v>887</v>
      </c>
      <c r="O29" s="1791">
        <v>2316</v>
      </c>
      <c r="P29" s="1296">
        <f t="shared" si="8"/>
        <v>886.99999999999989</v>
      </c>
      <c r="Q29" s="1795">
        <f t="shared" si="9"/>
        <v>0.27692788011239461</v>
      </c>
    </row>
    <row r="30" spans="1:20" s="1272" customFormat="1" ht="28.8" x14ac:dyDescent="0.3">
      <c r="A30" s="1292" t="s">
        <v>836</v>
      </c>
      <c r="B30" s="1293" t="s">
        <v>889</v>
      </c>
      <c r="C30" s="1291">
        <v>2013</v>
      </c>
      <c r="D30" s="1571">
        <v>23273</v>
      </c>
      <c r="E30" s="1727">
        <v>2116</v>
      </c>
      <c r="F30" s="1571">
        <v>254</v>
      </c>
      <c r="G30" s="1294">
        <v>4.0000000000000001E-3</v>
      </c>
      <c r="H30" s="1387">
        <f t="shared" si="7"/>
        <v>8.4640000000000004</v>
      </c>
      <c r="I30" s="1568"/>
      <c r="J30" s="1568"/>
      <c r="K30" s="1568"/>
      <c r="L30" s="1568"/>
      <c r="M30" s="1791">
        <v>2108</v>
      </c>
      <c r="N30" s="1791">
        <v>1632</v>
      </c>
      <c r="O30" s="1792">
        <v>476</v>
      </c>
      <c r="P30" s="1296">
        <f t="shared" si="8"/>
        <v>1632</v>
      </c>
      <c r="Q30" s="1795">
        <f t="shared" si="9"/>
        <v>0.77419354838709675</v>
      </c>
    </row>
    <row r="31" spans="1:20" s="1272" customFormat="1" ht="28.8" x14ac:dyDescent="0.3">
      <c r="A31" s="1292" t="s">
        <v>836</v>
      </c>
      <c r="B31" s="1293" t="s">
        <v>889</v>
      </c>
      <c r="C31" s="1291">
        <v>2014</v>
      </c>
      <c r="D31" s="1571">
        <v>16443</v>
      </c>
      <c r="E31" s="1727">
        <v>1495</v>
      </c>
      <c r="F31" s="1571">
        <v>263</v>
      </c>
      <c r="G31" s="1294">
        <v>4.0000000000000001E-3</v>
      </c>
      <c r="H31" s="1387">
        <f t="shared" si="7"/>
        <v>5.98</v>
      </c>
      <c r="I31" s="1568"/>
      <c r="J31" s="1568"/>
      <c r="K31" s="1568"/>
      <c r="L31" s="1568"/>
      <c r="M31" s="1791">
        <v>1489</v>
      </c>
      <c r="N31" s="1792">
        <v>135</v>
      </c>
      <c r="O31" s="1791">
        <v>1354</v>
      </c>
      <c r="P31" s="1296">
        <f t="shared" si="8"/>
        <v>135</v>
      </c>
      <c r="Q31" s="1795">
        <f t="shared" si="9"/>
        <v>9.0664875755540636E-2</v>
      </c>
    </row>
    <row r="32" spans="1:20" s="1272" customFormat="1" ht="28.8" x14ac:dyDescent="0.3">
      <c r="A32" s="1292" t="s">
        <v>836</v>
      </c>
      <c r="B32" s="1293" t="s">
        <v>889</v>
      </c>
      <c r="C32" s="1291">
        <v>2015</v>
      </c>
      <c r="D32" s="1571">
        <v>2065</v>
      </c>
      <c r="E32" s="1727">
        <v>188</v>
      </c>
      <c r="F32" s="1571">
        <v>26</v>
      </c>
      <c r="G32" s="1294">
        <v>8.9999999999999993E-3</v>
      </c>
      <c r="H32" s="1387">
        <f t="shared" si="7"/>
        <v>1.6919999999999999</v>
      </c>
      <c r="I32" s="1568"/>
      <c r="J32" s="1569"/>
      <c r="K32" s="1569"/>
      <c r="L32" s="1569"/>
      <c r="M32" s="1792">
        <v>186</v>
      </c>
      <c r="N32" s="1792">
        <v>6</v>
      </c>
      <c r="O32" s="1792">
        <v>180</v>
      </c>
      <c r="P32" s="1387">
        <f t="shared" si="8"/>
        <v>6</v>
      </c>
      <c r="Q32" s="1795">
        <f t="shared" si="9"/>
        <v>3.2258064516129031E-2</v>
      </c>
      <c r="R32" s="1388" t="s">
        <v>890</v>
      </c>
    </row>
    <row r="33" spans="1:19" s="1272" customFormat="1" ht="28.8" x14ac:dyDescent="0.3">
      <c r="A33" s="1292" t="s">
        <v>836</v>
      </c>
      <c r="B33" s="1293" t="s">
        <v>889</v>
      </c>
      <c r="C33" s="1291">
        <v>2016</v>
      </c>
      <c r="D33" s="1571">
        <v>7035</v>
      </c>
      <c r="E33" s="1727">
        <v>640</v>
      </c>
      <c r="F33" s="1571"/>
      <c r="G33" s="1878">
        <v>0.01</v>
      </c>
      <c r="H33" s="1387">
        <f>G33*E33</f>
        <v>6.4</v>
      </c>
      <c r="I33" s="1568"/>
      <c r="J33" s="1569"/>
      <c r="K33" s="1569"/>
      <c r="L33" s="1569"/>
      <c r="M33" s="1387">
        <f>IF(ISTEXT(J33),_xlfn.NUMBERVALUE((LEFT(J33,FIND("(",J33)-2))),E33*1.0084-113.81)</f>
        <v>531.56600000000003</v>
      </c>
      <c r="N33" s="1387" t="str">
        <f>IF(ISTEXT(K33),_xlfn.NUMBERVALUE((LEFT(K33,FIND("(",K33)-2))),"")</f>
        <v/>
      </c>
      <c r="O33" s="1387" t="str">
        <f>IF(ISTEXT(L33),_xlfn.NUMBERVALUE((LEFT(L33,FIND("(",L33)-2))),"")</f>
        <v/>
      </c>
      <c r="P33" s="1387">
        <f t="shared" si="8"/>
        <v>53.156600000000005</v>
      </c>
      <c r="Q33" s="1797">
        <v>0.1</v>
      </c>
      <c r="R33" s="1388" t="s">
        <v>890</v>
      </c>
    </row>
    <row r="34" spans="1:19" s="1272" customFormat="1" ht="28.8" x14ac:dyDescent="0.3">
      <c r="A34" s="1292" t="s">
        <v>836</v>
      </c>
      <c r="B34" s="1293" t="s">
        <v>889</v>
      </c>
      <c r="C34" s="1291">
        <v>2017</v>
      </c>
      <c r="D34" s="1571">
        <v>1841</v>
      </c>
      <c r="E34" s="1727">
        <v>167</v>
      </c>
      <c r="F34" s="1571">
        <v>11</v>
      </c>
      <c r="G34" s="1294">
        <v>1.2999999999999999E-2</v>
      </c>
      <c r="H34" s="1387">
        <f>G34*E34</f>
        <v>2.1709999999999998</v>
      </c>
      <c r="I34" s="1568"/>
      <c r="J34" s="1568"/>
      <c r="K34" s="1568"/>
      <c r="L34" s="1568"/>
      <c r="M34" s="1792">
        <v>165</v>
      </c>
      <c r="N34" s="1792">
        <v>0</v>
      </c>
      <c r="O34" s="1792">
        <v>165</v>
      </c>
      <c r="P34" s="1296">
        <f t="shared" si="8"/>
        <v>0</v>
      </c>
      <c r="Q34" s="1795">
        <f t="shared" si="9"/>
        <v>0</v>
      </c>
    </row>
    <row r="35" spans="1:19" s="1272" customFormat="1" ht="28.8" x14ac:dyDescent="0.3">
      <c r="A35" s="1292" t="s">
        <v>836</v>
      </c>
      <c r="B35" s="1293" t="s">
        <v>889</v>
      </c>
      <c r="C35" s="1291">
        <v>2018</v>
      </c>
      <c r="D35" s="1571">
        <v>2746</v>
      </c>
      <c r="E35" s="1727">
        <v>250</v>
      </c>
      <c r="F35" s="1571">
        <v>19</v>
      </c>
      <c r="G35" s="1294">
        <v>0</v>
      </c>
      <c r="H35" s="1295" t="str">
        <f t="shared" si="2"/>
        <v/>
      </c>
      <c r="I35" s="1568"/>
      <c r="J35" s="1568"/>
      <c r="K35" s="1568"/>
      <c r="L35" s="1568"/>
      <c r="M35" s="1792">
        <v>250</v>
      </c>
      <c r="N35" s="1792">
        <v>4</v>
      </c>
      <c r="O35" s="1792">
        <v>246</v>
      </c>
      <c r="P35" s="1296">
        <f t="shared" si="8"/>
        <v>4</v>
      </c>
      <c r="Q35" s="1795">
        <f t="shared" si="9"/>
        <v>1.6E-2</v>
      </c>
    </row>
    <row r="36" spans="1:19" s="1272" customFormat="1" ht="28.8" x14ac:dyDescent="0.3">
      <c r="A36" s="1292" t="s">
        <v>836</v>
      </c>
      <c r="B36" s="1293" t="s">
        <v>889</v>
      </c>
      <c r="C36" s="1291">
        <v>2019</v>
      </c>
      <c r="D36" s="1571">
        <v>590</v>
      </c>
      <c r="E36" s="1727">
        <v>54</v>
      </c>
      <c r="F36" s="1571"/>
      <c r="G36" s="1878">
        <v>0.01</v>
      </c>
      <c r="H36" s="1387">
        <f>G36*E36</f>
        <v>0.54</v>
      </c>
      <c r="I36" s="1568"/>
      <c r="J36" s="1568"/>
      <c r="K36" s="1568"/>
      <c r="L36" s="1568"/>
      <c r="M36" s="1792">
        <v>54</v>
      </c>
      <c r="N36" s="1793">
        <v>0</v>
      </c>
      <c r="O36" s="1793">
        <v>0</v>
      </c>
      <c r="P36" s="1296">
        <f t="shared" ref="P36:P61" si="10">M36</f>
        <v>54</v>
      </c>
      <c r="Q36" s="1795">
        <f t="shared" si="9"/>
        <v>0</v>
      </c>
    </row>
    <row r="37" spans="1:19" s="1272" customFormat="1" ht="28.8" x14ac:dyDescent="0.3">
      <c r="A37" s="1292" t="s">
        <v>836</v>
      </c>
      <c r="B37" s="1293" t="s">
        <v>889</v>
      </c>
      <c r="C37" s="1291">
        <v>2020</v>
      </c>
      <c r="D37" s="1708">
        <v>15848</v>
      </c>
      <c r="E37" s="1727">
        <v>1441</v>
      </c>
      <c r="F37" s="1571"/>
      <c r="G37" s="1878">
        <v>0.01</v>
      </c>
      <c r="H37" s="1387">
        <f>G37*E37</f>
        <v>14.41</v>
      </c>
      <c r="I37" s="1296"/>
      <c r="J37" s="1296"/>
      <c r="K37" s="1296"/>
      <c r="L37" s="1296"/>
      <c r="M37" s="1791">
        <v>1441</v>
      </c>
      <c r="N37" s="1792">
        <v>39</v>
      </c>
      <c r="O37" s="1791">
        <v>1402</v>
      </c>
      <c r="P37" s="1296">
        <f t="shared" si="10"/>
        <v>1441</v>
      </c>
      <c r="Q37" s="1795">
        <f t="shared" si="9"/>
        <v>2.7064538514920196E-2</v>
      </c>
    </row>
    <row r="38" spans="1:19" s="1272" customFormat="1" ht="28.8" x14ac:dyDescent="0.3">
      <c r="A38" s="1292" t="s">
        <v>836</v>
      </c>
      <c r="B38" s="1293" t="s">
        <v>889</v>
      </c>
      <c r="C38" s="1291">
        <v>2021</v>
      </c>
      <c r="D38" s="1571">
        <v>438</v>
      </c>
      <c r="E38" s="1727">
        <v>40</v>
      </c>
      <c r="F38" s="1571"/>
      <c r="G38" s="1878">
        <v>0.01</v>
      </c>
      <c r="H38" s="1387">
        <f>G38*E38</f>
        <v>0.4</v>
      </c>
      <c r="I38" s="1568"/>
      <c r="J38" s="1568"/>
      <c r="K38" s="1568"/>
      <c r="L38" s="1568"/>
      <c r="M38" s="1792">
        <v>40</v>
      </c>
      <c r="N38" s="1792">
        <v>2</v>
      </c>
      <c r="O38" s="1792">
        <v>38</v>
      </c>
      <c r="P38" s="1296">
        <f t="shared" si="10"/>
        <v>40</v>
      </c>
      <c r="Q38" s="1795">
        <f t="shared" si="9"/>
        <v>0.05</v>
      </c>
    </row>
    <row r="39" spans="1:19" s="1272" customFormat="1" ht="28.8" x14ac:dyDescent="0.3">
      <c r="A39" s="1293" t="s">
        <v>836</v>
      </c>
      <c r="B39" s="1293" t="s">
        <v>889</v>
      </c>
      <c r="C39" s="1291">
        <v>2022</v>
      </c>
      <c r="D39" s="1571">
        <v>6170</v>
      </c>
      <c r="E39" s="1727">
        <v>561</v>
      </c>
      <c r="F39" s="1571"/>
      <c r="G39" s="1878">
        <v>0.01</v>
      </c>
      <c r="H39" s="1387">
        <f>G39*E39</f>
        <v>5.61</v>
      </c>
      <c r="I39" s="1568"/>
      <c r="J39" s="1568"/>
      <c r="K39" s="1568"/>
      <c r="L39" s="1568"/>
      <c r="M39" s="1296" t="str">
        <f>IF(ISTEXT(J39),_xlfn.NUMBERVALUE((LEFT(J39,FIND("(",J39)-2))),"")</f>
        <v/>
      </c>
      <c r="N39" s="1296" t="str">
        <f>IF(ISTEXT(K39),_xlfn.NUMBERVALUE((LEFT(K39,FIND("(",K39)-2))),"")</f>
        <v/>
      </c>
      <c r="O39" s="1296" t="str">
        <f>IF(ISTEXT(L39),_xlfn.NUMBERVALUE((LEFT(L39,FIND("(",L39)-2))),"")</f>
        <v/>
      </c>
      <c r="P39" s="1575" t="str">
        <f t="shared" si="10"/>
        <v/>
      </c>
      <c r="Q39" s="1576" t="str">
        <f t="shared" ref="Q39:Q61" si="11">IF(ISNUMBER(M39),M39/M39,"")</f>
        <v/>
      </c>
    </row>
    <row r="40" spans="1:19" s="1272" customFormat="1" ht="29.4" thickBot="1" x14ac:dyDescent="0.35">
      <c r="A40" s="1293" t="s">
        <v>836</v>
      </c>
      <c r="B40" s="1293" t="s">
        <v>889</v>
      </c>
      <c r="C40" s="1291">
        <v>2023</v>
      </c>
      <c r="D40" s="1571"/>
      <c r="E40" s="1727"/>
      <c r="F40" s="1571"/>
      <c r="G40" s="1878"/>
      <c r="H40" s="1387"/>
      <c r="I40" s="1568"/>
      <c r="J40" s="1568"/>
      <c r="K40" s="1568"/>
      <c r="L40" s="1568"/>
      <c r="M40" s="1296"/>
      <c r="N40" s="1296"/>
      <c r="O40" s="1296"/>
      <c r="P40" s="2247"/>
      <c r="Q40" s="2248"/>
    </row>
    <row r="41" spans="1:19" s="1272" customFormat="1" ht="28.8" x14ac:dyDescent="0.3">
      <c r="A41" s="2249" t="s">
        <v>891</v>
      </c>
      <c r="B41" s="2250" t="s">
        <v>892</v>
      </c>
      <c r="C41" s="2250">
        <v>2011</v>
      </c>
      <c r="D41" s="2238"/>
      <c r="E41" s="1790">
        <v>49635</v>
      </c>
      <c r="F41" s="2238">
        <v>203</v>
      </c>
      <c r="G41" s="2251">
        <f>H41/E41</f>
        <v>0.53905510224639874</v>
      </c>
      <c r="H41" s="2252">
        <f>E41-M41</f>
        <v>26756</v>
      </c>
      <c r="I41" s="2253"/>
      <c r="J41" s="2254" t="s">
        <v>893</v>
      </c>
      <c r="K41" s="2253"/>
      <c r="L41" s="2253"/>
      <c r="M41" s="2255">
        <f t="shared" ref="M41:O60" si="12">IF(ISTEXT(J41),_xlfn.NUMBERVALUE((LEFT(J41,FIND("(",J41)-2))),"")</f>
        <v>22879</v>
      </c>
      <c r="N41" s="2256">
        <f>M41*0.8</f>
        <v>18303.2</v>
      </c>
      <c r="O41" s="2256">
        <f>M41-N41</f>
        <v>4575.7999999999993</v>
      </c>
      <c r="P41" s="1802">
        <f t="shared" si="10"/>
        <v>22879</v>
      </c>
      <c r="Q41" s="1803">
        <f t="shared" si="11"/>
        <v>1</v>
      </c>
      <c r="R41" s="1734" t="s">
        <v>894</v>
      </c>
      <c r="S41" s="1882" t="s">
        <v>895</v>
      </c>
    </row>
    <row r="42" spans="1:19" s="1272" customFormat="1" ht="28.8" x14ac:dyDescent="0.3">
      <c r="A42" s="1297" t="s">
        <v>891</v>
      </c>
      <c r="B42" s="1298" t="s">
        <v>892</v>
      </c>
      <c r="C42" s="1298">
        <v>2012</v>
      </c>
      <c r="D42" s="1571">
        <v>403132</v>
      </c>
      <c r="E42" s="1732">
        <v>36648</v>
      </c>
      <c r="F42" s="1571">
        <v>1229</v>
      </c>
      <c r="G42" s="1299">
        <f t="shared" si="1"/>
        <v>0.70001091464745691</v>
      </c>
      <c r="H42" s="1300">
        <f t="shared" si="2"/>
        <v>25654</v>
      </c>
      <c r="I42" s="1735" t="s">
        <v>896</v>
      </c>
      <c r="J42" s="1735" t="s">
        <v>897</v>
      </c>
      <c r="K42" s="1735" t="s">
        <v>898</v>
      </c>
      <c r="L42" s="1735" t="s">
        <v>899</v>
      </c>
      <c r="M42" s="1738">
        <f t="shared" si="12"/>
        <v>10994</v>
      </c>
      <c r="N42" s="1738">
        <f t="shared" si="12"/>
        <v>8257</v>
      </c>
      <c r="O42" s="1738">
        <f>M42-N42</f>
        <v>2737</v>
      </c>
      <c r="P42" s="1737">
        <f t="shared" si="10"/>
        <v>10994</v>
      </c>
      <c r="Q42" s="1740">
        <f t="shared" si="11"/>
        <v>1</v>
      </c>
      <c r="R42" s="1734" t="s">
        <v>900</v>
      </c>
      <c r="S42" s="1881">
        <f>N42/M42</f>
        <v>0.7510460251046025</v>
      </c>
    </row>
    <row r="43" spans="1:19" s="1272" customFormat="1" ht="28.8" x14ac:dyDescent="0.3">
      <c r="A43" s="1297" t="s">
        <v>891</v>
      </c>
      <c r="B43" s="1298" t="s">
        <v>892</v>
      </c>
      <c r="C43" s="1298">
        <v>2013</v>
      </c>
      <c r="D43" s="1571">
        <v>323257</v>
      </c>
      <c r="E43" s="1732">
        <v>29387</v>
      </c>
      <c r="F43" s="1571">
        <v>1746</v>
      </c>
      <c r="G43" s="1299">
        <f t="shared" si="1"/>
        <v>0.69700888147820461</v>
      </c>
      <c r="H43" s="1726">
        <f t="shared" si="2"/>
        <v>20483</v>
      </c>
      <c r="I43" s="1735" t="s">
        <v>901</v>
      </c>
      <c r="J43" s="1735" t="s">
        <v>902</v>
      </c>
      <c r="K43" s="1739" t="s">
        <v>903</v>
      </c>
      <c r="L43" s="1739" t="s">
        <v>904</v>
      </c>
      <c r="M43" s="1738">
        <f t="shared" si="12"/>
        <v>8904</v>
      </c>
      <c r="N43" s="1738">
        <f t="shared" si="12"/>
        <v>5287</v>
      </c>
      <c r="O43" s="1738">
        <f t="shared" si="12"/>
        <v>3617</v>
      </c>
      <c r="P43" s="1736">
        <f t="shared" si="10"/>
        <v>8904</v>
      </c>
      <c r="Q43" s="1740">
        <f t="shared" si="11"/>
        <v>1</v>
      </c>
      <c r="S43" s="1881">
        <f t="shared" ref="S43:S51" si="13">N43/M43</f>
        <v>0.59377807726864329</v>
      </c>
    </row>
    <row r="44" spans="1:19" s="1272" customFormat="1" ht="28.8" x14ac:dyDescent="0.3">
      <c r="A44" s="1297" t="s">
        <v>891</v>
      </c>
      <c r="B44" s="1298" t="s">
        <v>892</v>
      </c>
      <c r="C44" s="1298">
        <v>2014</v>
      </c>
      <c r="D44" s="1571">
        <v>667117</v>
      </c>
      <c r="E44" s="1732">
        <v>60647</v>
      </c>
      <c r="F44" s="1571">
        <v>3215</v>
      </c>
      <c r="G44" s="1299">
        <f t="shared" si="1"/>
        <v>0.18299338796642867</v>
      </c>
      <c r="H44" s="1300">
        <f t="shared" si="2"/>
        <v>11098</v>
      </c>
      <c r="I44" s="1735" t="s">
        <v>905</v>
      </c>
      <c r="J44" s="1735" t="s">
        <v>906</v>
      </c>
      <c r="K44" s="1735" t="s">
        <v>907</v>
      </c>
      <c r="L44" s="1735" t="s">
        <v>908</v>
      </c>
      <c r="M44" s="1738">
        <f t="shared" si="12"/>
        <v>49549</v>
      </c>
      <c r="N44" s="1738">
        <f t="shared" si="12"/>
        <v>20207</v>
      </c>
      <c r="O44" s="1738">
        <f t="shared" si="12"/>
        <v>29342</v>
      </c>
      <c r="P44" s="1736">
        <f t="shared" si="10"/>
        <v>49549</v>
      </c>
      <c r="Q44" s="1740">
        <f t="shared" si="11"/>
        <v>1</v>
      </c>
      <c r="S44" s="1881">
        <f t="shared" si="13"/>
        <v>0.40781852307816507</v>
      </c>
    </row>
    <row r="45" spans="1:19" s="1272" customFormat="1" ht="28.8" x14ac:dyDescent="0.3">
      <c r="A45" s="1297" t="s">
        <v>891</v>
      </c>
      <c r="B45" s="1298" t="s">
        <v>892</v>
      </c>
      <c r="C45" s="1298">
        <v>2015</v>
      </c>
      <c r="D45" s="1571">
        <v>653466</v>
      </c>
      <c r="E45" s="1732">
        <v>59405</v>
      </c>
      <c r="F45" s="1571">
        <v>703</v>
      </c>
      <c r="G45" s="1299">
        <f t="shared" si="1"/>
        <v>0.76000336671997304</v>
      </c>
      <c r="H45" s="1300">
        <f t="shared" si="2"/>
        <v>45148</v>
      </c>
      <c r="I45" s="1735" t="s">
        <v>909</v>
      </c>
      <c r="J45" s="1735" t="s">
        <v>910</v>
      </c>
      <c r="K45" s="1577" t="s">
        <v>911</v>
      </c>
      <c r="L45" s="1577" t="s">
        <v>912</v>
      </c>
      <c r="M45" s="1738">
        <f t="shared" si="12"/>
        <v>14257</v>
      </c>
      <c r="N45" s="1879">
        <f t="shared" si="12"/>
        <v>0</v>
      </c>
      <c r="O45" s="1879">
        <f t="shared" si="12"/>
        <v>14257</v>
      </c>
      <c r="P45" s="1736">
        <f t="shared" si="10"/>
        <v>14257</v>
      </c>
      <c r="Q45" s="1740">
        <f t="shared" si="11"/>
        <v>1</v>
      </c>
      <c r="R45" s="1880" t="s">
        <v>913</v>
      </c>
      <c r="S45" s="1223">
        <f t="shared" si="13"/>
        <v>0</v>
      </c>
    </row>
    <row r="46" spans="1:19" s="1149" customFormat="1" ht="28.8" x14ac:dyDescent="0.3">
      <c r="A46" s="1297" t="s">
        <v>891</v>
      </c>
      <c r="B46" s="1298" t="s">
        <v>892</v>
      </c>
      <c r="C46" s="1298">
        <v>2016</v>
      </c>
      <c r="D46" s="1571">
        <v>873659</v>
      </c>
      <c r="E46" s="1732">
        <v>79424</v>
      </c>
      <c r="F46" s="1571">
        <v>985</v>
      </c>
      <c r="G46" s="1299">
        <f t="shared" si="1"/>
        <v>0.53599667606768731</v>
      </c>
      <c r="H46" s="1300">
        <f t="shared" si="2"/>
        <v>42571</v>
      </c>
      <c r="I46" s="1735" t="s">
        <v>914</v>
      </c>
      <c r="J46" s="1735" t="s">
        <v>915</v>
      </c>
      <c r="K46" s="1735" t="s">
        <v>916</v>
      </c>
      <c r="L46" s="1735" t="s">
        <v>917</v>
      </c>
      <c r="M46" s="1738">
        <f t="shared" si="12"/>
        <v>36853</v>
      </c>
      <c r="N46" s="1738">
        <f t="shared" si="12"/>
        <v>241</v>
      </c>
      <c r="O46" s="1738">
        <f t="shared" si="12"/>
        <v>36612</v>
      </c>
      <c r="P46" s="1736">
        <f t="shared" si="10"/>
        <v>36853</v>
      </c>
      <c r="Q46" s="1740">
        <f t="shared" si="11"/>
        <v>1</v>
      </c>
      <c r="S46" s="1223">
        <f t="shared" si="13"/>
        <v>6.5394947494098171E-3</v>
      </c>
    </row>
    <row r="47" spans="1:19" s="1149" customFormat="1" ht="28.8" x14ac:dyDescent="0.3">
      <c r="A47" s="1297" t="s">
        <v>891</v>
      </c>
      <c r="B47" s="1298" t="s">
        <v>892</v>
      </c>
      <c r="C47" s="1298">
        <v>2017</v>
      </c>
      <c r="D47" s="1571">
        <v>508522</v>
      </c>
      <c r="E47" s="1732">
        <v>46229</v>
      </c>
      <c r="F47" s="1571">
        <v>704</v>
      </c>
      <c r="G47" s="1299">
        <f t="shared" si="1"/>
        <v>0.4130091501005862</v>
      </c>
      <c r="H47" s="1300">
        <f t="shared" si="2"/>
        <v>19093</v>
      </c>
      <c r="I47" s="1735" t="s">
        <v>918</v>
      </c>
      <c r="J47" s="1735" t="s">
        <v>919</v>
      </c>
      <c r="K47" s="1735" t="s">
        <v>920</v>
      </c>
      <c r="L47" s="1735" t="s">
        <v>921</v>
      </c>
      <c r="M47" s="1738">
        <f t="shared" si="12"/>
        <v>27136</v>
      </c>
      <c r="N47" s="1738">
        <f t="shared" si="12"/>
        <v>86</v>
      </c>
      <c r="O47" s="1738">
        <f t="shared" si="12"/>
        <v>27050</v>
      </c>
      <c r="P47" s="1736">
        <f t="shared" si="10"/>
        <v>27136</v>
      </c>
      <c r="Q47" s="1740">
        <f t="shared" si="11"/>
        <v>1</v>
      </c>
      <c r="S47" s="1223">
        <f t="shared" si="13"/>
        <v>3.1692216981132077E-3</v>
      </c>
    </row>
    <row r="48" spans="1:19" s="1149" customFormat="1" ht="28.8" x14ac:dyDescent="0.3">
      <c r="A48" s="1297" t="s">
        <v>891</v>
      </c>
      <c r="B48" s="1298" t="s">
        <v>892</v>
      </c>
      <c r="C48" s="1298">
        <v>2018</v>
      </c>
      <c r="D48" s="1571">
        <v>664468</v>
      </c>
      <c r="E48" s="1732">
        <v>60406</v>
      </c>
      <c r="F48" s="1571">
        <v>3816</v>
      </c>
      <c r="G48" s="1299">
        <f t="shared" si="1"/>
        <v>0.31700493328477303</v>
      </c>
      <c r="H48" s="1300">
        <f t="shared" si="2"/>
        <v>19149</v>
      </c>
      <c r="I48" s="1735" t="s">
        <v>922</v>
      </c>
      <c r="J48" s="1735" t="s">
        <v>923</v>
      </c>
      <c r="K48" s="1735" t="s">
        <v>924</v>
      </c>
      <c r="L48" s="1735" t="s">
        <v>925</v>
      </c>
      <c r="M48" s="1738">
        <f t="shared" si="12"/>
        <v>41257</v>
      </c>
      <c r="N48" s="1738">
        <f t="shared" si="12"/>
        <v>4597</v>
      </c>
      <c r="O48" s="1738">
        <f t="shared" si="12"/>
        <v>36660</v>
      </c>
      <c r="P48" s="1736">
        <f t="shared" si="10"/>
        <v>41257</v>
      </c>
      <c r="Q48" s="1740">
        <f t="shared" si="11"/>
        <v>1</v>
      </c>
      <c r="S48" s="1881">
        <f t="shared" si="13"/>
        <v>0.11142351600940446</v>
      </c>
    </row>
    <row r="49" spans="1:19" s="1149" customFormat="1" ht="28.8" x14ac:dyDescent="0.3">
      <c r="A49" s="1297" t="s">
        <v>891</v>
      </c>
      <c r="B49" s="1298" t="s">
        <v>892</v>
      </c>
      <c r="C49" s="1298">
        <v>2019</v>
      </c>
      <c r="D49" s="1571">
        <v>482452</v>
      </c>
      <c r="E49" s="1732">
        <v>43859</v>
      </c>
      <c r="F49" s="1571">
        <v>980</v>
      </c>
      <c r="G49" s="1299">
        <f t="shared" si="1"/>
        <v>0.76800656649718413</v>
      </c>
      <c r="H49" s="1300">
        <f t="shared" si="2"/>
        <v>33684</v>
      </c>
      <c r="I49" s="1735" t="s">
        <v>926</v>
      </c>
      <c r="J49" s="1735" t="s">
        <v>927</v>
      </c>
      <c r="K49" s="1735" t="s">
        <v>928</v>
      </c>
      <c r="L49" s="1735" t="s">
        <v>929</v>
      </c>
      <c r="M49" s="1738">
        <f t="shared" si="12"/>
        <v>10175</v>
      </c>
      <c r="N49" s="1738">
        <f t="shared" si="12"/>
        <v>4332</v>
      </c>
      <c r="O49" s="1738">
        <f t="shared" si="12"/>
        <v>5843</v>
      </c>
      <c r="P49" s="1736">
        <f t="shared" si="10"/>
        <v>10175</v>
      </c>
      <c r="Q49" s="1740">
        <f t="shared" si="11"/>
        <v>1</v>
      </c>
      <c r="S49" s="1881">
        <f t="shared" si="13"/>
        <v>0.42574938574938576</v>
      </c>
    </row>
    <row r="50" spans="1:19" s="1149" customFormat="1" ht="28.8" x14ac:dyDescent="0.3">
      <c r="A50" s="1297" t="s">
        <v>891</v>
      </c>
      <c r="B50" s="1298" t="s">
        <v>892</v>
      </c>
      <c r="C50" s="1298">
        <v>2020</v>
      </c>
      <c r="D50" s="1571">
        <v>675540</v>
      </c>
      <c r="E50" s="1733">
        <v>61140</v>
      </c>
      <c r="F50" s="1708">
        <v>4184</v>
      </c>
      <c r="G50" s="1299">
        <f t="shared" si="1"/>
        <v>0.53599934576382069</v>
      </c>
      <c r="H50" s="1300">
        <f t="shared" si="2"/>
        <v>32771</v>
      </c>
      <c r="I50" s="1735" t="s">
        <v>930</v>
      </c>
      <c r="J50" s="1735" t="s">
        <v>931</v>
      </c>
      <c r="K50" s="1735" t="s">
        <v>932</v>
      </c>
      <c r="L50" s="1735" t="s">
        <v>933</v>
      </c>
      <c r="M50" s="1738">
        <f t="shared" si="12"/>
        <v>28369</v>
      </c>
      <c r="N50" s="1738">
        <f t="shared" si="12"/>
        <v>5762</v>
      </c>
      <c r="O50" s="1738">
        <f t="shared" si="12"/>
        <v>22607</v>
      </c>
      <c r="P50" s="1736">
        <f t="shared" si="10"/>
        <v>28369</v>
      </c>
      <c r="Q50" s="1740">
        <f t="shared" si="11"/>
        <v>1</v>
      </c>
      <c r="S50" s="1881">
        <f t="shared" si="13"/>
        <v>0.20310902745955092</v>
      </c>
    </row>
    <row r="51" spans="1:19" s="1149" customFormat="1" ht="28.8" x14ac:dyDescent="0.3">
      <c r="A51" s="1297" t="s">
        <v>891</v>
      </c>
      <c r="B51" s="1298" t="s">
        <v>892</v>
      </c>
      <c r="C51" s="1298">
        <v>2021</v>
      </c>
      <c r="D51" s="1571">
        <v>641294</v>
      </c>
      <c r="E51" s="1732">
        <v>58299</v>
      </c>
      <c r="F51" s="1571">
        <v>1643</v>
      </c>
      <c r="G51" s="1299">
        <f t="shared" si="1"/>
        <v>0.85099229832415646</v>
      </c>
      <c r="H51" s="1300">
        <f t="shared" si="2"/>
        <v>49612</v>
      </c>
      <c r="I51" s="1735" t="s">
        <v>934</v>
      </c>
      <c r="J51" s="1735" t="s">
        <v>935</v>
      </c>
      <c r="K51" s="1735" t="s">
        <v>936</v>
      </c>
      <c r="L51" s="1735" t="s">
        <v>937</v>
      </c>
      <c r="M51" s="1738">
        <f t="shared" si="12"/>
        <v>8687</v>
      </c>
      <c r="N51" s="1738">
        <f t="shared" si="12"/>
        <v>1551</v>
      </c>
      <c r="O51" s="1738">
        <f t="shared" si="12"/>
        <v>7136</v>
      </c>
      <c r="P51" s="1736">
        <f t="shared" si="10"/>
        <v>8687</v>
      </c>
      <c r="Q51" s="1740">
        <f t="shared" si="11"/>
        <v>1</v>
      </c>
      <c r="S51" s="1881">
        <f t="shared" si="13"/>
        <v>0.178542649936687</v>
      </c>
    </row>
    <row r="52" spans="1:19" s="1149" customFormat="1" ht="28.8" x14ac:dyDescent="0.3">
      <c r="A52" s="1297" t="s">
        <v>891</v>
      </c>
      <c r="B52" s="1298" t="s">
        <v>892</v>
      </c>
      <c r="C52" s="1298">
        <v>2022</v>
      </c>
      <c r="D52" s="1571">
        <v>573726</v>
      </c>
      <c r="E52" s="1732">
        <v>52157</v>
      </c>
      <c r="F52" s="1571">
        <v>722</v>
      </c>
      <c r="G52" s="1299">
        <f>IF(ISNUMBER(H52),H52/E52,"")</f>
        <v>0.43800448645435897</v>
      </c>
      <c r="H52" s="1300">
        <v>22845</v>
      </c>
      <c r="I52" s="1735" t="s">
        <v>938</v>
      </c>
      <c r="J52" s="1735" t="s">
        <v>939</v>
      </c>
      <c r="K52" s="1577">
        <v>2.2000000000000002</v>
      </c>
      <c r="L52" s="1569">
        <v>97.8</v>
      </c>
      <c r="M52" s="1738">
        <v>29521</v>
      </c>
      <c r="N52" s="1738">
        <f>M52*K52/100</f>
        <v>649.46199999999999</v>
      </c>
      <c r="O52" s="1738">
        <f>M52*L52/100</f>
        <v>28871.537999999997</v>
      </c>
      <c r="P52" s="1736">
        <f t="shared" si="10"/>
        <v>29521</v>
      </c>
      <c r="Q52" s="1740">
        <f t="shared" si="11"/>
        <v>1</v>
      </c>
    </row>
    <row r="53" spans="1:19" s="1149" customFormat="1" ht="29.4" thickBot="1" x14ac:dyDescent="0.35">
      <c r="A53" s="1579" t="s">
        <v>891</v>
      </c>
      <c r="B53" s="1580" t="s">
        <v>892</v>
      </c>
      <c r="C53" s="1580">
        <v>2023</v>
      </c>
      <c r="D53" s="1574"/>
      <c r="E53" s="1574"/>
      <c r="F53" s="1574"/>
      <c r="G53" s="1581"/>
      <c r="H53" s="1582"/>
      <c r="I53" s="1583"/>
      <c r="J53" s="1583"/>
      <c r="K53" s="1583"/>
      <c r="L53" s="1583"/>
      <c r="M53" s="1582">
        <v>14892</v>
      </c>
      <c r="N53" s="1582"/>
      <c r="O53" s="1582"/>
      <c r="P53" s="1582">
        <f t="shared" si="10"/>
        <v>14892</v>
      </c>
      <c r="Q53" s="1584">
        <f t="shared" si="11"/>
        <v>1</v>
      </c>
    </row>
    <row r="54" spans="1:19" s="1149" customFormat="1" ht="27" thickBot="1" x14ac:dyDescent="0.35">
      <c r="A54" s="1585" t="s">
        <v>891</v>
      </c>
      <c r="B54" s="1586" t="s">
        <v>940</v>
      </c>
      <c r="C54" s="1586">
        <v>2014</v>
      </c>
      <c r="D54" s="1572">
        <v>2805</v>
      </c>
      <c r="E54" s="1572">
        <v>255</v>
      </c>
      <c r="F54" s="1572">
        <v>57</v>
      </c>
      <c r="G54" s="1587">
        <f t="shared" si="1"/>
        <v>0.2627450980392157</v>
      </c>
      <c r="H54" s="1588">
        <f t="shared" si="2"/>
        <v>67</v>
      </c>
      <c r="I54" s="1578" t="s">
        <v>941</v>
      </c>
      <c r="J54" s="1578" t="s">
        <v>942</v>
      </c>
      <c r="K54" s="1578"/>
      <c r="L54" s="1578"/>
      <c r="M54" s="1588">
        <f t="shared" si="12"/>
        <v>188</v>
      </c>
      <c r="N54" s="1883">
        <f>M54*S44</f>
        <v>76.669882338695032</v>
      </c>
      <c r="O54" s="1883">
        <f>M54*(1-S44)</f>
        <v>111.33011766130498</v>
      </c>
      <c r="P54" s="1588">
        <f t="shared" si="10"/>
        <v>188</v>
      </c>
      <c r="Q54" s="1589">
        <f t="shared" si="11"/>
        <v>1</v>
      </c>
      <c r="R54" s="1731" t="s">
        <v>943</v>
      </c>
    </row>
    <row r="55" spans="1:19" s="1149" customFormat="1" ht="26.4" x14ac:dyDescent="0.3">
      <c r="A55" s="1301" t="s">
        <v>891</v>
      </c>
      <c r="B55" s="1302" t="s">
        <v>940</v>
      </c>
      <c r="C55" s="1302">
        <v>2015</v>
      </c>
      <c r="D55" s="1571">
        <v>6896</v>
      </c>
      <c r="E55" s="1571">
        <v>615</v>
      </c>
      <c r="F55" s="1571">
        <v>78</v>
      </c>
      <c r="G55" s="1303">
        <f t="shared" si="1"/>
        <v>0.75609756097560976</v>
      </c>
      <c r="H55" s="1304">
        <f t="shared" si="2"/>
        <v>465</v>
      </c>
      <c r="I55" s="1570" t="s">
        <v>944</v>
      </c>
      <c r="J55" s="1570" t="s">
        <v>945</v>
      </c>
      <c r="K55" s="1570"/>
      <c r="L55" s="1570"/>
      <c r="M55" s="1304">
        <f t="shared" si="12"/>
        <v>150</v>
      </c>
      <c r="N55" s="1883">
        <f>M55*S45</f>
        <v>0</v>
      </c>
      <c r="O55" s="1883">
        <f>M55*(1-S45)</f>
        <v>150</v>
      </c>
      <c r="P55" s="1304">
        <f t="shared" si="10"/>
        <v>150</v>
      </c>
      <c r="Q55" s="1305">
        <f t="shared" si="11"/>
        <v>1</v>
      </c>
      <c r="R55" s="1731" t="s">
        <v>943</v>
      </c>
    </row>
    <row r="56" spans="1:19" s="1149" customFormat="1" x14ac:dyDescent="0.3">
      <c r="A56" s="1301" t="s">
        <v>891</v>
      </c>
      <c r="B56" s="1302" t="s">
        <v>940</v>
      </c>
      <c r="C56" s="1302">
        <v>2016</v>
      </c>
      <c r="D56" s="1571"/>
      <c r="E56" s="1571"/>
      <c r="F56" s="1571"/>
      <c r="G56" s="1303" t="str">
        <f t="shared" si="1"/>
        <v/>
      </c>
      <c r="H56" s="1304" t="str">
        <f t="shared" si="2"/>
        <v/>
      </c>
      <c r="I56" s="1570"/>
      <c r="J56" s="1570"/>
      <c r="K56" s="1570"/>
      <c r="L56" s="1570"/>
      <c r="M56" s="1304"/>
      <c r="N56" s="1304"/>
      <c r="O56" s="1304"/>
      <c r="P56" s="1304">
        <f t="shared" si="10"/>
        <v>0</v>
      </c>
      <c r="Q56" s="1305" t="str">
        <f t="shared" si="11"/>
        <v/>
      </c>
    </row>
    <row r="57" spans="1:19" s="1149" customFormat="1" x14ac:dyDescent="0.3">
      <c r="A57" s="1301" t="s">
        <v>891</v>
      </c>
      <c r="B57" s="1302" t="s">
        <v>940</v>
      </c>
      <c r="C57" s="1302">
        <v>2017</v>
      </c>
      <c r="D57" s="1571"/>
      <c r="E57" s="1571"/>
      <c r="F57" s="1571"/>
      <c r="G57" s="1303" t="str">
        <f t="shared" si="1"/>
        <v/>
      </c>
      <c r="H57" s="1304" t="str">
        <f t="shared" si="2"/>
        <v/>
      </c>
      <c r="I57" s="1570"/>
      <c r="J57" s="1570"/>
      <c r="K57" s="1570"/>
      <c r="L57" s="1570"/>
      <c r="M57" s="1304"/>
      <c r="N57" s="1304"/>
      <c r="O57" s="1304"/>
      <c r="P57" s="1304">
        <f t="shared" si="10"/>
        <v>0</v>
      </c>
      <c r="Q57" s="1305" t="str">
        <f t="shared" si="11"/>
        <v/>
      </c>
    </row>
    <row r="58" spans="1:19" s="1149" customFormat="1" ht="26.4" x14ac:dyDescent="0.3">
      <c r="A58" s="1301" t="s">
        <v>891</v>
      </c>
      <c r="B58" s="1302" t="s">
        <v>940</v>
      </c>
      <c r="C58" s="1302">
        <v>2018</v>
      </c>
      <c r="D58" s="1571">
        <v>9083</v>
      </c>
      <c r="E58" s="1571">
        <v>830</v>
      </c>
      <c r="F58" s="1571">
        <v>73</v>
      </c>
      <c r="G58" s="1303">
        <f t="shared" si="1"/>
        <v>0.41084337349397593</v>
      </c>
      <c r="H58" s="1304">
        <f t="shared" si="2"/>
        <v>341</v>
      </c>
      <c r="I58" s="1570" t="s">
        <v>946</v>
      </c>
      <c r="J58" s="1570" t="s">
        <v>947</v>
      </c>
      <c r="K58" s="1570" t="s">
        <v>948</v>
      </c>
      <c r="L58" s="1570" t="s">
        <v>949</v>
      </c>
      <c r="M58" s="1304">
        <f t="shared" si="12"/>
        <v>489</v>
      </c>
      <c r="N58" s="1304">
        <f t="shared" si="12"/>
        <v>113</v>
      </c>
      <c r="O58" s="1304">
        <f t="shared" si="12"/>
        <v>376</v>
      </c>
      <c r="P58" s="1304">
        <f t="shared" si="10"/>
        <v>489</v>
      </c>
      <c r="Q58" s="1305">
        <f t="shared" si="11"/>
        <v>1</v>
      </c>
    </row>
    <row r="59" spans="1:19" s="1149" customFormat="1" ht="26.4" x14ac:dyDescent="0.3">
      <c r="A59" s="1301" t="s">
        <v>891</v>
      </c>
      <c r="B59" s="1302" t="s">
        <v>940</v>
      </c>
      <c r="C59" s="1302">
        <v>2019</v>
      </c>
      <c r="D59" s="1571">
        <v>12182</v>
      </c>
      <c r="E59" s="1571"/>
      <c r="F59" s="1571">
        <v>60</v>
      </c>
      <c r="G59" s="1303">
        <v>8.3000000000000004E-2</v>
      </c>
      <c r="H59" s="1304"/>
      <c r="I59" s="1570" t="s">
        <v>950</v>
      </c>
      <c r="J59" s="1570" t="s">
        <v>951</v>
      </c>
      <c r="K59" s="1570" t="s">
        <v>952</v>
      </c>
      <c r="L59" s="1570" t="s">
        <v>953</v>
      </c>
      <c r="M59" s="1304"/>
      <c r="N59" s="1304"/>
      <c r="O59" s="1304"/>
      <c r="P59" s="1304">
        <f t="shared" si="10"/>
        <v>0</v>
      </c>
      <c r="Q59" s="1305" t="str">
        <f t="shared" si="11"/>
        <v/>
      </c>
    </row>
    <row r="60" spans="1:19" s="1149" customFormat="1" ht="26.4" x14ac:dyDescent="0.3">
      <c r="A60" s="1301" t="s">
        <v>891</v>
      </c>
      <c r="B60" s="1302" t="s">
        <v>940</v>
      </c>
      <c r="C60" s="1302">
        <v>2020</v>
      </c>
      <c r="D60" s="1708">
        <v>122698</v>
      </c>
      <c r="E60" s="1708">
        <v>11611</v>
      </c>
      <c r="F60" s="1708">
        <v>498</v>
      </c>
      <c r="G60" s="1303">
        <f t="shared" si="1"/>
        <v>9.9905262251313402E-3</v>
      </c>
      <c r="H60" s="1304">
        <f t="shared" si="2"/>
        <v>116</v>
      </c>
      <c r="I60" s="1304" t="s">
        <v>954</v>
      </c>
      <c r="J60" s="1304" t="s">
        <v>955</v>
      </c>
      <c r="K60" s="1304" t="s">
        <v>956</v>
      </c>
      <c r="L60" s="1304" t="s">
        <v>957</v>
      </c>
      <c r="M60" s="1304">
        <f t="shared" si="12"/>
        <v>11495</v>
      </c>
      <c r="N60" s="1304">
        <f t="shared" si="12"/>
        <v>11334</v>
      </c>
      <c r="O60" s="1304">
        <f t="shared" si="12"/>
        <v>161</v>
      </c>
      <c r="P60" s="1304">
        <f t="shared" si="10"/>
        <v>11495</v>
      </c>
      <c r="Q60" s="1305">
        <f t="shared" si="11"/>
        <v>1</v>
      </c>
    </row>
    <row r="61" spans="1:19" s="1149" customFormat="1" x14ac:dyDescent="0.3">
      <c r="A61" s="1301" t="s">
        <v>891</v>
      </c>
      <c r="B61" s="1302" t="s">
        <v>940</v>
      </c>
      <c r="C61" s="1302">
        <v>2021</v>
      </c>
      <c r="D61" s="1571">
        <v>8789</v>
      </c>
      <c r="E61" s="1571">
        <v>799</v>
      </c>
      <c r="F61" s="1571"/>
      <c r="G61" s="1303" t="str">
        <f t="shared" si="1"/>
        <v/>
      </c>
      <c r="H61" s="1304" t="str">
        <f t="shared" si="2"/>
        <v/>
      </c>
      <c r="I61" s="1570"/>
      <c r="J61" s="1570"/>
      <c r="K61" s="1570"/>
      <c r="L61" s="1570"/>
      <c r="M61" s="1304"/>
      <c r="N61" s="1304"/>
      <c r="O61" s="1304"/>
      <c r="P61" s="1304">
        <f t="shared" si="10"/>
        <v>0</v>
      </c>
      <c r="Q61" s="1305" t="str">
        <f t="shared" si="11"/>
        <v/>
      </c>
    </row>
    <row r="62" spans="1:19" x14ac:dyDescent="0.3">
      <c r="A62" s="1301" t="s">
        <v>891</v>
      </c>
      <c r="B62" s="1302" t="s">
        <v>940</v>
      </c>
      <c r="C62" s="1302">
        <v>2022</v>
      </c>
      <c r="D62" s="813"/>
      <c r="E62" s="813"/>
      <c r="F62" s="813"/>
      <c r="G62" s="813"/>
      <c r="H62" s="707"/>
      <c r="I62" s="813"/>
      <c r="J62" s="813"/>
      <c r="K62" s="1570">
        <v>38.6</v>
      </c>
      <c r="L62" s="1570">
        <v>61.4</v>
      </c>
      <c r="M62" s="707"/>
      <c r="N62" s="707"/>
      <c r="O62" s="707"/>
      <c r="P62" s="813"/>
      <c r="Q62" s="291"/>
    </row>
    <row r="63" spans="1:19" ht="15" thickBot="1" x14ac:dyDescent="0.35">
      <c r="A63" s="1306" t="s">
        <v>891</v>
      </c>
      <c r="B63" s="1307" t="s">
        <v>940</v>
      </c>
      <c r="C63" s="1307">
        <v>2023</v>
      </c>
      <c r="D63" s="999"/>
      <c r="E63" s="999"/>
      <c r="F63" s="999"/>
      <c r="G63" s="999"/>
      <c r="H63" s="1603"/>
      <c r="I63" s="999"/>
      <c r="J63" s="999"/>
      <c r="K63" s="999"/>
      <c r="L63" s="999"/>
      <c r="M63" s="1603"/>
      <c r="N63" s="1603"/>
      <c r="O63" s="1603"/>
      <c r="P63" s="999"/>
      <c r="Q63" s="293"/>
    </row>
    <row r="64" spans="1:19" x14ac:dyDescent="0.3">
      <c r="C64" s="1274"/>
      <c r="M64" s="1630"/>
      <c r="N64" s="1630"/>
      <c r="O64" s="1630"/>
    </row>
    <row r="65" spans="3:18" x14ac:dyDescent="0.3">
      <c r="C65" s="1275"/>
      <c r="M65" s="1630"/>
      <c r="N65" s="1630"/>
      <c r="O65" s="1630"/>
      <c r="P65" s="1630"/>
      <c r="Q65" s="1647"/>
      <c r="R65" s="1648"/>
    </row>
    <row r="66" spans="3:18" x14ac:dyDescent="0.3">
      <c r="C66" s="1273"/>
    </row>
    <row r="71" spans="3:18" x14ac:dyDescent="0.3">
      <c r="E71" s="1782"/>
      <c r="M71" s="1782"/>
      <c r="N71" s="1782"/>
      <c r="O71" s="1782"/>
      <c r="P71" s="1782"/>
    </row>
    <row r="73" spans="3:18" x14ac:dyDescent="0.3">
      <c r="O73" s="1783"/>
    </row>
  </sheetData>
  <sheetProtection formatCells="0" insertRows="0" pivotTables="0"/>
  <autoFilter ref="A1:L65" xr:uid="{CDEE35E6-D21E-4283-A00E-DE2530167D53}">
    <filterColumn colId="9" showButton="0"/>
    <filterColumn colId="10" showButton="0"/>
  </autoFilter>
  <pageMargins left="0.7" right="0.7" top="0.75" bottom="0.75" header="0.3" footer="0.3"/>
  <drawing r:id="rId1"/>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F72811-2590-44EB-9864-0D01758F74C3}">
  <sheetPr codeName="Sheet31">
    <tabColor theme="7"/>
  </sheetPr>
  <dimension ref="A2:AB64"/>
  <sheetViews>
    <sheetView zoomScale="90" zoomScaleNormal="90" workbookViewId="0">
      <pane xSplit="1" ySplit="6" topLeftCell="B7" activePane="bottomRight" state="frozen"/>
      <selection pane="topRight" activeCell="C15" sqref="C15"/>
      <selection pane="bottomLeft" activeCell="C15" sqref="C15"/>
      <selection pane="bottomRight" activeCell="L12" sqref="L12"/>
    </sheetView>
  </sheetViews>
  <sheetFormatPr defaultRowHeight="14.4" x14ac:dyDescent="0.3"/>
  <cols>
    <col min="1" max="1" width="13.5546875" bestFit="1" customWidth="1"/>
    <col min="2" max="4" width="14.6640625" bestFit="1" customWidth="1"/>
    <col min="5" max="5" width="12.33203125" customWidth="1"/>
    <col min="6" max="6" width="12.6640625" customWidth="1"/>
    <col min="7" max="7" width="12.6640625" bestFit="1" customWidth="1"/>
    <col min="8" max="8" width="9.5546875" bestFit="1" customWidth="1"/>
    <col min="9" max="9" width="8.33203125" bestFit="1" customWidth="1"/>
    <col min="10" max="10" width="9.5546875" bestFit="1" customWidth="1"/>
    <col min="11" max="11" width="12.6640625" bestFit="1" customWidth="1"/>
    <col min="12" max="12" width="12.33203125" bestFit="1" customWidth="1"/>
    <col min="13" max="13" width="12.6640625" bestFit="1" customWidth="1"/>
    <col min="14" max="14" width="12.44140625" bestFit="1" customWidth="1"/>
    <col min="15" max="15" width="12.33203125" bestFit="1" customWidth="1"/>
    <col min="16" max="16" width="12.6640625" bestFit="1" customWidth="1"/>
    <col min="17" max="19" width="8" bestFit="1" customWidth="1"/>
    <col min="20" max="20" width="9.5546875" bestFit="1" customWidth="1"/>
    <col min="21" max="21" width="9" bestFit="1" customWidth="1"/>
    <col min="22" max="22" width="9.88671875" bestFit="1" customWidth="1"/>
    <col min="23" max="23" width="6.6640625" bestFit="1" customWidth="1"/>
    <col min="24" max="24" width="19" bestFit="1" customWidth="1"/>
    <col min="25" max="25" width="8" bestFit="1" customWidth="1"/>
    <col min="26" max="27" width="17.33203125" bestFit="1" customWidth="1"/>
    <col min="28" max="28" width="9.109375" bestFit="1" customWidth="1"/>
  </cols>
  <sheetData>
    <row r="2" spans="1:28" s="2" customFormat="1" ht="18.600000000000001" thickBot="1" x14ac:dyDescent="0.35">
      <c r="A2" s="2634" t="s">
        <v>958</v>
      </c>
      <c r="B2" s="2635"/>
      <c r="C2" s="2635"/>
      <c r="D2" s="2635"/>
      <c r="E2" s="2635"/>
      <c r="F2" s="2635"/>
      <c r="G2" s="2635"/>
      <c r="H2" s="2635"/>
      <c r="I2" s="2635"/>
      <c r="J2" s="2635"/>
      <c r="K2" s="2635"/>
      <c r="L2" s="2635"/>
      <c r="M2" s="2635"/>
      <c r="N2" s="2635"/>
      <c r="O2" s="2635"/>
      <c r="P2" s="2635"/>
      <c r="Q2" s="2635"/>
      <c r="R2" s="2635"/>
      <c r="S2" s="2635"/>
      <c r="T2" s="2635"/>
      <c r="U2" s="2635"/>
      <c r="V2" s="2635"/>
    </row>
    <row r="3" spans="1:28" s="1" customFormat="1" ht="32.4" thickBot="1" x14ac:dyDescent="0.4">
      <c r="A3" s="1279"/>
      <c r="B3" s="1392" t="s">
        <v>820</v>
      </c>
      <c r="C3" s="1396" t="s">
        <v>821</v>
      </c>
      <c r="D3" s="1285" t="s">
        <v>959</v>
      </c>
      <c r="E3" s="1276"/>
      <c r="F3" s="1277"/>
      <c r="G3" s="1277"/>
      <c r="H3" s="1277"/>
      <c r="I3" s="1277"/>
      <c r="J3" s="1277"/>
      <c r="K3" s="1277"/>
      <c r="L3" s="1277"/>
      <c r="M3" s="1277"/>
      <c r="N3" s="1277"/>
      <c r="O3" s="1277"/>
      <c r="P3" s="1277"/>
      <c r="Q3" s="1277"/>
      <c r="R3" s="1277"/>
      <c r="S3" s="1277"/>
      <c r="T3" s="1277"/>
      <c r="U3" s="1277"/>
      <c r="V3" s="1277"/>
      <c r="W3" s="1277"/>
      <c r="X3" s="1277"/>
      <c r="Y3" s="1277"/>
      <c r="Z3" s="1277"/>
      <c r="AA3" s="1277"/>
      <c r="AB3" s="1857"/>
    </row>
    <row r="4" spans="1:28" s="1" customFormat="1" ht="44.4" thickBot="1" x14ac:dyDescent="0.4">
      <c r="A4" s="1278"/>
      <c r="B4" s="1288" t="s">
        <v>836</v>
      </c>
      <c r="C4" s="1287"/>
      <c r="D4" s="1287"/>
      <c r="E4" s="1287"/>
      <c r="F4" s="1287"/>
      <c r="G4" s="1393"/>
      <c r="H4" s="1863" t="s">
        <v>960</v>
      </c>
      <c r="I4" s="1856" t="s">
        <v>961</v>
      </c>
      <c r="J4" s="1863" t="s">
        <v>962</v>
      </c>
      <c r="K4" s="1288" t="s">
        <v>891</v>
      </c>
      <c r="L4" s="1287"/>
      <c r="M4" s="1287"/>
      <c r="N4" s="1287"/>
      <c r="O4" s="1287"/>
      <c r="P4" s="1393"/>
      <c r="Q4" s="1863" t="s">
        <v>963</v>
      </c>
      <c r="R4" s="1856" t="s">
        <v>964</v>
      </c>
      <c r="S4" s="1863" t="s">
        <v>965</v>
      </c>
      <c r="T4" s="2135" t="s">
        <v>966</v>
      </c>
      <c r="U4" s="2136"/>
      <c r="V4" s="2136"/>
      <c r="W4" s="2140" t="s">
        <v>967</v>
      </c>
      <c r="X4" s="2137" t="s">
        <v>968</v>
      </c>
      <c r="Y4" s="1863" t="s">
        <v>969</v>
      </c>
      <c r="Z4" s="1885" t="s">
        <v>970</v>
      </c>
      <c r="AA4" s="1885" t="s">
        <v>971</v>
      </c>
      <c r="AB4" s="1885" t="s">
        <v>972</v>
      </c>
    </row>
    <row r="5" spans="1:28" s="1" customFormat="1" ht="31.8" thickBot="1" x14ac:dyDescent="0.35">
      <c r="A5" s="1286"/>
      <c r="B5" s="1394" t="s">
        <v>837</v>
      </c>
      <c r="C5" s="1651"/>
      <c r="D5" s="1395"/>
      <c r="E5" s="1394" t="s">
        <v>889</v>
      </c>
      <c r="F5" s="1651"/>
      <c r="G5" s="1395"/>
      <c r="H5" s="2116"/>
      <c r="I5" s="1859"/>
      <c r="J5" s="2116"/>
      <c r="K5" s="1394" t="s">
        <v>892</v>
      </c>
      <c r="L5" s="1651"/>
      <c r="M5" s="1395"/>
      <c r="N5" s="1394" t="s">
        <v>940</v>
      </c>
      <c r="O5" s="1651"/>
      <c r="P5" s="1395"/>
      <c r="Q5" s="2116"/>
      <c r="R5" s="1859"/>
      <c r="S5" s="2116"/>
      <c r="T5" s="2334" t="s">
        <v>966</v>
      </c>
      <c r="U5" s="2334"/>
      <c r="V5" s="2334"/>
      <c r="W5" s="2141"/>
      <c r="X5" s="2138"/>
      <c r="Y5" s="2116"/>
      <c r="Z5" s="1885"/>
      <c r="AA5" s="1885"/>
      <c r="AB5" s="1885"/>
    </row>
    <row r="6" spans="1:28" s="1" customFormat="1" ht="15" thickBot="1" x14ac:dyDescent="0.35">
      <c r="A6" s="1285" t="s">
        <v>15</v>
      </c>
      <c r="B6" s="2324" t="s">
        <v>973</v>
      </c>
      <c r="C6" s="1277" t="s">
        <v>974</v>
      </c>
      <c r="D6" s="1290" t="s">
        <v>975</v>
      </c>
      <c r="E6" s="984" t="s">
        <v>973</v>
      </c>
      <c r="F6" s="950" t="s">
        <v>974</v>
      </c>
      <c r="G6" s="1854" t="s">
        <v>975</v>
      </c>
      <c r="H6" s="1864"/>
      <c r="I6" s="1860"/>
      <c r="J6" s="1864"/>
      <c r="K6" s="984" t="s">
        <v>973</v>
      </c>
      <c r="L6" s="950" t="s">
        <v>974</v>
      </c>
      <c r="M6" s="1854" t="s">
        <v>975</v>
      </c>
      <c r="N6" s="1289" t="s">
        <v>973</v>
      </c>
      <c r="O6" s="950" t="s">
        <v>974</v>
      </c>
      <c r="P6" s="1854" t="s">
        <v>975</v>
      </c>
      <c r="Q6" s="1864"/>
      <c r="R6" s="1860"/>
      <c r="S6" s="1864"/>
      <c r="T6" s="2334" t="s">
        <v>973</v>
      </c>
      <c r="U6" s="2334" t="s">
        <v>974</v>
      </c>
      <c r="V6" s="2334" t="s">
        <v>975</v>
      </c>
      <c r="W6" s="2142"/>
      <c r="X6" s="2139"/>
      <c r="Y6" s="1864"/>
      <c r="Z6" s="1884"/>
      <c r="AA6" s="1884"/>
      <c r="AB6" s="1884"/>
    </row>
    <row r="7" spans="1:28" x14ac:dyDescent="0.3">
      <c r="A7" s="669">
        <v>2000</v>
      </c>
      <c r="B7" s="701">
        <v>21838</v>
      </c>
      <c r="C7" s="701">
        <v>0</v>
      </c>
      <c r="D7" s="1107">
        <v>21838</v>
      </c>
      <c r="E7" s="701"/>
      <c r="F7" s="701"/>
      <c r="G7" s="1107"/>
      <c r="H7" s="701">
        <v>21838</v>
      </c>
      <c r="I7" s="2339">
        <v>0</v>
      </c>
      <c r="J7" s="1107">
        <v>21838</v>
      </c>
      <c r="K7" s="701"/>
      <c r="L7" s="701"/>
      <c r="M7" s="1107"/>
      <c r="N7" s="701"/>
      <c r="O7" s="701"/>
      <c r="P7" s="1107"/>
      <c r="Q7" s="701"/>
      <c r="R7" s="2339"/>
      <c r="S7" s="1107"/>
      <c r="T7" s="701"/>
      <c r="U7" s="701"/>
      <c r="V7" s="1107"/>
      <c r="W7" s="701"/>
      <c r="X7" s="2339"/>
      <c r="Y7" s="1107"/>
      <c r="Z7" s="701">
        <v>21838</v>
      </c>
      <c r="AA7" s="701">
        <v>0</v>
      </c>
      <c r="AB7" s="1107">
        <v>21838</v>
      </c>
    </row>
    <row r="8" spans="1:28" x14ac:dyDescent="0.3">
      <c r="A8" s="669">
        <v>2001</v>
      </c>
      <c r="B8" s="701">
        <v>39024</v>
      </c>
      <c r="C8" s="701">
        <v>0</v>
      </c>
      <c r="D8" s="1107">
        <v>39024</v>
      </c>
      <c r="E8" s="701"/>
      <c r="F8" s="701"/>
      <c r="G8" s="1107"/>
      <c r="H8" s="701">
        <v>39024</v>
      </c>
      <c r="I8" s="2339">
        <v>0</v>
      </c>
      <c r="J8" s="1107">
        <v>39024</v>
      </c>
      <c r="K8" s="701"/>
      <c r="L8" s="701"/>
      <c r="M8" s="1107"/>
      <c r="N8" s="701"/>
      <c r="O8" s="701"/>
      <c r="P8" s="1107"/>
      <c r="Q8" s="701"/>
      <c r="R8" s="2339"/>
      <c r="S8" s="1107"/>
      <c r="T8" s="701"/>
      <c r="U8" s="701"/>
      <c r="V8" s="1107"/>
      <c r="W8" s="701"/>
      <c r="X8" s="2339"/>
      <c r="Y8" s="1107"/>
      <c r="Z8" s="701">
        <v>39024</v>
      </c>
      <c r="AA8" s="701">
        <v>0</v>
      </c>
      <c r="AB8" s="1107">
        <v>39024</v>
      </c>
    </row>
    <row r="9" spans="1:28" x14ac:dyDescent="0.3">
      <c r="A9" s="669">
        <v>2002</v>
      </c>
      <c r="B9" s="701">
        <v>3560</v>
      </c>
      <c r="C9" s="701">
        <v>0</v>
      </c>
      <c r="D9" s="1107">
        <v>3560</v>
      </c>
      <c r="E9" s="701"/>
      <c r="F9" s="701"/>
      <c r="G9" s="1107"/>
      <c r="H9" s="701">
        <v>3560</v>
      </c>
      <c r="I9" s="2339">
        <v>0</v>
      </c>
      <c r="J9" s="1107">
        <v>3560</v>
      </c>
      <c r="K9" s="701"/>
      <c r="L9" s="701"/>
      <c r="M9" s="1107"/>
      <c r="N9" s="701"/>
      <c r="O9" s="701"/>
      <c r="P9" s="1107"/>
      <c r="Q9" s="701"/>
      <c r="R9" s="2339"/>
      <c r="S9" s="1107"/>
      <c r="T9" s="701"/>
      <c r="U9" s="701"/>
      <c r="V9" s="1107"/>
      <c r="W9" s="701"/>
      <c r="X9" s="2339"/>
      <c r="Y9" s="1107"/>
      <c r="Z9" s="701">
        <v>3560</v>
      </c>
      <c r="AA9" s="701">
        <v>0</v>
      </c>
      <c r="AB9" s="1107">
        <v>3560</v>
      </c>
    </row>
    <row r="10" spans="1:28" x14ac:dyDescent="0.3">
      <c r="A10" s="669">
        <v>2003</v>
      </c>
      <c r="B10" s="701">
        <v>17753</v>
      </c>
      <c r="C10" s="701">
        <v>0</v>
      </c>
      <c r="D10" s="1107">
        <v>17753</v>
      </c>
      <c r="E10" s="701"/>
      <c r="F10" s="701"/>
      <c r="G10" s="1107"/>
      <c r="H10" s="701">
        <v>17753</v>
      </c>
      <c r="I10" s="2339">
        <v>0</v>
      </c>
      <c r="J10" s="1107">
        <v>17753</v>
      </c>
      <c r="K10" s="701"/>
      <c r="L10" s="701"/>
      <c r="M10" s="1107"/>
      <c r="N10" s="701"/>
      <c r="O10" s="701"/>
      <c r="P10" s="1107"/>
      <c r="Q10" s="701"/>
      <c r="R10" s="2339"/>
      <c r="S10" s="1107"/>
      <c r="T10" s="701"/>
      <c r="U10" s="701"/>
      <c r="V10" s="1107"/>
      <c r="W10" s="701"/>
      <c r="X10" s="2339"/>
      <c r="Y10" s="1107"/>
      <c r="Z10" s="701">
        <v>17753</v>
      </c>
      <c r="AA10" s="701">
        <v>0</v>
      </c>
      <c r="AB10" s="1107">
        <v>17753</v>
      </c>
    </row>
    <row r="11" spans="1:28" x14ac:dyDescent="0.3">
      <c r="A11" s="669">
        <v>2004</v>
      </c>
      <c r="B11" s="701">
        <v>41791</v>
      </c>
      <c r="C11" s="701">
        <v>0</v>
      </c>
      <c r="D11" s="1107">
        <v>41791</v>
      </c>
      <c r="E11" s="701"/>
      <c r="F11" s="701"/>
      <c r="G11" s="1107"/>
      <c r="H11" s="701">
        <v>41791</v>
      </c>
      <c r="I11" s="2339">
        <v>0</v>
      </c>
      <c r="J11" s="1107">
        <v>41791</v>
      </c>
      <c r="K11" s="701"/>
      <c r="L11" s="701"/>
      <c r="M11" s="1107"/>
      <c r="N11" s="701"/>
      <c r="O11" s="701"/>
      <c r="P11" s="1107"/>
      <c r="Q11" s="701"/>
      <c r="R11" s="2339"/>
      <c r="S11" s="1107"/>
      <c r="T11" s="701"/>
      <c r="U11" s="701"/>
      <c r="V11" s="1107"/>
      <c r="W11" s="701"/>
      <c r="X11" s="2339"/>
      <c r="Y11" s="1107"/>
      <c r="Z11" s="701">
        <v>41791</v>
      </c>
      <c r="AA11" s="701">
        <v>0</v>
      </c>
      <c r="AB11" s="1107">
        <v>41791</v>
      </c>
    </row>
    <row r="12" spans="1:28" x14ac:dyDescent="0.3">
      <c r="A12" s="669">
        <v>2005</v>
      </c>
      <c r="B12" s="701">
        <v>31260</v>
      </c>
      <c r="C12" s="701">
        <v>0</v>
      </c>
      <c r="D12" s="1107">
        <v>31260</v>
      </c>
      <c r="E12" s="701"/>
      <c r="F12" s="701"/>
      <c r="G12" s="1107"/>
      <c r="H12" s="701">
        <v>31260</v>
      </c>
      <c r="I12" s="2339">
        <v>0</v>
      </c>
      <c r="J12" s="1107">
        <v>31260</v>
      </c>
      <c r="K12" s="701"/>
      <c r="L12" s="701"/>
      <c r="M12" s="1107"/>
      <c r="N12" s="701"/>
      <c r="O12" s="701"/>
      <c r="P12" s="1107"/>
      <c r="Q12" s="701"/>
      <c r="R12" s="2339"/>
      <c r="S12" s="1107"/>
      <c r="T12" s="701"/>
      <c r="U12" s="701"/>
      <c r="V12" s="1107"/>
      <c r="W12" s="701"/>
      <c r="X12" s="2339"/>
      <c r="Y12" s="1107"/>
      <c r="Z12" s="701">
        <v>31260</v>
      </c>
      <c r="AA12" s="701">
        <v>0</v>
      </c>
      <c r="AB12" s="1107">
        <v>31260</v>
      </c>
    </row>
    <row r="13" spans="1:28" x14ac:dyDescent="0.3">
      <c r="A13" s="669">
        <v>2006</v>
      </c>
      <c r="B13" s="701">
        <v>20819</v>
      </c>
      <c r="C13" s="701">
        <v>0</v>
      </c>
      <c r="D13" s="1107">
        <v>20819</v>
      </c>
      <c r="E13" s="701"/>
      <c r="F13" s="701"/>
      <c r="G13" s="1107"/>
      <c r="H13" s="701">
        <v>20819</v>
      </c>
      <c r="I13" s="2339">
        <v>0</v>
      </c>
      <c r="J13" s="1107">
        <v>20819</v>
      </c>
      <c r="K13" s="701"/>
      <c r="L13" s="701"/>
      <c r="M13" s="1107"/>
      <c r="N13" s="701"/>
      <c r="O13" s="701"/>
      <c r="P13" s="1107"/>
      <c r="Q13" s="701"/>
      <c r="R13" s="2339"/>
      <c r="S13" s="1107"/>
      <c r="T13" s="701"/>
      <c r="U13" s="701"/>
      <c r="V13" s="1107"/>
      <c r="W13" s="701"/>
      <c r="X13" s="2339"/>
      <c r="Y13" s="1107"/>
      <c r="Z13" s="701">
        <v>20819</v>
      </c>
      <c r="AA13" s="701">
        <v>0</v>
      </c>
      <c r="AB13" s="1107">
        <v>20819</v>
      </c>
    </row>
    <row r="14" spans="1:28" x14ac:dyDescent="0.3">
      <c r="A14" s="669">
        <v>2007</v>
      </c>
      <c r="B14" s="2104">
        <v>11871</v>
      </c>
      <c r="C14" s="701">
        <v>1619</v>
      </c>
      <c r="D14" s="1107">
        <v>13490</v>
      </c>
      <c r="E14" s="701"/>
      <c r="F14" s="701"/>
      <c r="G14" s="1107"/>
      <c r="H14" s="701">
        <v>11871</v>
      </c>
      <c r="I14" s="2339">
        <v>1619</v>
      </c>
      <c r="J14" s="1107">
        <v>13490</v>
      </c>
      <c r="K14" s="701"/>
      <c r="L14" s="701"/>
      <c r="M14" s="1107"/>
      <c r="N14" s="701"/>
      <c r="O14" s="701"/>
      <c r="P14" s="1107"/>
      <c r="Q14" s="701"/>
      <c r="R14" s="2339"/>
      <c r="S14" s="1107"/>
      <c r="T14" s="701"/>
      <c r="U14" s="701"/>
      <c r="V14" s="1107"/>
      <c r="W14" s="701"/>
      <c r="X14" s="2339"/>
      <c r="Y14" s="1107"/>
      <c r="Z14" s="701">
        <v>11871</v>
      </c>
      <c r="AA14" s="701">
        <v>1619</v>
      </c>
      <c r="AB14" s="1107">
        <v>13490</v>
      </c>
    </row>
    <row r="15" spans="1:28" x14ac:dyDescent="0.3">
      <c r="A15" s="669">
        <v>2008</v>
      </c>
      <c r="B15" s="2104">
        <v>118973</v>
      </c>
      <c r="C15" s="701">
        <v>7999</v>
      </c>
      <c r="D15" s="1107">
        <v>126972</v>
      </c>
      <c r="E15" s="701"/>
      <c r="F15" s="701"/>
      <c r="G15" s="1107"/>
      <c r="H15" s="701">
        <v>118973</v>
      </c>
      <c r="I15" s="2339">
        <v>7999</v>
      </c>
      <c r="J15" s="1107">
        <v>126972</v>
      </c>
      <c r="K15" s="701"/>
      <c r="L15" s="701"/>
      <c r="M15" s="1107"/>
      <c r="N15" s="701"/>
      <c r="O15" s="701"/>
      <c r="P15" s="1107"/>
      <c r="Q15" s="701"/>
      <c r="R15" s="2339"/>
      <c r="S15" s="1107"/>
      <c r="T15" s="701"/>
      <c r="U15" s="701"/>
      <c r="V15" s="1107"/>
      <c r="W15" s="701"/>
      <c r="X15" s="2339"/>
      <c r="Y15" s="1107"/>
      <c r="Z15" s="701">
        <v>118973</v>
      </c>
      <c r="AA15" s="701">
        <v>7999</v>
      </c>
      <c r="AB15" s="1107">
        <v>126972</v>
      </c>
    </row>
    <row r="16" spans="1:28" x14ac:dyDescent="0.3">
      <c r="A16" s="669">
        <v>2009</v>
      </c>
      <c r="B16" s="2104">
        <v>56917</v>
      </c>
      <c r="C16" s="701">
        <v>7107</v>
      </c>
      <c r="D16" s="1107">
        <v>64024</v>
      </c>
      <c r="E16" s="2104">
        <v>2006</v>
      </c>
      <c r="F16" s="701">
        <v>2023</v>
      </c>
      <c r="G16" s="1107">
        <v>4029</v>
      </c>
      <c r="H16" s="701">
        <v>58923</v>
      </c>
      <c r="I16" s="2339">
        <v>9130</v>
      </c>
      <c r="J16" s="1107">
        <v>68053</v>
      </c>
      <c r="K16" s="701"/>
      <c r="L16" s="701"/>
      <c r="M16" s="1107"/>
      <c r="N16" s="701"/>
      <c r="O16" s="701"/>
      <c r="P16" s="1107"/>
      <c r="Q16" s="701"/>
      <c r="R16" s="2339"/>
      <c r="S16" s="1107"/>
      <c r="T16" s="701"/>
      <c r="U16" s="701"/>
      <c r="V16" s="1107"/>
      <c r="W16" s="701"/>
      <c r="X16" s="2339"/>
      <c r="Y16" s="1107"/>
      <c r="Z16" s="701">
        <v>58923</v>
      </c>
      <c r="AA16" s="701">
        <v>9130</v>
      </c>
      <c r="AB16" s="1107">
        <v>68053</v>
      </c>
    </row>
    <row r="17" spans="1:28" x14ac:dyDescent="0.3">
      <c r="A17" s="669">
        <v>2010</v>
      </c>
      <c r="B17" s="2104">
        <v>176476</v>
      </c>
      <c r="C17" s="701">
        <v>5646</v>
      </c>
      <c r="D17" s="1107">
        <v>182122</v>
      </c>
      <c r="E17" s="2104">
        <v>14985</v>
      </c>
      <c r="F17" s="701">
        <v>2854</v>
      </c>
      <c r="G17" s="1107">
        <v>17839</v>
      </c>
      <c r="H17" s="701">
        <v>191461</v>
      </c>
      <c r="I17" s="2339">
        <v>8500</v>
      </c>
      <c r="J17" s="1107">
        <v>199961</v>
      </c>
      <c r="K17" s="701"/>
      <c r="L17" s="701"/>
      <c r="M17" s="1107"/>
      <c r="N17" s="701"/>
      <c r="O17" s="701"/>
      <c r="P17" s="1107"/>
      <c r="Q17" s="701"/>
      <c r="R17" s="2339"/>
      <c r="S17" s="1107"/>
      <c r="T17" s="701"/>
      <c r="U17" s="701"/>
      <c r="V17" s="1107"/>
      <c r="W17" s="701"/>
      <c r="X17" s="2339"/>
      <c r="Y17" s="1107"/>
      <c r="Z17" s="701">
        <v>191461</v>
      </c>
      <c r="AA17" s="701">
        <v>8500</v>
      </c>
      <c r="AB17" s="1107">
        <v>199961</v>
      </c>
    </row>
    <row r="18" spans="1:28" x14ac:dyDescent="0.3">
      <c r="A18" s="1798">
        <v>2011</v>
      </c>
      <c r="B18" s="2104">
        <v>10369.666999999999</v>
      </c>
      <c r="C18" s="1631">
        <v>443.33300000000003</v>
      </c>
      <c r="D18" s="1632">
        <v>10813</v>
      </c>
      <c r="E18" s="2104">
        <v>1548</v>
      </c>
      <c r="F18" s="1631">
        <v>660</v>
      </c>
      <c r="G18" s="1632">
        <v>2208</v>
      </c>
      <c r="H18" s="1631">
        <v>11917.666999999999</v>
      </c>
      <c r="I18" s="2340">
        <v>1103.3330000000001</v>
      </c>
      <c r="J18" s="1632">
        <v>13021</v>
      </c>
      <c r="K18" s="2117">
        <v>4575.7999999999993</v>
      </c>
      <c r="L18" s="1631">
        <v>18303.2</v>
      </c>
      <c r="M18" s="1632">
        <v>22879</v>
      </c>
      <c r="N18" s="1631"/>
      <c r="O18" s="1631"/>
      <c r="P18" s="1632"/>
      <c r="Q18" s="1631">
        <v>4575.7999999999993</v>
      </c>
      <c r="R18" s="2340">
        <v>18303.2</v>
      </c>
      <c r="S18" s="1632">
        <v>22879</v>
      </c>
      <c r="T18" s="1631"/>
      <c r="U18" s="1631"/>
      <c r="V18" s="1632"/>
      <c r="W18" s="1631"/>
      <c r="X18" s="2340"/>
      <c r="Y18" s="1632"/>
      <c r="Z18" s="1631">
        <v>16493.466999999997</v>
      </c>
      <c r="AA18" s="1631">
        <v>19406.532999999999</v>
      </c>
      <c r="AB18" s="1632">
        <v>35900</v>
      </c>
    </row>
    <row r="19" spans="1:28" x14ac:dyDescent="0.3">
      <c r="A19" s="669">
        <v>2012</v>
      </c>
      <c r="B19" s="2104">
        <v>89045</v>
      </c>
      <c r="C19" s="701">
        <v>1817</v>
      </c>
      <c r="D19" s="1107">
        <v>90862</v>
      </c>
      <c r="E19" s="2104">
        <v>2316</v>
      </c>
      <c r="F19" s="701">
        <v>887</v>
      </c>
      <c r="G19" s="1107">
        <v>3203</v>
      </c>
      <c r="H19" s="701">
        <v>91361</v>
      </c>
      <c r="I19" s="2339">
        <v>2704</v>
      </c>
      <c r="J19" s="1107">
        <v>94065</v>
      </c>
      <c r="K19" s="2118">
        <v>2737</v>
      </c>
      <c r="L19" s="701">
        <v>8257</v>
      </c>
      <c r="M19" s="1107">
        <v>10994</v>
      </c>
      <c r="N19" s="701"/>
      <c r="O19" s="701"/>
      <c r="P19" s="1107"/>
      <c r="Q19" s="701">
        <v>2737</v>
      </c>
      <c r="R19" s="2339">
        <v>8257</v>
      </c>
      <c r="S19" s="1107">
        <v>10994</v>
      </c>
      <c r="T19" s="701"/>
      <c r="U19" s="701"/>
      <c r="V19" s="1107"/>
      <c r="W19" s="701"/>
      <c r="X19" s="2339"/>
      <c r="Y19" s="1107"/>
      <c r="Z19" s="701">
        <v>94098</v>
      </c>
      <c r="AA19" s="701">
        <v>10961</v>
      </c>
      <c r="AB19" s="1107">
        <v>105059</v>
      </c>
    </row>
    <row r="20" spans="1:28" x14ac:dyDescent="0.3">
      <c r="A20" s="669">
        <v>2013</v>
      </c>
      <c r="B20" s="2104">
        <v>28950</v>
      </c>
      <c r="C20" s="2111">
        <v>4870</v>
      </c>
      <c r="D20" s="1107">
        <v>33820</v>
      </c>
      <c r="E20" s="701">
        <v>476</v>
      </c>
      <c r="F20" s="2111">
        <v>1632</v>
      </c>
      <c r="G20" s="1107">
        <v>2108</v>
      </c>
      <c r="H20" s="701">
        <v>29426</v>
      </c>
      <c r="I20" s="2339">
        <v>6502</v>
      </c>
      <c r="J20" s="1107">
        <v>35928</v>
      </c>
      <c r="K20" s="701">
        <v>3617</v>
      </c>
      <c r="L20" s="2111">
        <v>5287</v>
      </c>
      <c r="M20" s="1107">
        <v>8904</v>
      </c>
      <c r="N20" s="701"/>
      <c r="O20" s="701"/>
      <c r="P20" s="1107"/>
      <c r="Q20" s="701">
        <v>3617</v>
      </c>
      <c r="R20" s="2339">
        <v>5287</v>
      </c>
      <c r="S20" s="1107">
        <v>8904</v>
      </c>
      <c r="T20" s="701"/>
      <c r="U20" s="701"/>
      <c r="V20" s="1107"/>
      <c r="W20" s="701"/>
      <c r="X20" s="2339"/>
      <c r="Y20" s="1107"/>
      <c r="Z20" s="701">
        <v>33043</v>
      </c>
      <c r="AA20" s="701">
        <v>11789</v>
      </c>
      <c r="AB20" s="1107">
        <v>44832</v>
      </c>
    </row>
    <row r="21" spans="1:28" x14ac:dyDescent="0.3">
      <c r="A21" s="669">
        <v>2014</v>
      </c>
      <c r="B21" s="2104">
        <v>141431</v>
      </c>
      <c r="C21" s="701">
        <v>3775</v>
      </c>
      <c r="D21" s="1107">
        <v>145206</v>
      </c>
      <c r="E21" s="701">
        <v>1354</v>
      </c>
      <c r="F21" s="701">
        <v>135</v>
      </c>
      <c r="G21" s="1107">
        <v>1489</v>
      </c>
      <c r="H21" s="701">
        <v>142785</v>
      </c>
      <c r="I21" s="2339">
        <v>3910</v>
      </c>
      <c r="J21" s="1107">
        <v>146695</v>
      </c>
      <c r="K21" s="701">
        <v>29342</v>
      </c>
      <c r="L21" s="701">
        <v>20207</v>
      </c>
      <c r="M21" s="1107">
        <v>49549</v>
      </c>
      <c r="N21" s="701">
        <v>111.33011766130498</v>
      </c>
      <c r="O21" s="701">
        <v>76.669882338695032</v>
      </c>
      <c r="P21" s="1107">
        <v>188</v>
      </c>
      <c r="Q21" s="701">
        <v>29453.330117661306</v>
      </c>
      <c r="R21" s="2339">
        <v>20283.669882338694</v>
      </c>
      <c r="S21" s="1107">
        <v>49737</v>
      </c>
      <c r="T21" s="701"/>
      <c r="U21" s="701"/>
      <c r="V21" s="1107"/>
      <c r="W21" s="701"/>
      <c r="X21" s="2339"/>
      <c r="Y21" s="1107"/>
      <c r="Z21" s="701">
        <v>172238.3301176613</v>
      </c>
      <c r="AA21" s="701">
        <v>24193.669882338694</v>
      </c>
      <c r="AB21" s="1107">
        <v>196432</v>
      </c>
    </row>
    <row r="22" spans="1:28" x14ac:dyDescent="0.3">
      <c r="A22" s="669">
        <v>2015</v>
      </c>
      <c r="B22" s="2104">
        <v>10091</v>
      </c>
      <c r="C22" s="2112">
        <v>164</v>
      </c>
      <c r="D22" s="1107">
        <v>10255</v>
      </c>
      <c r="E22" s="701">
        <v>180</v>
      </c>
      <c r="F22" s="2112">
        <v>6</v>
      </c>
      <c r="G22" s="1107">
        <v>186</v>
      </c>
      <c r="H22" s="701">
        <v>10271</v>
      </c>
      <c r="I22" s="2339">
        <v>170</v>
      </c>
      <c r="J22" s="1107">
        <v>10441</v>
      </c>
      <c r="K22" s="701">
        <v>14257</v>
      </c>
      <c r="L22" s="2112">
        <v>0</v>
      </c>
      <c r="M22" s="1107">
        <v>14257</v>
      </c>
      <c r="N22" s="701">
        <v>150</v>
      </c>
      <c r="O22" s="2112">
        <v>0</v>
      </c>
      <c r="P22" s="1107">
        <v>150</v>
      </c>
      <c r="Q22" s="701">
        <v>14407</v>
      </c>
      <c r="R22" s="2339">
        <v>0</v>
      </c>
      <c r="S22" s="1107">
        <v>14407</v>
      </c>
      <c r="T22" s="701"/>
      <c r="U22" s="701"/>
      <c r="V22" s="1107"/>
      <c r="W22" s="701"/>
      <c r="X22" s="2339"/>
      <c r="Y22" s="1107"/>
      <c r="Z22" s="701">
        <v>24678</v>
      </c>
      <c r="AA22" s="701">
        <v>170</v>
      </c>
      <c r="AB22" s="1107">
        <v>24848</v>
      </c>
    </row>
    <row r="23" spans="1:28" x14ac:dyDescent="0.3">
      <c r="A23" s="669">
        <v>2016</v>
      </c>
      <c r="B23" s="2104">
        <v>53901</v>
      </c>
      <c r="C23" s="2112">
        <v>380</v>
      </c>
      <c r="D23" s="1107">
        <v>54281</v>
      </c>
      <c r="E23" s="701">
        <v>0</v>
      </c>
      <c r="F23" s="2112">
        <v>0</v>
      </c>
      <c r="G23" s="1107">
        <v>531.56600000000003</v>
      </c>
      <c r="H23" s="701">
        <v>53901</v>
      </c>
      <c r="I23" s="2339">
        <v>380</v>
      </c>
      <c r="J23" s="1107">
        <v>54812.565999999999</v>
      </c>
      <c r="K23" s="701">
        <v>36612</v>
      </c>
      <c r="L23" s="2112">
        <v>241</v>
      </c>
      <c r="M23" s="1107">
        <v>36853</v>
      </c>
      <c r="N23" s="701"/>
      <c r="O23" s="2112"/>
      <c r="P23" s="1107"/>
      <c r="Q23" s="701">
        <v>36612</v>
      </c>
      <c r="R23" s="2339">
        <v>241</v>
      </c>
      <c r="S23" s="1107">
        <v>36853</v>
      </c>
      <c r="T23" s="701"/>
      <c r="U23" s="701"/>
      <c r="V23" s="1107"/>
      <c r="W23" s="701"/>
      <c r="X23" s="2339"/>
      <c r="Y23" s="1107"/>
      <c r="Z23" s="701">
        <v>90513</v>
      </c>
      <c r="AA23" s="701">
        <v>621</v>
      </c>
      <c r="AB23" s="1107">
        <v>91665.565999999992</v>
      </c>
    </row>
    <row r="24" spans="1:28" x14ac:dyDescent="0.3">
      <c r="A24" s="669">
        <v>2017</v>
      </c>
      <c r="B24" s="2104">
        <v>9893</v>
      </c>
      <c r="C24" s="2112">
        <v>0</v>
      </c>
      <c r="D24" s="1107">
        <v>9893</v>
      </c>
      <c r="E24" s="701">
        <v>165</v>
      </c>
      <c r="F24" s="2112">
        <v>0</v>
      </c>
      <c r="G24" s="1107">
        <v>165</v>
      </c>
      <c r="H24" s="701">
        <v>10058</v>
      </c>
      <c r="I24" s="2339">
        <v>0</v>
      </c>
      <c r="J24" s="1107">
        <v>10058</v>
      </c>
      <c r="K24" s="701">
        <v>27050</v>
      </c>
      <c r="L24" s="2112">
        <v>86</v>
      </c>
      <c r="M24" s="1107">
        <v>27136</v>
      </c>
      <c r="N24" s="701"/>
      <c r="O24" s="2112"/>
      <c r="P24" s="1107"/>
      <c r="Q24" s="701">
        <v>27050</v>
      </c>
      <c r="R24" s="2339">
        <v>86</v>
      </c>
      <c r="S24" s="1107">
        <v>27136</v>
      </c>
      <c r="T24" s="701"/>
      <c r="U24" s="701"/>
      <c r="V24" s="1107"/>
      <c r="W24" s="701"/>
      <c r="X24" s="2339"/>
      <c r="Y24" s="1107"/>
      <c r="Z24" s="701">
        <v>37108</v>
      </c>
      <c r="AA24" s="701">
        <v>86</v>
      </c>
      <c r="AB24" s="1107">
        <v>37194</v>
      </c>
    </row>
    <row r="25" spans="1:28" x14ac:dyDescent="0.3">
      <c r="A25" s="669">
        <v>2018</v>
      </c>
      <c r="B25" s="2104">
        <v>30540</v>
      </c>
      <c r="C25" s="701">
        <v>215</v>
      </c>
      <c r="D25" s="1107">
        <v>30755</v>
      </c>
      <c r="E25" s="701">
        <v>246</v>
      </c>
      <c r="F25" s="701">
        <v>4</v>
      </c>
      <c r="G25" s="1107">
        <v>250</v>
      </c>
      <c r="H25" s="701">
        <v>30786</v>
      </c>
      <c r="I25" s="2339">
        <v>219</v>
      </c>
      <c r="J25" s="1107">
        <v>31005</v>
      </c>
      <c r="K25" s="701">
        <v>36660</v>
      </c>
      <c r="L25" s="701">
        <v>4597</v>
      </c>
      <c r="M25" s="1107">
        <v>41257</v>
      </c>
      <c r="N25" s="701">
        <v>376</v>
      </c>
      <c r="O25" s="701">
        <v>113</v>
      </c>
      <c r="P25" s="1107">
        <v>489</v>
      </c>
      <c r="Q25" s="701">
        <v>37036</v>
      </c>
      <c r="R25" s="2339">
        <v>4710</v>
      </c>
      <c r="S25" s="1107">
        <v>41746</v>
      </c>
      <c r="T25" s="701"/>
      <c r="U25" s="701"/>
      <c r="V25" s="1107"/>
      <c r="W25" s="701"/>
      <c r="X25" s="2339"/>
      <c r="Y25" s="1107"/>
      <c r="Z25" s="701">
        <v>67822</v>
      </c>
      <c r="AA25" s="701">
        <v>4929</v>
      </c>
      <c r="AB25" s="1107">
        <v>72751</v>
      </c>
    </row>
    <row r="26" spans="1:28" x14ac:dyDescent="0.3">
      <c r="A26" s="669">
        <v>2019</v>
      </c>
      <c r="B26" s="2104">
        <v>12370.00835</v>
      </c>
      <c r="C26" s="701">
        <v>542.99164999999994</v>
      </c>
      <c r="D26" s="1107">
        <v>12913</v>
      </c>
      <c r="E26" s="701">
        <v>0</v>
      </c>
      <c r="F26" s="701">
        <v>0</v>
      </c>
      <c r="G26" s="1107">
        <v>54</v>
      </c>
      <c r="H26" s="701">
        <v>12370.00835</v>
      </c>
      <c r="I26" s="2339">
        <v>542.99164999999994</v>
      </c>
      <c r="J26" s="1107">
        <v>12967</v>
      </c>
      <c r="K26" s="701">
        <v>5843</v>
      </c>
      <c r="L26" s="701">
        <v>4332</v>
      </c>
      <c r="M26" s="1107">
        <v>10175</v>
      </c>
      <c r="N26" s="701"/>
      <c r="O26" s="701"/>
      <c r="P26" s="1107"/>
      <c r="Q26" s="701">
        <v>5843</v>
      </c>
      <c r="R26" s="2339">
        <v>4332</v>
      </c>
      <c r="S26" s="1107">
        <v>10175</v>
      </c>
      <c r="T26" s="701"/>
      <c r="U26" s="701"/>
      <c r="V26" s="1107"/>
      <c r="W26" s="701"/>
      <c r="X26" s="2339"/>
      <c r="Y26" s="1107"/>
      <c r="Z26" s="701">
        <v>18213.00835</v>
      </c>
      <c r="AA26" s="701">
        <v>4874.9916499999999</v>
      </c>
      <c r="AB26" s="1107">
        <v>23142</v>
      </c>
    </row>
    <row r="27" spans="1:28" x14ac:dyDescent="0.3">
      <c r="A27" s="669">
        <v>2020</v>
      </c>
      <c r="B27" s="2104">
        <v>45301</v>
      </c>
      <c r="C27" s="701">
        <v>1209</v>
      </c>
      <c r="D27" s="1107">
        <v>46510</v>
      </c>
      <c r="E27" s="701">
        <v>1402</v>
      </c>
      <c r="F27" s="701">
        <v>39</v>
      </c>
      <c r="G27" s="1107">
        <v>1441</v>
      </c>
      <c r="H27" s="701">
        <v>46703</v>
      </c>
      <c r="I27" s="2339">
        <v>1248</v>
      </c>
      <c r="J27" s="1107">
        <v>47951</v>
      </c>
      <c r="K27" s="701">
        <v>22607</v>
      </c>
      <c r="L27" s="701">
        <v>5762</v>
      </c>
      <c r="M27" s="1107">
        <v>28369</v>
      </c>
      <c r="N27" s="701">
        <v>161</v>
      </c>
      <c r="O27" s="701">
        <v>11334</v>
      </c>
      <c r="P27" s="1107">
        <v>11495</v>
      </c>
      <c r="Q27" s="701">
        <v>22768</v>
      </c>
      <c r="R27" s="2339">
        <v>17096</v>
      </c>
      <c r="S27" s="1107">
        <v>39864</v>
      </c>
      <c r="T27" s="701"/>
      <c r="U27" s="701"/>
      <c r="V27" s="1107"/>
      <c r="W27" s="701"/>
      <c r="X27" s="2339"/>
      <c r="Y27" s="1107"/>
      <c r="Z27" s="701">
        <v>69471</v>
      </c>
      <c r="AA27" s="701">
        <v>18344</v>
      </c>
      <c r="AB27" s="1107">
        <v>87815</v>
      </c>
    </row>
    <row r="28" spans="1:28" x14ac:dyDescent="0.3">
      <c r="A28" s="669">
        <v>2021</v>
      </c>
      <c r="B28" s="2104">
        <v>9767</v>
      </c>
      <c r="C28" s="701">
        <v>690</v>
      </c>
      <c r="D28" s="1107">
        <v>10457</v>
      </c>
      <c r="E28" s="701">
        <v>38</v>
      </c>
      <c r="F28" s="701">
        <v>2</v>
      </c>
      <c r="G28" s="1107">
        <v>40</v>
      </c>
      <c r="H28" s="701">
        <v>9805</v>
      </c>
      <c r="I28" s="2339">
        <v>692</v>
      </c>
      <c r="J28" s="1107">
        <v>10497</v>
      </c>
      <c r="K28" s="701">
        <v>7136</v>
      </c>
      <c r="L28" s="701">
        <v>1551</v>
      </c>
      <c r="M28" s="1107">
        <v>8687</v>
      </c>
      <c r="N28" s="701"/>
      <c r="O28" s="701"/>
      <c r="P28" s="1107"/>
      <c r="Q28" s="701">
        <v>7136</v>
      </c>
      <c r="R28" s="2339">
        <v>1551</v>
      </c>
      <c r="S28" s="1107">
        <v>8687</v>
      </c>
      <c r="T28" s="701"/>
      <c r="U28" s="701"/>
      <c r="V28" s="1107"/>
      <c r="W28" s="701"/>
      <c r="X28" s="2339"/>
      <c r="Y28" s="1107"/>
      <c r="Z28" s="701">
        <v>16941</v>
      </c>
      <c r="AA28" s="701">
        <v>2243</v>
      </c>
      <c r="AB28" s="1107">
        <v>19184</v>
      </c>
    </row>
    <row r="29" spans="1:28" x14ac:dyDescent="0.3">
      <c r="A29" s="669">
        <v>2022</v>
      </c>
      <c r="B29" s="701">
        <v>0</v>
      </c>
      <c r="C29" s="701">
        <v>0</v>
      </c>
      <c r="D29" s="1107">
        <v>0</v>
      </c>
      <c r="E29" s="701">
        <v>0</v>
      </c>
      <c r="F29" s="701">
        <v>0</v>
      </c>
      <c r="G29" s="1107">
        <v>0</v>
      </c>
      <c r="H29" s="701">
        <v>0</v>
      </c>
      <c r="I29" s="2339">
        <v>0</v>
      </c>
      <c r="J29" s="1107">
        <v>0</v>
      </c>
      <c r="K29" s="701"/>
      <c r="L29" s="701"/>
      <c r="M29" s="1107">
        <v>29312</v>
      </c>
      <c r="N29" s="701"/>
      <c r="O29" s="701"/>
      <c r="P29" s="1107"/>
      <c r="Q29" s="701"/>
      <c r="R29" s="2339"/>
      <c r="S29" s="1107">
        <v>29312</v>
      </c>
      <c r="T29" s="701"/>
      <c r="U29" s="701"/>
      <c r="V29" s="1107"/>
      <c r="W29" s="701"/>
      <c r="X29" s="2339"/>
      <c r="Y29" s="1107"/>
      <c r="Z29" s="701">
        <v>0</v>
      </c>
      <c r="AA29" s="701">
        <v>0</v>
      </c>
      <c r="AB29" s="1107">
        <v>29312</v>
      </c>
    </row>
    <row r="30" spans="1:28" x14ac:dyDescent="0.3">
      <c r="A30" s="669">
        <v>2023</v>
      </c>
      <c r="B30" s="701"/>
      <c r="C30" s="701"/>
      <c r="D30" s="1107"/>
      <c r="E30" s="701"/>
      <c r="F30" s="701"/>
      <c r="G30" s="1107"/>
      <c r="H30" s="701"/>
      <c r="I30" s="2339"/>
      <c r="J30" s="1107"/>
      <c r="K30" s="701"/>
      <c r="L30" s="701"/>
      <c r="M30" s="1107"/>
      <c r="N30" s="701"/>
      <c r="O30" s="701"/>
      <c r="P30" s="1107"/>
      <c r="Q30" s="701"/>
      <c r="R30" s="2339"/>
      <c r="S30" s="1107"/>
      <c r="T30" s="701"/>
      <c r="U30" s="701"/>
      <c r="V30" s="1107"/>
      <c r="W30" s="701"/>
      <c r="X30" s="2339"/>
      <c r="Y30" s="1107"/>
      <c r="Z30" s="701"/>
      <c r="AA30" s="701"/>
      <c r="AB30" s="1107"/>
    </row>
    <row r="31" spans="1:28" ht="15" thickBot="1" x14ac:dyDescent="0.35">
      <c r="A31" s="669" t="s">
        <v>966</v>
      </c>
      <c r="B31" s="701"/>
      <c r="C31" s="701"/>
      <c r="D31" s="1107"/>
      <c r="E31" s="701"/>
      <c r="F31" s="701"/>
      <c r="G31" s="1107"/>
      <c r="H31" s="701"/>
      <c r="I31" s="2339"/>
      <c r="J31" s="1107"/>
      <c r="K31" s="701"/>
      <c r="L31" s="701"/>
      <c r="M31" s="1107"/>
      <c r="N31" s="701"/>
      <c r="O31" s="701"/>
      <c r="P31" s="1107"/>
      <c r="Q31" s="701"/>
      <c r="R31" s="2339"/>
      <c r="S31" s="1107"/>
      <c r="T31" s="701"/>
      <c r="U31" s="701"/>
      <c r="V31" s="1107"/>
      <c r="W31" s="701"/>
      <c r="X31" s="2339"/>
      <c r="Y31" s="1107"/>
      <c r="Z31" s="701"/>
      <c r="AA31" s="701"/>
      <c r="AB31" s="1107"/>
    </row>
    <row r="32" spans="1:28" ht="15" thickBot="1" x14ac:dyDescent="0.35">
      <c r="A32" s="2324" t="s">
        <v>221</v>
      </c>
      <c r="B32" s="1389">
        <v>981940.67535000003</v>
      </c>
      <c r="C32" s="1390">
        <v>36477.324649999995</v>
      </c>
      <c r="D32" s="1853">
        <v>1018418</v>
      </c>
      <c r="E32" s="1391">
        <v>24716</v>
      </c>
      <c r="F32" s="1390">
        <v>8242</v>
      </c>
      <c r="G32" s="1853">
        <v>33543.565999999999</v>
      </c>
      <c r="H32" s="1389">
        <v>1006656.67535</v>
      </c>
      <c r="I32" s="2341">
        <v>44719.324649999995</v>
      </c>
      <c r="J32" s="1853">
        <v>1051961.5660000001</v>
      </c>
      <c r="K32" s="1390">
        <v>190436.8</v>
      </c>
      <c r="L32" s="1390">
        <v>68623.199999999997</v>
      </c>
      <c r="M32" s="1853">
        <v>288372</v>
      </c>
      <c r="N32" s="1390">
        <v>798.33011766130494</v>
      </c>
      <c r="O32" s="1390">
        <v>11523.669882338694</v>
      </c>
      <c r="P32" s="1853">
        <v>12322</v>
      </c>
      <c r="Q32" s="1389">
        <v>191235.13011766132</v>
      </c>
      <c r="R32" s="2341">
        <v>80146.869882338695</v>
      </c>
      <c r="S32" s="1853">
        <v>300694</v>
      </c>
      <c r="T32" s="1390"/>
      <c r="U32" s="1390"/>
      <c r="V32" s="1853"/>
      <c r="W32" s="1390"/>
      <c r="X32" s="2341"/>
      <c r="Y32" s="1853"/>
      <c r="Z32" s="1390">
        <v>1197891.8054676612</v>
      </c>
      <c r="AA32" s="1390">
        <v>124866.19453233869</v>
      </c>
      <c r="AB32" s="1853">
        <v>1352655.5660000001</v>
      </c>
    </row>
    <row r="50" spans="3:7" x14ac:dyDescent="0.3">
      <c r="C50" s="1008"/>
    </row>
    <row r="51" spans="3:7" x14ac:dyDescent="0.3">
      <c r="C51" s="1008"/>
      <c r="G51" s="1008"/>
    </row>
    <row r="52" spans="3:7" ht="15" thickBot="1" x14ac:dyDescent="0.35">
      <c r="C52" s="1008"/>
    </row>
    <row r="53" spans="3:7" ht="15" thickBot="1" x14ac:dyDescent="0.35"/>
    <row r="61" spans="3:7" ht="15" thickBot="1" x14ac:dyDescent="0.35"/>
    <row r="62" spans="3:7" ht="15" thickBot="1" x14ac:dyDescent="0.35"/>
    <row r="63" spans="3:7" ht="15" thickBot="1" x14ac:dyDescent="0.35"/>
    <row r="64" spans="3:7" ht="15" thickBot="1" x14ac:dyDescent="0.35"/>
  </sheetData>
  <sheetProtection formatCells="0" formatColumns="0" formatRows="0"/>
  <mergeCells count="1">
    <mergeCell ref="A2:V2"/>
  </mergeCells>
  <pageMargins left="0.7" right="0.7" top="0.75" bottom="0.75" header="0.3" footer="0.3"/>
  <legacy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3965F2-9475-48C8-BAAA-8E534789471A}">
  <sheetPr>
    <tabColor theme="5" tint="0.79998168889431442"/>
  </sheetPr>
  <dimension ref="A2:Q35"/>
  <sheetViews>
    <sheetView workbookViewId="0">
      <selection activeCell="D22" sqref="D22"/>
    </sheetView>
  </sheetViews>
  <sheetFormatPr defaultRowHeight="14.4" x14ac:dyDescent="0.3"/>
  <cols>
    <col min="4" max="4" width="9.44140625" bestFit="1" customWidth="1"/>
  </cols>
  <sheetData>
    <row r="2" spans="1:17" ht="18" x14ac:dyDescent="0.35">
      <c r="A2" s="2636" t="s">
        <v>976</v>
      </c>
      <c r="B2" s="2636"/>
      <c r="C2" s="2636"/>
      <c r="D2" s="2636"/>
      <c r="E2" s="2636"/>
      <c r="F2" s="2636"/>
      <c r="G2" s="2636"/>
      <c r="H2" s="2636"/>
      <c r="I2" s="2636"/>
      <c r="J2" s="2636" t="s">
        <v>977</v>
      </c>
      <c r="K2" s="2636"/>
      <c r="L2" s="2636"/>
      <c r="M2" s="2636"/>
      <c r="N2" s="2636"/>
      <c r="O2" s="2636"/>
      <c r="P2" s="2636"/>
      <c r="Q2" s="2636"/>
    </row>
    <row r="3" spans="1:17" ht="15" thickBot="1" x14ac:dyDescent="0.35"/>
    <row r="4" spans="1:17" ht="15" thickBot="1" x14ac:dyDescent="0.35">
      <c r="A4" s="1897" t="s">
        <v>383</v>
      </c>
      <c r="B4" s="1889" t="s">
        <v>978</v>
      </c>
      <c r="C4" s="1598" t="s">
        <v>979</v>
      </c>
      <c r="D4" s="1890" t="s">
        <v>980</v>
      </c>
      <c r="E4" s="1889" t="s">
        <v>981</v>
      </c>
      <c r="F4" s="1598" t="s">
        <v>982</v>
      </c>
      <c r="G4" s="1905" t="s">
        <v>983</v>
      </c>
      <c r="H4" s="1889" t="s">
        <v>984</v>
      </c>
      <c r="I4" s="1890" t="s">
        <v>985</v>
      </c>
      <c r="K4" s="1888" t="s">
        <v>383</v>
      </c>
      <c r="L4" s="1889" t="s">
        <v>986</v>
      </c>
      <c r="M4" s="1598" t="s">
        <v>987</v>
      </c>
      <c r="N4" s="1598" t="s">
        <v>988</v>
      </c>
      <c r="O4" s="1598" t="s">
        <v>989</v>
      </c>
      <c r="P4" s="1890" t="s">
        <v>990</v>
      </c>
    </row>
    <row r="5" spans="1:17" x14ac:dyDescent="0.3">
      <c r="A5" s="1898">
        <v>2000</v>
      </c>
      <c r="B5" s="1592">
        <v>21838</v>
      </c>
      <c r="C5" s="702">
        <v>0</v>
      </c>
      <c r="D5" s="1601">
        <v>21838</v>
      </c>
      <c r="E5" s="1592"/>
      <c r="F5" s="702"/>
      <c r="G5" s="1602"/>
      <c r="H5" s="1829">
        <f>D5/(G5+D5)</f>
        <v>1</v>
      </c>
      <c r="I5" s="1594">
        <f t="shared" ref="I5:I27" si="0">G5/(G5+D5)</f>
        <v>0</v>
      </c>
      <c r="K5" s="1742">
        <v>2000</v>
      </c>
      <c r="L5" s="1592">
        <v>21838</v>
      </c>
      <c r="M5" s="702">
        <v>0</v>
      </c>
      <c r="N5" s="1634">
        <v>21838</v>
      </c>
      <c r="O5" s="1766">
        <f>L5/N5</f>
        <v>1</v>
      </c>
      <c r="P5" s="1594">
        <f t="shared" ref="P5:P27" si="1">M5/N5</f>
        <v>0</v>
      </c>
    </row>
    <row r="6" spans="1:17" x14ac:dyDescent="0.3">
      <c r="A6" s="775">
        <v>2001</v>
      </c>
      <c r="B6" s="1280">
        <v>39024</v>
      </c>
      <c r="C6" s="701">
        <v>0</v>
      </c>
      <c r="D6" s="1902">
        <v>39024</v>
      </c>
      <c r="E6" s="1280"/>
      <c r="F6" s="701"/>
      <c r="G6" s="1886"/>
      <c r="H6" s="1827">
        <f t="shared" ref="H6:H27" si="2">D6/(G6+D6)</f>
        <v>1</v>
      </c>
      <c r="I6" s="1283">
        <f t="shared" si="0"/>
        <v>0</v>
      </c>
      <c r="K6" s="1591">
        <v>2001</v>
      </c>
      <c r="L6" s="1280">
        <v>39024</v>
      </c>
      <c r="M6" s="701">
        <v>0</v>
      </c>
      <c r="N6" s="1636">
        <v>39024</v>
      </c>
      <c r="O6" s="1763">
        <f t="shared" ref="O6:O27" si="3">L6/N6</f>
        <v>1</v>
      </c>
      <c r="P6" s="1283">
        <f t="shared" si="1"/>
        <v>0</v>
      </c>
    </row>
    <row r="7" spans="1:17" x14ac:dyDescent="0.3">
      <c r="A7" s="775">
        <v>2002</v>
      </c>
      <c r="B7" s="1280">
        <v>3560</v>
      </c>
      <c r="C7" s="701">
        <v>0</v>
      </c>
      <c r="D7" s="1902">
        <v>3560</v>
      </c>
      <c r="E7" s="1280"/>
      <c r="F7" s="701"/>
      <c r="G7" s="1886"/>
      <c r="H7" s="1827">
        <f t="shared" si="2"/>
        <v>1</v>
      </c>
      <c r="I7" s="1283">
        <f t="shared" si="0"/>
        <v>0</v>
      </c>
      <c r="K7" s="1591">
        <v>2002</v>
      </c>
      <c r="L7" s="1280">
        <v>3560</v>
      </c>
      <c r="M7" s="701">
        <v>0</v>
      </c>
      <c r="N7" s="1636">
        <v>3560</v>
      </c>
      <c r="O7" s="1763">
        <f t="shared" si="3"/>
        <v>1</v>
      </c>
      <c r="P7" s="1283">
        <f t="shared" si="1"/>
        <v>0</v>
      </c>
    </row>
    <row r="8" spans="1:17" x14ac:dyDescent="0.3">
      <c r="A8" s="775">
        <v>2003</v>
      </c>
      <c r="B8" s="1280">
        <v>17753</v>
      </c>
      <c r="C8" s="701">
        <v>0</v>
      </c>
      <c r="D8" s="1902">
        <v>17753</v>
      </c>
      <c r="E8" s="1280"/>
      <c r="F8" s="701"/>
      <c r="G8" s="1886"/>
      <c r="H8" s="1827">
        <f t="shared" si="2"/>
        <v>1</v>
      </c>
      <c r="I8" s="1283">
        <f t="shared" si="0"/>
        <v>0</v>
      </c>
      <c r="K8" s="1591">
        <v>2003</v>
      </c>
      <c r="L8" s="1280">
        <v>17753</v>
      </c>
      <c r="M8" s="701">
        <v>0</v>
      </c>
      <c r="N8" s="1636">
        <v>17753</v>
      </c>
      <c r="O8" s="1763">
        <f t="shared" si="3"/>
        <v>1</v>
      </c>
      <c r="P8" s="1283">
        <f t="shared" si="1"/>
        <v>0</v>
      </c>
    </row>
    <row r="9" spans="1:17" x14ac:dyDescent="0.3">
      <c r="A9" s="775">
        <v>2004</v>
      </c>
      <c r="B9" s="1280">
        <v>41791</v>
      </c>
      <c r="C9" s="701">
        <v>0</v>
      </c>
      <c r="D9" s="1902">
        <v>41791</v>
      </c>
      <c r="E9" s="1280"/>
      <c r="F9" s="701"/>
      <c r="G9" s="1886"/>
      <c r="H9" s="1827">
        <f t="shared" si="2"/>
        <v>1</v>
      </c>
      <c r="I9" s="1283">
        <f t="shared" si="0"/>
        <v>0</v>
      </c>
      <c r="K9" s="1591">
        <v>2004</v>
      </c>
      <c r="L9" s="1280">
        <v>41791</v>
      </c>
      <c r="M9" s="701">
        <v>0</v>
      </c>
      <c r="N9" s="1636">
        <v>41791</v>
      </c>
      <c r="O9" s="1763">
        <f t="shared" si="3"/>
        <v>1</v>
      </c>
      <c r="P9" s="1283">
        <f t="shared" si="1"/>
        <v>0</v>
      </c>
    </row>
    <row r="10" spans="1:17" x14ac:dyDescent="0.3">
      <c r="A10" s="775">
        <v>2005</v>
      </c>
      <c r="B10" s="1280">
        <v>31260</v>
      </c>
      <c r="C10" s="701">
        <v>0</v>
      </c>
      <c r="D10" s="1902">
        <v>31260</v>
      </c>
      <c r="E10" s="1280"/>
      <c r="F10" s="701"/>
      <c r="G10" s="1886"/>
      <c r="H10" s="1827">
        <f t="shared" si="2"/>
        <v>1</v>
      </c>
      <c r="I10" s="1283">
        <f t="shared" si="0"/>
        <v>0</v>
      </c>
      <c r="K10" s="1591">
        <v>2005</v>
      </c>
      <c r="L10" s="1280">
        <v>31260</v>
      </c>
      <c r="M10" s="701">
        <v>0</v>
      </c>
      <c r="N10" s="1636">
        <v>31260</v>
      </c>
      <c r="O10" s="1763">
        <f t="shared" si="3"/>
        <v>1</v>
      </c>
      <c r="P10" s="1283">
        <f t="shared" si="1"/>
        <v>0</v>
      </c>
    </row>
    <row r="11" spans="1:17" x14ac:dyDescent="0.3">
      <c r="A11" s="775">
        <v>2006</v>
      </c>
      <c r="B11" s="1280">
        <v>20819</v>
      </c>
      <c r="C11" s="701">
        <v>0</v>
      </c>
      <c r="D11" s="1902">
        <v>20819</v>
      </c>
      <c r="E11" s="1280"/>
      <c r="F11" s="701"/>
      <c r="G11" s="1886"/>
      <c r="H11" s="1827">
        <f t="shared" si="2"/>
        <v>1</v>
      </c>
      <c r="I11" s="1283">
        <f t="shared" si="0"/>
        <v>0</v>
      </c>
      <c r="K11" s="1591">
        <v>2006</v>
      </c>
      <c r="L11" s="1280">
        <v>20819</v>
      </c>
      <c r="M11" s="701">
        <v>0</v>
      </c>
      <c r="N11" s="1636">
        <v>20819</v>
      </c>
      <c r="O11" s="1763">
        <f t="shared" si="3"/>
        <v>1</v>
      </c>
      <c r="P11" s="1283">
        <f t="shared" si="1"/>
        <v>0</v>
      </c>
    </row>
    <row r="12" spans="1:17" x14ac:dyDescent="0.3">
      <c r="A12" s="775">
        <v>2007</v>
      </c>
      <c r="B12" s="1280">
        <v>11871</v>
      </c>
      <c r="C12" s="701">
        <v>1619</v>
      </c>
      <c r="D12" s="1902">
        <v>13490</v>
      </c>
      <c r="E12" s="1280"/>
      <c r="F12" s="701"/>
      <c r="G12" s="1886"/>
      <c r="H12" s="1827">
        <f t="shared" si="2"/>
        <v>1</v>
      </c>
      <c r="I12" s="1283">
        <f t="shared" si="0"/>
        <v>0</v>
      </c>
      <c r="K12" s="1591">
        <v>2007</v>
      </c>
      <c r="L12" s="1280">
        <v>11871</v>
      </c>
      <c r="M12" s="701">
        <v>1619</v>
      </c>
      <c r="N12" s="1636">
        <v>13490</v>
      </c>
      <c r="O12" s="1040">
        <f t="shared" si="3"/>
        <v>0.8799851742031134</v>
      </c>
      <c r="P12" s="1283">
        <f t="shared" si="1"/>
        <v>0.12001482579688658</v>
      </c>
    </row>
    <row r="13" spans="1:17" x14ac:dyDescent="0.3">
      <c r="A13" s="775">
        <v>2008</v>
      </c>
      <c r="B13" s="1280">
        <v>118973</v>
      </c>
      <c r="C13" s="701">
        <v>7999</v>
      </c>
      <c r="D13" s="1902">
        <v>126972</v>
      </c>
      <c r="E13" s="1280"/>
      <c r="F13" s="701"/>
      <c r="G13" s="1886"/>
      <c r="H13" s="1827">
        <f t="shared" si="2"/>
        <v>1</v>
      </c>
      <c r="I13" s="1283">
        <f t="shared" si="0"/>
        <v>0</v>
      </c>
      <c r="K13" s="1591">
        <v>2008</v>
      </c>
      <c r="L13" s="1280">
        <v>118973</v>
      </c>
      <c r="M13" s="701">
        <v>7999</v>
      </c>
      <c r="N13" s="1636">
        <v>126972</v>
      </c>
      <c r="O13" s="1040">
        <f t="shared" si="3"/>
        <v>0.93700185867750374</v>
      </c>
      <c r="P13" s="1283">
        <f t="shared" si="1"/>
        <v>6.2998141322496301E-2</v>
      </c>
    </row>
    <row r="14" spans="1:17" x14ac:dyDescent="0.3">
      <c r="A14" s="775">
        <v>2009</v>
      </c>
      <c r="B14" s="1280">
        <v>58923</v>
      </c>
      <c r="C14" s="701">
        <v>9130</v>
      </c>
      <c r="D14" s="1902">
        <v>68053</v>
      </c>
      <c r="E14" s="1280"/>
      <c r="F14" s="701"/>
      <c r="G14" s="1886"/>
      <c r="H14" s="1827">
        <f t="shared" si="2"/>
        <v>1</v>
      </c>
      <c r="I14" s="1283">
        <f t="shared" si="0"/>
        <v>0</v>
      </c>
      <c r="K14" s="1591">
        <v>2009</v>
      </c>
      <c r="L14" s="1280">
        <v>58923</v>
      </c>
      <c r="M14" s="701">
        <v>9130</v>
      </c>
      <c r="N14" s="1636">
        <v>68053</v>
      </c>
      <c r="O14" s="1040">
        <f t="shared" si="3"/>
        <v>0.86583986010903269</v>
      </c>
      <c r="P14" s="1283">
        <f t="shared" si="1"/>
        <v>0.13416013989096734</v>
      </c>
    </row>
    <row r="15" spans="1:17" x14ac:dyDescent="0.3">
      <c r="A15" s="775">
        <v>2010</v>
      </c>
      <c r="B15" s="1280">
        <v>191461</v>
      </c>
      <c r="C15" s="701">
        <v>8500</v>
      </c>
      <c r="D15" s="1902">
        <v>199961</v>
      </c>
      <c r="E15" s="1280"/>
      <c r="F15" s="701"/>
      <c r="G15" s="1886"/>
      <c r="H15" s="1827">
        <f t="shared" si="2"/>
        <v>1</v>
      </c>
      <c r="I15" s="1283">
        <f t="shared" si="0"/>
        <v>0</v>
      </c>
      <c r="K15" s="1591">
        <v>2010</v>
      </c>
      <c r="L15" s="1280">
        <v>191461</v>
      </c>
      <c r="M15" s="701">
        <v>8500</v>
      </c>
      <c r="N15" s="1636">
        <v>199961</v>
      </c>
      <c r="O15" s="1040">
        <f t="shared" si="3"/>
        <v>0.95749171088362228</v>
      </c>
      <c r="P15" s="1283">
        <f t="shared" si="1"/>
        <v>4.2508289116377697E-2</v>
      </c>
    </row>
    <row r="16" spans="1:17" x14ac:dyDescent="0.3">
      <c r="A16" s="775">
        <v>2011</v>
      </c>
      <c r="B16" s="1280">
        <v>11917.666999999999</v>
      </c>
      <c r="C16" s="701">
        <v>1103.3330000000001</v>
      </c>
      <c r="D16" s="1902">
        <v>13021</v>
      </c>
      <c r="E16" s="1280">
        <v>4575.7999999999993</v>
      </c>
      <c r="F16" s="701">
        <v>18303.2</v>
      </c>
      <c r="G16" s="1886">
        <v>22879</v>
      </c>
      <c r="H16" s="1827">
        <f t="shared" si="2"/>
        <v>0.36270194986072424</v>
      </c>
      <c r="I16" s="1283">
        <f t="shared" si="0"/>
        <v>0.63729805013927576</v>
      </c>
      <c r="K16" s="1591">
        <v>2011</v>
      </c>
      <c r="L16" s="1280">
        <v>16493.466999999997</v>
      </c>
      <c r="M16" s="701">
        <v>19406.532999999999</v>
      </c>
      <c r="N16" s="1636">
        <v>35900</v>
      </c>
      <c r="O16" s="1040">
        <f t="shared" si="3"/>
        <v>0.45942805013927568</v>
      </c>
      <c r="P16" s="1283">
        <f t="shared" si="1"/>
        <v>0.54057194986072421</v>
      </c>
    </row>
    <row r="17" spans="1:16" x14ac:dyDescent="0.3">
      <c r="A17" s="775">
        <v>2012</v>
      </c>
      <c r="B17" s="1280">
        <v>91361</v>
      </c>
      <c r="C17" s="701">
        <v>2704</v>
      </c>
      <c r="D17" s="1902">
        <v>94065</v>
      </c>
      <c r="E17" s="1280">
        <v>2737</v>
      </c>
      <c r="F17" s="701">
        <v>8257</v>
      </c>
      <c r="G17" s="1886">
        <v>10994</v>
      </c>
      <c r="H17" s="1827">
        <f t="shared" si="2"/>
        <v>0.89535403915894873</v>
      </c>
      <c r="I17" s="1283">
        <f t="shared" si="0"/>
        <v>0.10464596084105122</v>
      </c>
      <c r="K17" s="1591">
        <v>2012</v>
      </c>
      <c r="L17" s="1280">
        <v>94098</v>
      </c>
      <c r="M17" s="701">
        <v>10961</v>
      </c>
      <c r="N17" s="1636">
        <v>105059</v>
      </c>
      <c r="O17" s="1040">
        <f t="shared" si="3"/>
        <v>0.89566814837377096</v>
      </c>
      <c r="P17" s="1283">
        <f t="shared" si="1"/>
        <v>0.10433185162622907</v>
      </c>
    </row>
    <row r="18" spans="1:16" x14ac:dyDescent="0.3">
      <c r="A18" s="775">
        <v>2013</v>
      </c>
      <c r="B18" s="1280">
        <v>29426</v>
      </c>
      <c r="C18" s="701">
        <v>6502</v>
      </c>
      <c r="D18" s="1902">
        <v>35928</v>
      </c>
      <c r="E18" s="1280">
        <v>3617</v>
      </c>
      <c r="F18" s="701">
        <v>5287</v>
      </c>
      <c r="G18" s="1886">
        <v>8904</v>
      </c>
      <c r="H18" s="1827">
        <f t="shared" si="2"/>
        <v>0.80139186295503217</v>
      </c>
      <c r="I18" s="1283">
        <f t="shared" si="0"/>
        <v>0.19860813704496788</v>
      </c>
      <c r="K18" s="1591">
        <v>2013</v>
      </c>
      <c r="L18" s="1280">
        <v>33043</v>
      </c>
      <c r="M18" s="701">
        <v>11789</v>
      </c>
      <c r="N18" s="1636">
        <v>44832</v>
      </c>
      <c r="O18" s="1040">
        <f t="shared" si="3"/>
        <v>0.73704050678087085</v>
      </c>
      <c r="P18" s="1283">
        <f t="shared" si="1"/>
        <v>0.2629594932191292</v>
      </c>
    </row>
    <row r="19" spans="1:16" x14ac:dyDescent="0.3">
      <c r="A19" s="775">
        <v>2014</v>
      </c>
      <c r="B19" s="1280">
        <v>142785</v>
      </c>
      <c r="C19" s="701">
        <v>3910</v>
      </c>
      <c r="D19" s="1902">
        <v>146695</v>
      </c>
      <c r="E19" s="1280">
        <v>29453.330117661306</v>
      </c>
      <c r="F19" s="701">
        <v>20283.669882338694</v>
      </c>
      <c r="G19" s="1886">
        <v>49737</v>
      </c>
      <c r="H19" s="1827">
        <f t="shared" si="2"/>
        <v>0.74679787407347076</v>
      </c>
      <c r="I19" s="1283">
        <f t="shared" si="0"/>
        <v>0.2532021259265293</v>
      </c>
      <c r="K19" s="1591">
        <v>2014</v>
      </c>
      <c r="L19" s="1280">
        <v>172238.3301176613</v>
      </c>
      <c r="M19" s="701">
        <v>24193.669882338694</v>
      </c>
      <c r="N19" s="1636">
        <v>196432</v>
      </c>
      <c r="O19" s="1040">
        <f t="shared" si="3"/>
        <v>0.87683437585353352</v>
      </c>
      <c r="P19" s="1283">
        <f t="shared" si="1"/>
        <v>0.12316562414646644</v>
      </c>
    </row>
    <row r="20" spans="1:16" x14ac:dyDescent="0.3">
      <c r="A20" s="775">
        <v>2015</v>
      </c>
      <c r="B20" s="1280">
        <v>10271</v>
      </c>
      <c r="C20" s="701">
        <v>170</v>
      </c>
      <c r="D20" s="1902">
        <v>10441</v>
      </c>
      <c r="E20" s="1280">
        <v>14407</v>
      </c>
      <c r="F20" s="701">
        <v>0</v>
      </c>
      <c r="G20" s="1886">
        <v>14407</v>
      </c>
      <c r="H20" s="1827">
        <f t="shared" si="2"/>
        <v>0.4201947842884739</v>
      </c>
      <c r="I20" s="1283">
        <f t="shared" si="0"/>
        <v>0.5798052157115261</v>
      </c>
      <c r="K20" s="1591">
        <v>2015</v>
      </c>
      <c r="L20" s="1280">
        <v>24678</v>
      </c>
      <c r="M20" s="701">
        <v>170</v>
      </c>
      <c r="N20" s="1636">
        <v>24848</v>
      </c>
      <c r="O20" s="1040">
        <f t="shared" si="3"/>
        <v>0.99315840309079206</v>
      </c>
      <c r="P20" s="1283">
        <f t="shared" si="1"/>
        <v>6.8415969092079842E-3</v>
      </c>
    </row>
    <row r="21" spans="1:16" x14ac:dyDescent="0.3">
      <c r="A21" s="775">
        <v>2016</v>
      </c>
      <c r="B21" s="1280">
        <v>53901</v>
      </c>
      <c r="C21" s="701">
        <v>380</v>
      </c>
      <c r="D21" s="1902">
        <v>54812.565999999999</v>
      </c>
      <c r="E21" s="1280">
        <v>36612</v>
      </c>
      <c r="F21" s="701">
        <v>241</v>
      </c>
      <c r="G21" s="1886">
        <v>36853</v>
      </c>
      <c r="H21" s="1827">
        <f t="shared" si="2"/>
        <v>0.59796244535270748</v>
      </c>
      <c r="I21" s="1283">
        <f t="shared" si="0"/>
        <v>0.40203755464729257</v>
      </c>
      <c r="K21" s="1591">
        <v>2016</v>
      </c>
      <c r="L21" s="1280">
        <v>90513</v>
      </c>
      <c r="M21" s="701">
        <v>621</v>
      </c>
      <c r="N21" s="1636">
        <v>91665.565999999992</v>
      </c>
      <c r="O21" s="1040">
        <f t="shared" si="3"/>
        <v>0.98742640175264951</v>
      </c>
      <c r="P21" s="1283">
        <f t="shared" si="1"/>
        <v>6.7746267993370607E-3</v>
      </c>
    </row>
    <row r="22" spans="1:16" x14ac:dyDescent="0.3">
      <c r="A22" s="775">
        <v>2017</v>
      </c>
      <c r="B22" s="1280">
        <v>10058</v>
      </c>
      <c r="C22" s="701">
        <v>0</v>
      </c>
      <c r="D22" s="1902">
        <v>10058</v>
      </c>
      <c r="E22" s="1280">
        <v>27050</v>
      </c>
      <c r="F22" s="701">
        <v>86</v>
      </c>
      <c r="G22" s="1886">
        <v>27136</v>
      </c>
      <c r="H22" s="1827">
        <f t="shared" si="2"/>
        <v>0.27041996020863579</v>
      </c>
      <c r="I22" s="1283">
        <f t="shared" si="0"/>
        <v>0.72958003979136421</v>
      </c>
      <c r="K22" s="1591">
        <v>2017</v>
      </c>
      <c r="L22" s="1280">
        <v>37108</v>
      </c>
      <c r="M22" s="701">
        <v>86</v>
      </c>
      <c r="N22" s="1636">
        <v>37194</v>
      </c>
      <c r="O22" s="1040">
        <f t="shared" si="3"/>
        <v>0.99768779910738292</v>
      </c>
      <c r="P22" s="1283">
        <f t="shared" si="1"/>
        <v>2.3122008926170887E-3</v>
      </c>
    </row>
    <row r="23" spans="1:16" x14ac:dyDescent="0.3">
      <c r="A23" s="775">
        <v>2018</v>
      </c>
      <c r="B23" s="1280">
        <v>30786</v>
      </c>
      <c r="C23" s="701">
        <v>219</v>
      </c>
      <c r="D23" s="1902">
        <v>31005</v>
      </c>
      <c r="E23" s="1280">
        <v>37036</v>
      </c>
      <c r="F23" s="701">
        <v>4710</v>
      </c>
      <c r="G23" s="1886">
        <v>41746</v>
      </c>
      <c r="H23" s="1827">
        <f t="shared" si="2"/>
        <v>0.42617970886998119</v>
      </c>
      <c r="I23" s="1283">
        <f t="shared" si="0"/>
        <v>0.57382029113001887</v>
      </c>
      <c r="K23" s="1591">
        <v>2018</v>
      </c>
      <c r="L23" s="1280">
        <v>67822</v>
      </c>
      <c r="M23" s="701">
        <v>4929</v>
      </c>
      <c r="N23" s="1636">
        <v>72751</v>
      </c>
      <c r="O23" s="1040">
        <f t="shared" si="3"/>
        <v>0.93224835397451578</v>
      </c>
      <c r="P23" s="1283">
        <f t="shared" si="1"/>
        <v>6.7751646025484183E-2</v>
      </c>
    </row>
    <row r="24" spans="1:16" x14ac:dyDescent="0.3">
      <c r="A24" s="775">
        <v>2019</v>
      </c>
      <c r="B24" s="1280">
        <v>12370.00835</v>
      </c>
      <c r="C24" s="701">
        <v>542.99164999999994</v>
      </c>
      <c r="D24" s="1902">
        <v>12967</v>
      </c>
      <c r="E24" s="1280">
        <v>5843</v>
      </c>
      <c r="F24" s="701">
        <v>4332</v>
      </c>
      <c r="G24" s="1886">
        <v>10175</v>
      </c>
      <c r="H24" s="1827">
        <f t="shared" si="2"/>
        <v>0.56032322184772276</v>
      </c>
      <c r="I24" s="1283">
        <f t="shared" si="0"/>
        <v>0.43967677815227724</v>
      </c>
      <c r="K24" s="1591">
        <v>2019</v>
      </c>
      <c r="L24" s="1280">
        <v>18213.00835</v>
      </c>
      <c r="M24" s="701">
        <v>4874.9916499999999</v>
      </c>
      <c r="N24" s="1636">
        <v>23142</v>
      </c>
      <c r="O24" s="1040">
        <f t="shared" si="3"/>
        <v>0.78701099083916692</v>
      </c>
      <c r="P24" s="1283">
        <f t="shared" si="1"/>
        <v>0.21065558940454585</v>
      </c>
    </row>
    <row r="25" spans="1:16" x14ac:dyDescent="0.3">
      <c r="A25" s="775">
        <v>2020</v>
      </c>
      <c r="B25" s="1280">
        <v>46703</v>
      </c>
      <c r="C25" s="701">
        <v>1248</v>
      </c>
      <c r="D25" s="1902">
        <v>47951</v>
      </c>
      <c r="E25" s="1280">
        <v>22768</v>
      </c>
      <c r="F25" s="701">
        <v>17096</v>
      </c>
      <c r="G25" s="1886">
        <v>39864</v>
      </c>
      <c r="H25" s="1827">
        <f t="shared" si="2"/>
        <v>0.54604566418037925</v>
      </c>
      <c r="I25" s="1283">
        <f t="shared" si="0"/>
        <v>0.4539543358196208</v>
      </c>
      <c r="K25" s="1591">
        <v>2020</v>
      </c>
      <c r="L25" s="1280">
        <v>69471</v>
      </c>
      <c r="M25" s="701">
        <v>18344</v>
      </c>
      <c r="N25" s="1636">
        <v>87815</v>
      </c>
      <c r="O25" s="1040">
        <f t="shared" si="3"/>
        <v>0.79110630302340146</v>
      </c>
      <c r="P25" s="1283">
        <f t="shared" si="1"/>
        <v>0.20889369697659854</v>
      </c>
    </row>
    <row r="26" spans="1:16" ht="15" thickBot="1" x14ac:dyDescent="0.35">
      <c r="A26" s="1686">
        <v>2021</v>
      </c>
      <c r="B26" s="1892">
        <v>9805</v>
      </c>
      <c r="C26" s="1893">
        <v>692</v>
      </c>
      <c r="D26" s="1903">
        <v>10497</v>
      </c>
      <c r="E26" s="1892">
        <v>7136</v>
      </c>
      <c r="F26" s="1893">
        <v>1551</v>
      </c>
      <c r="G26" s="1906">
        <v>8687</v>
      </c>
      <c r="H26" s="1908">
        <f t="shared" si="2"/>
        <v>0.54717472894078401</v>
      </c>
      <c r="I26" s="1899">
        <f t="shared" si="0"/>
        <v>0.45282527105921599</v>
      </c>
      <c r="K26" s="1891">
        <v>2021</v>
      </c>
      <c r="L26" s="1892">
        <v>16941</v>
      </c>
      <c r="M26" s="1893">
        <v>2243</v>
      </c>
      <c r="N26" s="1638">
        <v>19184</v>
      </c>
      <c r="O26" s="2103">
        <f t="shared" si="3"/>
        <v>0.88307964970809005</v>
      </c>
      <c r="P26" s="1899">
        <f t="shared" si="1"/>
        <v>0.11692035029190992</v>
      </c>
    </row>
    <row r="27" spans="1:16" ht="15" thickBot="1" x14ac:dyDescent="0.35">
      <c r="A27" s="1900" t="s">
        <v>221</v>
      </c>
      <c r="B27" s="1895">
        <f t="shared" ref="B27:G27" si="4">SUM(B5:B26)</f>
        <v>1006656.67535</v>
      </c>
      <c r="C27" s="1896">
        <f t="shared" si="4"/>
        <v>44719.324649999995</v>
      </c>
      <c r="D27" s="1904">
        <f t="shared" si="4"/>
        <v>1051961.5660000001</v>
      </c>
      <c r="E27" s="1895">
        <f t="shared" si="4"/>
        <v>191235.13011766132</v>
      </c>
      <c r="F27" s="1896">
        <f t="shared" si="4"/>
        <v>80146.869882338695</v>
      </c>
      <c r="G27" s="1907">
        <f t="shared" si="4"/>
        <v>271382</v>
      </c>
      <c r="H27" s="1909">
        <f t="shared" si="2"/>
        <v>0.79492702653152136</v>
      </c>
      <c r="I27" s="1901">
        <f t="shared" si="0"/>
        <v>0.20507297346847869</v>
      </c>
      <c r="K27" s="1894" t="s">
        <v>221</v>
      </c>
      <c r="L27" s="1895">
        <f>SUM(L5:L26)</f>
        <v>1197891.8054676612</v>
      </c>
      <c r="M27" s="1896">
        <f>SUM(M5:M26)</f>
        <v>124866.19453233869</v>
      </c>
      <c r="N27" s="1896">
        <f>SUM(N5:N26)</f>
        <v>1323343.5660000001</v>
      </c>
      <c r="O27" s="1915">
        <f t="shared" si="3"/>
        <v>0.9052009139912659</v>
      </c>
      <c r="P27" s="1901">
        <f t="shared" si="1"/>
        <v>9.4356596231290918E-2</v>
      </c>
    </row>
    <row r="28" spans="1:16" x14ac:dyDescent="0.3">
      <c r="A28" s="1239"/>
      <c r="B28" s="1912"/>
      <c r="C28" s="1912"/>
      <c r="D28" s="1912"/>
      <c r="E28" s="1912"/>
      <c r="F28" s="1912"/>
      <c r="G28" s="1912"/>
      <c r="H28" s="1913"/>
      <c r="I28" s="1913"/>
      <c r="K28" s="1239"/>
      <c r="L28" s="1912"/>
      <c r="M28" s="1912"/>
      <c r="N28" s="1912"/>
      <c r="O28" s="1914"/>
      <c r="P28" s="1914"/>
    </row>
    <row r="29" spans="1:16" ht="28.8" x14ac:dyDescent="0.3">
      <c r="A29" s="1858" t="s">
        <v>991</v>
      </c>
      <c r="B29" s="666">
        <f>AVERAGE(B12:B26)</f>
        <v>55374.111690000005</v>
      </c>
      <c r="C29" s="666">
        <f t="shared" ref="C29:I29" si="5">AVERAGE(C12:C26)</f>
        <v>2981.2883099999995</v>
      </c>
      <c r="D29" s="666">
        <f t="shared" si="5"/>
        <v>58394.437733333332</v>
      </c>
      <c r="E29" s="666">
        <f t="shared" si="5"/>
        <v>17385.011828878301</v>
      </c>
      <c r="F29" s="666">
        <f t="shared" si="5"/>
        <v>7286.0790802126085</v>
      </c>
      <c r="G29" s="666">
        <f t="shared" si="5"/>
        <v>24671.090909090908</v>
      </c>
      <c r="H29" s="1916">
        <f t="shared" si="5"/>
        <v>0.67830308264912409</v>
      </c>
      <c r="I29" s="1916">
        <f t="shared" si="5"/>
        <v>0.32169691735087602</v>
      </c>
      <c r="K29" s="1858" t="s">
        <v>991</v>
      </c>
      <c r="L29" s="666">
        <f>AVERAGE(L12:L26)</f>
        <v>68123.120364510745</v>
      </c>
      <c r="M29" s="666">
        <f>AVERAGE(M12:M26)</f>
        <v>8324.4129688225785</v>
      </c>
      <c r="N29" s="666">
        <f>AVERAGE(N12:N26)</f>
        <v>76486.571066666671</v>
      </c>
      <c r="O29" s="1916">
        <f>AVERAGE(O12:O26)</f>
        <v>0.86540050576778138</v>
      </c>
      <c r="P29" s="1916">
        <f>AVERAGE(P12:P26)</f>
        <v>0.13405733481859852</v>
      </c>
    </row>
    <row r="30" spans="1:16" ht="28.8" x14ac:dyDescent="0.3">
      <c r="A30" s="1858" t="s">
        <v>992</v>
      </c>
      <c r="B30" s="666">
        <f>AVERAGE(B16:B26)</f>
        <v>40853.061395454548</v>
      </c>
      <c r="C30" s="666">
        <f t="shared" ref="C30:I30" si="6">AVERAGE(C16:C26)</f>
        <v>1588.3022409090911</v>
      </c>
      <c r="D30" s="666">
        <f t="shared" si="6"/>
        <v>42494.596909090906</v>
      </c>
      <c r="E30" s="666">
        <f t="shared" si="6"/>
        <v>17385.011828878301</v>
      </c>
      <c r="F30" s="666">
        <f t="shared" si="6"/>
        <v>7286.0790802126085</v>
      </c>
      <c r="G30" s="666">
        <f t="shared" si="6"/>
        <v>24671.090909090908</v>
      </c>
      <c r="H30" s="1916">
        <f t="shared" si="6"/>
        <v>0.56132238543062363</v>
      </c>
      <c r="I30" s="1916">
        <f t="shared" si="6"/>
        <v>0.43867761456937637</v>
      </c>
      <c r="K30" s="1858" t="s">
        <v>992</v>
      </c>
      <c r="L30" s="666">
        <f>AVERAGE(L16:L26)</f>
        <v>58238.073224332853</v>
      </c>
      <c r="M30" s="666">
        <f>AVERAGE(M16:M26)</f>
        <v>8874.3813211216984</v>
      </c>
      <c r="N30" s="666">
        <f>AVERAGE(N16:N26)</f>
        <v>67165.687818181817</v>
      </c>
      <c r="O30" s="1916">
        <f>AVERAGE(O16:O26)</f>
        <v>0.84915354387667741</v>
      </c>
      <c r="P30" s="1916">
        <f>AVERAGE(P16:P26)</f>
        <v>0.1501071478320227</v>
      </c>
    </row>
    <row r="31" spans="1:16" x14ac:dyDescent="0.3">
      <c r="A31" s="1"/>
      <c r="B31" s="1910"/>
      <c r="C31" s="1910"/>
      <c r="D31" s="1910"/>
      <c r="E31" s="1911"/>
      <c r="F31" s="1911"/>
      <c r="G31" s="1911"/>
      <c r="H31" s="1911"/>
      <c r="I31" s="1911"/>
    </row>
    <row r="32" spans="1:16" x14ac:dyDescent="0.3">
      <c r="A32" s="1"/>
      <c r="B32" s="1910"/>
      <c r="C32" s="1910"/>
      <c r="D32" s="1910"/>
      <c r="E32" s="1911"/>
      <c r="F32" s="1911"/>
      <c r="G32" s="1911"/>
      <c r="H32" s="1911"/>
      <c r="I32" s="1911"/>
    </row>
    <row r="33" spans="1:9" x14ac:dyDescent="0.3">
      <c r="A33" s="1"/>
      <c r="B33" s="1910"/>
      <c r="C33" s="1910"/>
      <c r="D33" s="1910"/>
      <c r="E33" s="1911"/>
      <c r="F33" s="1911"/>
      <c r="G33" s="1911"/>
      <c r="H33" s="1911"/>
      <c r="I33" s="1911"/>
    </row>
    <row r="34" spans="1:9" x14ac:dyDescent="0.3">
      <c r="A34" s="1068" t="s">
        <v>993</v>
      </c>
    </row>
    <row r="35" spans="1:9" x14ac:dyDescent="0.3">
      <c r="A35" s="1068" t="s">
        <v>994</v>
      </c>
    </row>
  </sheetData>
  <mergeCells count="2">
    <mergeCell ref="J2:Q2"/>
    <mergeCell ref="A2:I2"/>
  </mergeCells>
  <phoneticPr fontId="58" type="noConversion"/>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7C1FA1-91CC-471E-A0D4-CCD4DEE2D75D}">
  <sheetPr>
    <tabColor theme="7"/>
  </sheetPr>
  <dimension ref="A1:AB38"/>
  <sheetViews>
    <sheetView zoomScale="90" zoomScaleNormal="90" workbookViewId="0">
      <selection activeCell="J2" sqref="J2"/>
    </sheetView>
  </sheetViews>
  <sheetFormatPr defaultRowHeight="14.4" x14ac:dyDescent="0.3"/>
  <cols>
    <col min="1" max="1" width="9.33203125" bestFit="1" customWidth="1"/>
    <col min="2" max="7" width="14.6640625" bestFit="1" customWidth="1"/>
    <col min="8" max="8" width="12.6640625" bestFit="1" customWidth="1"/>
    <col min="9" max="9" width="12.44140625" bestFit="1" customWidth="1"/>
    <col min="10" max="16" width="12.6640625" bestFit="1" customWidth="1"/>
    <col min="17" max="19" width="8" bestFit="1" customWidth="1"/>
    <col min="20" max="20" width="9.5546875" bestFit="1" customWidth="1"/>
    <col min="21" max="21" width="9" bestFit="1" customWidth="1"/>
    <col min="22" max="22" width="9.88671875" bestFit="1" customWidth="1"/>
    <col min="23" max="23" width="6.6640625" bestFit="1" customWidth="1"/>
    <col min="24" max="24" width="19" bestFit="1" customWidth="1"/>
    <col min="25" max="25" width="8" bestFit="1" customWidth="1"/>
    <col min="26" max="27" width="17.33203125" bestFit="1" customWidth="1"/>
    <col min="28" max="28" width="9.109375" bestFit="1" customWidth="1"/>
  </cols>
  <sheetData>
    <row r="1" spans="1:28" ht="15" thickBot="1" x14ac:dyDescent="0.35">
      <c r="A1" s="1282" t="s">
        <v>995</v>
      </c>
    </row>
    <row r="2" spans="1:28" s="2" customFormat="1" ht="28.2" customHeight="1" thickBot="1" x14ac:dyDescent="0.35">
      <c r="A2" s="2637" t="s">
        <v>958</v>
      </c>
      <c r="B2" s="2638"/>
      <c r="C2" s="2638"/>
      <c r="D2" s="2638"/>
      <c r="E2" s="2638"/>
      <c r="F2" s="2638"/>
      <c r="G2" s="2638"/>
      <c r="H2" s="2638"/>
      <c r="I2"/>
      <c r="J2"/>
      <c r="K2"/>
      <c r="L2"/>
      <c r="M2"/>
      <c r="N2"/>
      <c r="O2"/>
      <c r="P2"/>
    </row>
    <row r="3" spans="1:28" s="1" customFormat="1" ht="32.4" thickBot="1" x14ac:dyDescent="0.4">
      <c r="A3" s="1865" t="s">
        <v>975</v>
      </c>
      <c r="B3" s="1392" t="s">
        <v>820</v>
      </c>
      <c r="C3" s="1396" t="s">
        <v>821</v>
      </c>
      <c r="D3" s="1276"/>
      <c r="E3" s="1277"/>
      <c r="F3" s="1277"/>
      <c r="G3" s="1277"/>
      <c r="H3" s="1857"/>
      <c r="I3"/>
      <c r="J3"/>
      <c r="K3"/>
      <c r="L3"/>
      <c r="M3"/>
      <c r="N3"/>
      <c r="O3"/>
      <c r="P3"/>
      <c r="Q3"/>
      <c r="R3"/>
      <c r="S3"/>
      <c r="T3"/>
      <c r="U3"/>
      <c r="V3"/>
      <c r="W3"/>
      <c r="X3"/>
      <c r="Y3"/>
      <c r="Z3"/>
      <c r="AA3"/>
      <c r="AB3"/>
    </row>
    <row r="4" spans="1:28" s="1" customFormat="1" ht="18.600000000000001" thickBot="1" x14ac:dyDescent="0.4">
      <c r="A4" s="1286"/>
      <c r="B4" s="1288" t="s">
        <v>891</v>
      </c>
      <c r="C4" s="1393"/>
      <c r="D4" s="1863" t="s">
        <v>996</v>
      </c>
      <c r="E4" s="1288" t="s">
        <v>836</v>
      </c>
      <c r="F4" s="1393"/>
      <c r="G4" s="1863" t="s">
        <v>997</v>
      </c>
      <c r="H4" s="1856" t="s">
        <v>221</v>
      </c>
      <c r="I4"/>
      <c r="J4"/>
      <c r="K4"/>
      <c r="L4"/>
      <c r="M4"/>
      <c r="N4"/>
      <c r="O4"/>
      <c r="P4"/>
      <c r="Q4"/>
      <c r="R4"/>
      <c r="S4"/>
      <c r="T4"/>
      <c r="U4"/>
      <c r="V4"/>
      <c r="W4"/>
      <c r="X4"/>
      <c r="Y4"/>
      <c r="Z4"/>
      <c r="AA4"/>
      <c r="AB4"/>
    </row>
    <row r="5" spans="1:28" s="1" customFormat="1" ht="31.8" thickBot="1" x14ac:dyDescent="0.35">
      <c r="A5" s="1285" t="s">
        <v>15</v>
      </c>
      <c r="B5" s="1866" t="s">
        <v>892</v>
      </c>
      <c r="C5" s="1866" t="s">
        <v>940</v>
      </c>
      <c r="D5" s="1864"/>
      <c r="E5" s="1866" t="s">
        <v>837</v>
      </c>
      <c r="F5" s="1867" t="s">
        <v>889</v>
      </c>
      <c r="G5" s="1864"/>
      <c r="H5" s="1860"/>
      <c r="I5"/>
      <c r="J5"/>
      <c r="K5"/>
      <c r="L5"/>
      <c r="M5"/>
      <c r="N5"/>
      <c r="O5"/>
      <c r="P5"/>
      <c r="Q5"/>
      <c r="R5"/>
      <c r="S5"/>
      <c r="T5"/>
      <c r="U5"/>
      <c r="V5"/>
      <c r="W5"/>
      <c r="X5"/>
      <c r="Y5"/>
      <c r="Z5"/>
      <c r="AA5"/>
      <c r="AB5"/>
    </row>
    <row r="6" spans="1:28" s="1" customFormat="1" x14ac:dyDescent="0.3">
      <c r="A6" s="669">
        <v>2000</v>
      </c>
      <c r="B6" s="701"/>
      <c r="C6" s="701"/>
      <c r="D6" s="481"/>
      <c r="E6" s="701">
        <v>21838</v>
      </c>
      <c r="F6" s="701"/>
      <c r="G6" s="2059">
        <v>21838</v>
      </c>
      <c r="H6" s="1107">
        <v>21838</v>
      </c>
      <c r="I6"/>
      <c r="J6"/>
      <c r="K6"/>
      <c r="L6"/>
      <c r="M6"/>
      <c r="N6"/>
      <c r="O6"/>
      <c r="P6"/>
      <c r="Q6"/>
      <c r="R6"/>
      <c r="S6"/>
      <c r="T6"/>
      <c r="U6"/>
      <c r="V6"/>
      <c r="W6"/>
      <c r="X6"/>
      <c r="Y6"/>
      <c r="Z6"/>
      <c r="AA6"/>
      <c r="AB6"/>
    </row>
    <row r="7" spans="1:28" x14ac:dyDescent="0.3">
      <c r="A7" s="669">
        <v>2001</v>
      </c>
      <c r="B7" s="701"/>
      <c r="C7" s="701"/>
      <c r="D7" s="481"/>
      <c r="E7" s="701">
        <v>39024</v>
      </c>
      <c r="F7" s="701"/>
      <c r="G7" s="2059">
        <v>39024</v>
      </c>
      <c r="H7" s="1107">
        <v>39024</v>
      </c>
    </row>
    <row r="8" spans="1:28" x14ac:dyDescent="0.3">
      <c r="A8" s="669">
        <v>2002</v>
      </c>
      <c r="B8" s="701"/>
      <c r="C8" s="701"/>
      <c r="D8" s="481"/>
      <c r="E8" s="701">
        <v>3560</v>
      </c>
      <c r="F8" s="701"/>
      <c r="G8" s="2059">
        <v>3560</v>
      </c>
      <c r="H8" s="1107">
        <v>3560</v>
      </c>
    </row>
    <row r="9" spans="1:28" x14ac:dyDescent="0.3">
      <c r="A9" s="669">
        <v>2003</v>
      </c>
      <c r="B9" s="701"/>
      <c r="C9" s="701"/>
      <c r="D9" s="481"/>
      <c r="E9" s="701">
        <v>17753</v>
      </c>
      <c r="F9" s="701"/>
      <c r="G9" s="2059">
        <v>17753</v>
      </c>
      <c r="H9" s="1107">
        <v>17753</v>
      </c>
    </row>
    <row r="10" spans="1:28" x14ac:dyDescent="0.3">
      <c r="A10" s="669">
        <v>2004</v>
      </c>
      <c r="B10" s="701"/>
      <c r="C10" s="701"/>
      <c r="D10" s="481"/>
      <c r="E10" s="701">
        <v>41791</v>
      </c>
      <c r="F10" s="701"/>
      <c r="G10" s="2059">
        <v>41791</v>
      </c>
      <c r="H10" s="1107">
        <v>41791</v>
      </c>
    </row>
    <row r="11" spans="1:28" x14ac:dyDescent="0.3">
      <c r="A11" s="669">
        <v>2005</v>
      </c>
      <c r="B11" s="701"/>
      <c r="C11" s="701"/>
      <c r="D11" s="481"/>
      <c r="E11" s="701">
        <v>31260</v>
      </c>
      <c r="F11" s="701"/>
      <c r="G11" s="2059">
        <v>31260</v>
      </c>
      <c r="H11" s="1107">
        <v>31260</v>
      </c>
    </row>
    <row r="12" spans="1:28" x14ac:dyDescent="0.3">
      <c r="A12" s="669">
        <v>2006</v>
      </c>
      <c r="B12" s="701"/>
      <c r="C12" s="701"/>
      <c r="D12" s="481"/>
      <c r="E12" s="701">
        <v>20819</v>
      </c>
      <c r="F12" s="701"/>
      <c r="G12" s="2059">
        <v>20819</v>
      </c>
      <c r="H12" s="1107">
        <v>20819</v>
      </c>
    </row>
    <row r="13" spans="1:28" x14ac:dyDescent="0.3">
      <c r="A13" s="669">
        <v>2007</v>
      </c>
      <c r="B13" s="701"/>
      <c r="C13" s="701"/>
      <c r="D13" s="481"/>
      <c r="E13" s="701">
        <v>13490</v>
      </c>
      <c r="F13" s="701"/>
      <c r="G13" s="2059">
        <v>13490</v>
      </c>
      <c r="H13" s="1107">
        <v>13490</v>
      </c>
    </row>
    <row r="14" spans="1:28" x14ac:dyDescent="0.3">
      <c r="A14" s="669">
        <v>2008</v>
      </c>
      <c r="B14" s="701"/>
      <c r="C14" s="701"/>
      <c r="D14" s="481"/>
      <c r="E14" s="701">
        <v>126972</v>
      </c>
      <c r="F14" s="701"/>
      <c r="G14" s="2059">
        <v>126972</v>
      </c>
      <c r="H14" s="1107">
        <v>126972</v>
      </c>
    </row>
    <row r="15" spans="1:28" x14ac:dyDescent="0.3">
      <c r="A15" s="669">
        <v>2009</v>
      </c>
      <c r="B15" s="701"/>
      <c r="C15" s="701"/>
      <c r="D15" s="481"/>
      <c r="E15" s="701">
        <v>64024</v>
      </c>
      <c r="F15" s="701">
        <v>4029</v>
      </c>
      <c r="G15" s="2059">
        <v>68053</v>
      </c>
      <c r="H15" s="1107">
        <v>68053</v>
      </c>
    </row>
    <row r="16" spans="1:28" x14ac:dyDescent="0.3">
      <c r="A16" s="669">
        <v>2010</v>
      </c>
      <c r="B16" s="701"/>
      <c r="C16" s="701"/>
      <c r="D16" s="481"/>
      <c r="E16" s="701">
        <v>182122</v>
      </c>
      <c r="F16" s="701">
        <v>17839</v>
      </c>
      <c r="G16" s="2059">
        <v>199961</v>
      </c>
      <c r="H16" s="1107">
        <v>199961</v>
      </c>
    </row>
    <row r="17" spans="1:8" x14ac:dyDescent="0.3">
      <c r="A17" s="1798">
        <v>2011</v>
      </c>
      <c r="B17" s="1631">
        <v>22879</v>
      </c>
      <c r="C17" s="1631"/>
      <c r="D17" s="947">
        <v>22879</v>
      </c>
      <c r="E17" s="1631">
        <v>10813</v>
      </c>
      <c r="F17" s="1631">
        <v>2208</v>
      </c>
      <c r="G17" s="2119">
        <v>13021</v>
      </c>
      <c r="H17" s="1632">
        <v>35900</v>
      </c>
    </row>
    <row r="18" spans="1:8" x14ac:dyDescent="0.3">
      <c r="A18" s="669">
        <v>2012</v>
      </c>
      <c r="B18" s="701">
        <v>10994</v>
      </c>
      <c r="C18" s="701"/>
      <c r="D18" s="481">
        <v>10994</v>
      </c>
      <c r="E18" s="701">
        <v>90862</v>
      </c>
      <c r="F18" s="701">
        <v>3203</v>
      </c>
      <c r="G18" s="2059">
        <v>94065</v>
      </c>
      <c r="H18" s="1107">
        <v>105059</v>
      </c>
    </row>
    <row r="19" spans="1:8" x14ac:dyDescent="0.3">
      <c r="A19" s="669">
        <v>2013</v>
      </c>
      <c r="B19" s="701">
        <v>8904</v>
      </c>
      <c r="C19" s="701"/>
      <c r="D19" s="481">
        <v>8904</v>
      </c>
      <c r="E19" s="701">
        <v>33820</v>
      </c>
      <c r="F19" s="701">
        <v>2108</v>
      </c>
      <c r="G19" s="2059">
        <v>35928</v>
      </c>
      <c r="H19" s="1107">
        <v>44832</v>
      </c>
    </row>
    <row r="20" spans="1:8" x14ac:dyDescent="0.3">
      <c r="A20" s="669">
        <v>2014</v>
      </c>
      <c r="B20" s="701">
        <v>49549</v>
      </c>
      <c r="C20" s="701">
        <v>188</v>
      </c>
      <c r="D20" s="481">
        <v>49737</v>
      </c>
      <c r="E20" s="701">
        <v>145206</v>
      </c>
      <c r="F20" s="701">
        <v>1489</v>
      </c>
      <c r="G20" s="2059">
        <v>146695</v>
      </c>
      <c r="H20" s="1107">
        <v>196432</v>
      </c>
    </row>
    <row r="21" spans="1:8" x14ac:dyDescent="0.3">
      <c r="A21" s="669">
        <v>2015</v>
      </c>
      <c r="B21" s="701">
        <v>14257</v>
      </c>
      <c r="C21" s="701">
        <v>150</v>
      </c>
      <c r="D21" s="481">
        <v>14407</v>
      </c>
      <c r="E21" s="701">
        <v>10255</v>
      </c>
      <c r="F21" s="701">
        <v>186</v>
      </c>
      <c r="G21" s="2059">
        <v>10441</v>
      </c>
      <c r="H21" s="1107">
        <v>24848</v>
      </c>
    </row>
    <row r="22" spans="1:8" x14ac:dyDescent="0.3">
      <c r="A22" s="669">
        <v>2016</v>
      </c>
      <c r="B22" s="701">
        <v>36853</v>
      </c>
      <c r="C22" s="701"/>
      <c r="D22" s="481">
        <v>36853</v>
      </c>
      <c r="E22" s="701">
        <v>54281</v>
      </c>
      <c r="F22" s="701">
        <v>531.56600000000003</v>
      </c>
      <c r="G22" s="2059">
        <v>54812.565999999999</v>
      </c>
      <c r="H22" s="1107">
        <v>91665.566000000006</v>
      </c>
    </row>
    <row r="23" spans="1:8" x14ac:dyDescent="0.3">
      <c r="A23" s="669">
        <v>2017</v>
      </c>
      <c r="B23" s="701">
        <v>27136</v>
      </c>
      <c r="C23" s="701"/>
      <c r="D23" s="481">
        <v>27136</v>
      </c>
      <c r="E23" s="701">
        <v>9893</v>
      </c>
      <c r="F23" s="701">
        <v>165</v>
      </c>
      <c r="G23" s="2059">
        <v>10058</v>
      </c>
      <c r="H23" s="1107">
        <v>37194</v>
      </c>
    </row>
    <row r="24" spans="1:8" x14ac:dyDescent="0.3">
      <c r="A24" s="669">
        <v>2018</v>
      </c>
      <c r="B24" s="701">
        <v>41257</v>
      </c>
      <c r="C24" s="701">
        <v>489</v>
      </c>
      <c r="D24" s="481">
        <v>41746</v>
      </c>
      <c r="E24" s="701">
        <v>30755</v>
      </c>
      <c r="F24" s="701">
        <v>250</v>
      </c>
      <c r="G24" s="2059">
        <v>31005</v>
      </c>
      <c r="H24" s="1107">
        <v>72751</v>
      </c>
    </row>
    <row r="25" spans="1:8" x14ac:dyDescent="0.3">
      <c r="A25" s="669">
        <v>2019</v>
      </c>
      <c r="B25" s="701">
        <v>10175</v>
      </c>
      <c r="C25" s="701"/>
      <c r="D25" s="481">
        <v>10175</v>
      </c>
      <c r="E25" s="701">
        <v>12913</v>
      </c>
      <c r="F25" s="701">
        <v>54</v>
      </c>
      <c r="G25" s="2059">
        <v>12967</v>
      </c>
      <c r="H25" s="1107">
        <v>23142</v>
      </c>
    </row>
    <row r="26" spans="1:8" x14ac:dyDescent="0.3">
      <c r="A26" s="669">
        <v>2020</v>
      </c>
      <c r="B26" s="701">
        <v>28369</v>
      </c>
      <c r="C26" s="701">
        <v>11495</v>
      </c>
      <c r="D26" s="481">
        <v>39864</v>
      </c>
      <c r="E26" s="701">
        <v>46510</v>
      </c>
      <c r="F26" s="701">
        <v>1441</v>
      </c>
      <c r="G26" s="2059">
        <v>47951</v>
      </c>
      <c r="H26" s="1107">
        <v>87815</v>
      </c>
    </row>
    <row r="27" spans="1:8" ht="15" thickBot="1" x14ac:dyDescent="0.35">
      <c r="A27" s="669">
        <v>2021</v>
      </c>
      <c r="B27" s="701">
        <v>8687</v>
      </c>
      <c r="C27" s="701"/>
      <c r="D27" s="481">
        <v>8687</v>
      </c>
      <c r="E27" s="701">
        <v>10457</v>
      </c>
      <c r="F27" s="701">
        <v>40</v>
      </c>
      <c r="G27" s="2059">
        <v>10497</v>
      </c>
      <c r="H27" s="1107">
        <v>19184</v>
      </c>
    </row>
    <row r="28" spans="1:8" ht="15" thickBot="1" x14ac:dyDescent="0.35">
      <c r="A28" s="2324" t="s">
        <v>221</v>
      </c>
      <c r="B28" s="1389">
        <v>259060</v>
      </c>
      <c r="C28" s="1390">
        <v>12322</v>
      </c>
      <c r="D28" s="1852">
        <v>271382</v>
      </c>
      <c r="E28" s="1390">
        <v>1018418</v>
      </c>
      <c r="F28" s="1391">
        <v>33543.565999999999</v>
      </c>
      <c r="G28" s="1852">
        <v>1051961.5660000001</v>
      </c>
      <c r="H28" s="1853">
        <v>1323343.5660000001</v>
      </c>
    </row>
    <row r="33" spans="2:4" x14ac:dyDescent="0.3">
      <c r="B33" s="444"/>
      <c r="C33" s="444"/>
      <c r="D33" s="1008"/>
    </row>
    <row r="34" spans="2:4" x14ac:dyDescent="0.3">
      <c r="B34" s="444"/>
      <c r="C34" s="444"/>
      <c r="D34" s="1008"/>
    </row>
    <row r="35" spans="2:4" x14ac:dyDescent="0.3">
      <c r="B35" s="444"/>
      <c r="C35" s="444"/>
      <c r="D35" s="1008"/>
    </row>
    <row r="36" spans="2:4" x14ac:dyDescent="0.3">
      <c r="B36" s="444"/>
      <c r="C36" s="444"/>
      <c r="D36" s="1008"/>
    </row>
    <row r="37" spans="2:4" x14ac:dyDescent="0.3">
      <c r="B37" s="444"/>
      <c r="C37" s="444"/>
      <c r="D37" s="1008"/>
    </row>
    <row r="38" spans="2:4" x14ac:dyDescent="0.3">
      <c r="B38" s="444"/>
      <c r="C38" s="444"/>
      <c r="D38" s="1008"/>
    </row>
  </sheetData>
  <sheetProtection formatCells="0" formatColumns="0" formatRows="0"/>
  <mergeCells count="1">
    <mergeCell ref="A2:H2"/>
  </mergeCells>
  <conditionalFormatting sqref="O6">
    <cfRule type="colorScale" priority="1">
      <colorScale>
        <cfvo type="min"/>
        <cfvo type="percentile" val="50"/>
        <cfvo type="max"/>
        <color rgb="FF63BE7B"/>
        <color rgb="FFFFEB84"/>
        <color rgb="FFF8696B"/>
      </colorScale>
    </cfRule>
  </conditionalFormatting>
  <pageMargins left="0.7" right="0.7" top="0.75" bottom="0.75" header="0.3" footer="0.3"/>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324BCA-DDDD-40E2-B815-D83B7D22685D}">
  <sheetPr>
    <tabColor theme="4" tint="0.59999389629810485"/>
  </sheetPr>
  <dimension ref="A1:O38"/>
  <sheetViews>
    <sheetView workbookViewId="0">
      <pane xSplit="1" ySplit="1" topLeftCell="B2" activePane="bottomRight" state="frozen"/>
      <selection pane="topRight" activeCell="C15" sqref="C15"/>
      <selection pane="bottomLeft" activeCell="C15" sqref="C15"/>
      <selection pane="bottomRight" activeCell="C15" sqref="C15"/>
    </sheetView>
  </sheetViews>
  <sheetFormatPr defaultRowHeight="14.4" x14ac:dyDescent="0.3"/>
  <cols>
    <col min="1" max="1" width="10.5546875" style="664" bestFit="1" customWidth="1"/>
    <col min="2" max="2" width="7.44140625" bestFit="1" customWidth="1"/>
    <col min="3" max="3" width="7.5546875" bestFit="1" customWidth="1"/>
    <col min="4" max="4" width="7.44140625" bestFit="1" customWidth="1"/>
    <col min="5" max="5" width="7.5546875" bestFit="1" customWidth="1"/>
    <col min="6" max="6" width="10.33203125" bestFit="1" customWidth="1"/>
    <col min="7" max="7" width="16.33203125" bestFit="1" customWidth="1"/>
    <col min="8" max="8" width="7.44140625" bestFit="1" customWidth="1"/>
    <col min="9" max="9" width="8" bestFit="1" customWidth="1"/>
    <col min="10" max="10" width="13.5546875" bestFit="1" customWidth="1"/>
    <col min="11" max="11" width="8.33203125" bestFit="1" customWidth="1"/>
    <col min="12" max="12" width="7.33203125" bestFit="1" customWidth="1"/>
    <col min="13" max="13" width="12.33203125" bestFit="1" customWidth="1"/>
    <col min="14" max="14" width="13.88671875" customWidth="1"/>
  </cols>
  <sheetData>
    <row r="1" spans="1:15" x14ac:dyDescent="0.3">
      <c r="A1" s="1939" t="s">
        <v>998</v>
      </c>
      <c r="B1" s="1955" t="s">
        <v>999</v>
      </c>
      <c r="C1" s="1955" t="s">
        <v>1000</v>
      </c>
      <c r="D1" s="1955" t="s">
        <v>1001</v>
      </c>
      <c r="E1" s="1955" t="s">
        <v>1002</v>
      </c>
      <c r="F1" s="1955" t="s">
        <v>1003</v>
      </c>
      <c r="G1" s="1955" t="s">
        <v>1004</v>
      </c>
      <c r="H1" s="1955" t="s">
        <v>1005</v>
      </c>
      <c r="I1" s="1955" t="s">
        <v>1006</v>
      </c>
      <c r="J1" s="1955" t="s">
        <v>1007</v>
      </c>
      <c r="K1" s="1955" t="s">
        <v>1008</v>
      </c>
      <c r="L1" s="1955" t="s">
        <v>1009</v>
      </c>
      <c r="M1" s="1956" t="s">
        <v>1010</v>
      </c>
      <c r="N1" s="1962" t="s">
        <v>1011</v>
      </c>
      <c r="O1" s="1963" t="s">
        <v>1012</v>
      </c>
    </row>
    <row r="2" spans="1:15" x14ac:dyDescent="0.3">
      <c r="A2" s="854">
        <v>1985</v>
      </c>
      <c r="B2" s="701">
        <v>166340</v>
      </c>
      <c r="C2" s="701">
        <v>1</v>
      </c>
      <c r="D2" s="701">
        <v>173308</v>
      </c>
      <c r="E2" s="701">
        <v>32213</v>
      </c>
      <c r="F2" s="701">
        <v>59</v>
      </c>
      <c r="G2" s="701">
        <v>205462</v>
      </c>
      <c r="H2" s="701">
        <v>103200</v>
      </c>
      <c r="I2" s="701">
        <v>60566</v>
      </c>
      <c r="J2" s="1103">
        <v>0.59</v>
      </c>
      <c r="K2" s="1103">
        <v>1</v>
      </c>
      <c r="L2" s="1103">
        <v>1</v>
      </c>
      <c r="M2" s="1957">
        <v>121223</v>
      </c>
      <c r="N2" s="1958">
        <f>G2*J2*K2*L2</f>
        <v>121222.57999999999</v>
      </c>
      <c r="O2" s="1959">
        <f>ROUND(N2,0)-M2</f>
        <v>0</v>
      </c>
    </row>
    <row r="3" spans="1:15" x14ac:dyDescent="0.3">
      <c r="A3" s="854">
        <v>1986</v>
      </c>
      <c r="B3" s="701">
        <v>58123</v>
      </c>
      <c r="C3" s="701">
        <v>1</v>
      </c>
      <c r="D3" s="701">
        <v>60380</v>
      </c>
      <c r="E3" s="701">
        <v>1840</v>
      </c>
      <c r="F3" s="701">
        <v>24</v>
      </c>
      <c r="G3" s="701">
        <v>62196</v>
      </c>
      <c r="H3" s="701">
        <v>49788</v>
      </c>
      <c r="I3" s="701">
        <v>39380</v>
      </c>
      <c r="J3" s="1103">
        <v>0.79</v>
      </c>
      <c r="K3" s="1103">
        <v>1</v>
      </c>
      <c r="L3" s="1103">
        <v>1</v>
      </c>
      <c r="M3" s="1957">
        <v>49135</v>
      </c>
      <c r="N3" s="1958">
        <f t="shared" ref="N3:N38" si="0">G3*J3*K3*L3</f>
        <v>49134.840000000004</v>
      </c>
      <c r="O3" s="1959">
        <f t="shared" ref="O3:O38" si="1">ROUND(N3,0)-M3</f>
        <v>0</v>
      </c>
    </row>
    <row r="4" spans="1:15" x14ac:dyDescent="0.3">
      <c r="A4" s="854">
        <v>1987</v>
      </c>
      <c r="B4" s="701">
        <v>116993</v>
      </c>
      <c r="C4" s="701">
        <v>1</v>
      </c>
      <c r="D4" s="701">
        <v>121813</v>
      </c>
      <c r="E4" s="701">
        <v>28553</v>
      </c>
      <c r="F4" s="701">
        <v>55</v>
      </c>
      <c r="G4" s="701">
        <v>150311</v>
      </c>
      <c r="H4" s="701">
        <v>69868</v>
      </c>
      <c r="I4" s="701">
        <v>46049</v>
      </c>
      <c r="J4" s="1103">
        <v>0.66</v>
      </c>
      <c r="K4" s="1103">
        <v>1</v>
      </c>
      <c r="L4" s="1103">
        <v>1</v>
      </c>
      <c r="M4" s="1957">
        <v>99205</v>
      </c>
      <c r="N4" s="1958">
        <f t="shared" si="0"/>
        <v>99205.260000000009</v>
      </c>
      <c r="O4" s="1959">
        <f t="shared" si="1"/>
        <v>0</v>
      </c>
    </row>
    <row r="5" spans="1:15" x14ac:dyDescent="0.3">
      <c r="A5" s="854">
        <v>1988</v>
      </c>
      <c r="B5" s="701">
        <v>79714</v>
      </c>
      <c r="C5" s="701">
        <v>1</v>
      </c>
      <c r="D5" s="701">
        <v>82911</v>
      </c>
      <c r="E5" s="701">
        <v>17632</v>
      </c>
      <c r="F5" s="701">
        <v>45</v>
      </c>
      <c r="G5" s="701">
        <v>100498</v>
      </c>
      <c r="H5" s="701">
        <v>49177</v>
      </c>
      <c r="I5" s="701">
        <v>38463</v>
      </c>
      <c r="J5" s="1103">
        <v>0.78</v>
      </c>
      <c r="K5" s="1103">
        <v>1</v>
      </c>
      <c r="L5" s="1103">
        <v>1</v>
      </c>
      <c r="M5" s="1957">
        <v>78388</v>
      </c>
      <c r="N5" s="1958">
        <f t="shared" si="0"/>
        <v>78388.44</v>
      </c>
      <c r="O5" s="1959">
        <f t="shared" si="1"/>
        <v>0</v>
      </c>
    </row>
    <row r="6" spans="1:15" x14ac:dyDescent="0.3">
      <c r="A6" s="854">
        <v>1989</v>
      </c>
      <c r="B6" s="701">
        <v>41884</v>
      </c>
      <c r="C6" s="701">
        <v>1</v>
      </c>
      <c r="D6" s="701">
        <v>43434</v>
      </c>
      <c r="E6" s="701">
        <v>36</v>
      </c>
      <c r="F6" s="701">
        <v>4</v>
      </c>
      <c r="G6" s="701">
        <v>43466</v>
      </c>
      <c r="H6" s="701">
        <v>37360</v>
      </c>
      <c r="I6" s="701">
        <v>18116</v>
      </c>
      <c r="J6" s="1103">
        <v>0.42</v>
      </c>
      <c r="K6" s="1103">
        <v>1</v>
      </c>
      <c r="L6" s="1103">
        <v>1</v>
      </c>
      <c r="M6" s="1957">
        <v>18256</v>
      </c>
      <c r="N6" s="1958">
        <f t="shared" si="0"/>
        <v>18255.719999999998</v>
      </c>
      <c r="O6" s="1959">
        <f t="shared" si="1"/>
        <v>0</v>
      </c>
    </row>
    <row r="7" spans="1:15" x14ac:dyDescent="0.3">
      <c r="A7" s="1964">
        <v>1990</v>
      </c>
      <c r="B7" s="701">
        <v>49581</v>
      </c>
      <c r="C7" s="701">
        <v>1</v>
      </c>
      <c r="D7" s="701">
        <v>51466</v>
      </c>
      <c r="E7" s="701">
        <v>173</v>
      </c>
      <c r="F7" s="701">
        <v>1</v>
      </c>
      <c r="G7" s="1966">
        <v>51638</v>
      </c>
      <c r="H7" s="701">
        <v>44143</v>
      </c>
      <c r="I7" s="701">
        <v>10412</v>
      </c>
      <c r="J7" s="1968">
        <v>0.23</v>
      </c>
      <c r="K7" s="1968">
        <v>1</v>
      </c>
      <c r="L7" s="1968">
        <v>1</v>
      </c>
      <c r="M7" s="1969">
        <v>12393</v>
      </c>
      <c r="N7" s="1958">
        <f t="shared" si="0"/>
        <v>11876.74</v>
      </c>
      <c r="O7" s="1959">
        <f t="shared" si="1"/>
        <v>-516</v>
      </c>
    </row>
    <row r="8" spans="1:15" x14ac:dyDescent="0.3">
      <c r="A8" s="1964">
        <v>1991</v>
      </c>
      <c r="B8" s="701">
        <v>76481</v>
      </c>
      <c r="C8" s="701">
        <v>1</v>
      </c>
      <c r="D8" s="701">
        <v>79537</v>
      </c>
      <c r="E8" s="701">
        <v>3</v>
      </c>
      <c r="F8" s="701">
        <v>10</v>
      </c>
      <c r="G8" s="1966">
        <v>79530</v>
      </c>
      <c r="H8" s="701">
        <v>62119</v>
      </c>
      <c r="I8" s="701">
        <v>31119</v>
      </c>
      <c r="J8" s="1968">
        <v>0.47</v>
      </c>
      <c r="K8" s="1968">
        <v>1</v>
      </c>
      <c r="L8" s="1968">
        <v>1</v>
      </c>
      <c r="M8" s="1969">
        <v>39765</v>
      </c>
      <c r="N8" s="1958">
        <f t="shared" si="0"/>
        <v>37379.1</v>
      </c>
      <c r="O8" s="1959">
        <f t="shared" si="1"/>
        <v>-2386</v>
      </c>
    </row>
    <row r="9" spans="1:15" x14ac:dyDescent="0.3">
      <c r="A9" s="854">
        <v>1992</v>
      </c>
      <c r="B9" s="701">
        <v>84992</v>
      </c>
      <c r="C9" s="701">
        <v>1</v>
      </c>
      <c r="D9" s="701">
        <v>88419</v>
      </c>
      <c r="E9" s="701">
        <v>8</v>
      </c>
      <c r="F9" s="701">
        <v>35</v>
      </c>
      <c r="G9" s="701">
        <v>88392</v>
      </c>
      <c r="H9" s="701">
        <v>68359</v>
      </c>
      <c r="I9" s="701">
        <v>47489</v>
      </c>
      <c r="J9" s="1103">
        <v>0.69</v>
      </c>
      <c r="K9" s="1103">
        <v>1</v>
      </c>
      <c r="L9" s="1103">
        <v>1</v>
      </c>
      <c r="M9" s="1957">
        <v>60990</v>
      </c>
      <c r="N9" s="1958">
        <f t="shared" si="0"/>
        <v>60990.479999999996</v>
      </c>
      <c r="O9" s="1959">
        <f t="shared" si="1"/>
        <v>0</v>
      </c>
    </row>
    <row r="10" spans="1:15" x14ac:dyDescent="0.3">
      <c r="A10" s="1964">
        <v>1993</v>
      </c>
      <c r="B10" s="701">
        <v>80178</v>
      </c>
      <c r="C10" s="701">
        <v>1</v>
      </c>
      <c r="D10" s="701">
        <v>83395</v>
      </c>
      <c r="E10" s="701">
        <v>64</v>
      </c>
      <c r="F10" s="701">
        <v>18</v>
      </c>
      <c r="G10" s="1966">
        <v>83441</v>
      </c>
      <c r="H10" s="701">
        <v>65630</v>
      </c>
      <c r="I10" s="701">
        <v>31717</v>
      </c>
      <c r="J10" s="1968">
        <v>0.47</v>
      </c>
      <c r="K10" s="1968">
        <v>1</v>
      </c>
      <c r="L10" s="1968">
        <v>1</v>
      </c>
      <c r="M10" s="1969">
        <v>40052</v>
      </c>
      <c r="N10" s="1958">
        <f t="shared" si="0"/>
        <v>39217.269999999997</v>
      </c>
      <c r="O10" s="1959">
        <f t="shared" si="1"/>
        <v>-835</v>
      </c>
    </row>
    <row r="11" spans="1:15" x14ac:dyDescent="0.3">
      <c r="A11" s="854">
        <v>1994</v>
      </c>
      <c r="B11" s="701">
        <v>12678</v>
      </c>
      <c r="C11" s="701">
        <v>1</v>
      </c>
      <c r="D11" s="701">
        <v>12956</v>
      </c>
      <c r="E11" s="701">
        <v>1</v>
      </c>
      <c r="F11" s="701">
        <v>5</v>
      </c>
      <c r="G11" s="701">
        <v>12952</v>
      </c>
      <c r="H11" s="701">
        <v>11367</v>
      </c>
      <c r="I11" s="701">
        <v>1886</v>
      </c>
      <c r="J11" s="1103">
        <v>0.17</v>
      </c>
      <c r="K11" s="1103">
        <v>1</v>
      </c>
      <c r="L11" s="1103">
        <v>1</v>
      </c>
      <c r="M11" s="1957">
        <v>2202</v>
      </c>
      <c r="N11" s="1958">
        <f t="shared" si="0"/>
        <v>2201.84</v>
      </c>
      <c r="O11" s="1959">
        <f t="shared" si="1"/>
        <v>0</v>
      </c>
    </row>
    <row r="12" spans="1:15" x14ac:dyDescent="0.3">
      <c r="A12" s="1964">
        <v>1995</v>
      </c>
      <c r="B12" s="701">
        <v>8774</v>
      </c>
      <c r="C12" s="701">
        <v>1</v>
      </c>
      <c r="D12" s="701">
        <v>8882</v>
      </c>
      <c r="E12" s="701">
        <v>1</v>
      </c>
      <c r="F12" s="701">
        <v>5</v>
      </c>
      <c r="G12" s="1966">
        <v>8878</v>
      </c>
      <c r="H12" s="701">
        <v>8049</v>
      </c>
      <c r="I12" s="701">
        <v>5538</v>
      </c>
      <c r="J12" s="1968">
        <v>0.69</v>
      </c>
      <c r="K12" s="1968">
        <v>1</v>
      </c>
      <c r="L12" s="1968">
        <v>1</v>
      </c>
      <c r="M12" s="1969">
        <v>5238</v>
      </c>
      <c r="N12" s="1958">
        <f t="shared" si="0"/>
        <v>6125.82</v>
      </c>
      <c r="O12" s="1959">
        <f t="shared" si="1"/>
        <v>888</v>
      </c>
    </row>
    <row r="13" spans="1:15" x14ac:dyDescent="0.3">
      <c r="A13" s="854">
        <v>1996</v>
      </c>
      <c r="B13" s="701">
        <v>30232</v>
      </c>
      <c r="C13" s="701">
        <v>1</v>
      </c>
      <c r="D13" s="701">
        <v>31275</v>
      </c>
      <c r="E13" s="701">
        <v>25</v>
      </c>
      <c r="F13" s="701">
        <v>3</v>
      </c>
      <c r="G13" s="701">
        <v>31297</v>
      </c>
      <c r="H13" s="701">
        <v>29500</v>
      </c>
      <c r="I13" s="701">
        <v>21741</v>
      </c>
      <c r="J13" s="1103">
        <v>0.74</v>
      </c>
      <c r="K13" s="1103">
        <v>1</v>
      </c>
      <c r="L13" s="1103">
        <v>1</v>
      </c>
      <c r="M13" s="1957">
        <v>23159</v>
      </c>
      <c r="N13" s="1958">
        <f t="shared" si="0"/>
        <v>23159.78</v>
      </c>
      <c r="O13" s="1959">
        <f t="shared" si="1"/>
        <v>1</v>
      </c>
    </row>
    <row r="14" spans="1:15" x14ac:dyDescent="0.3">
      <c r="A14" s="854">
        <v>1997</v>
      </c>
      <c r="B14" s="701">
        <v>47008</v>
      </c>
      <c r="C14" s="701">
        <v>1</v>
      </c>
      <c r="D14" s="701">
        <v>48781</v>
      </c>
      <c r="E14" s="701">
        <v>12</v>
      </c>
      <c r="F14" s="701">
        <v>16</v>
      </c>
      <c r="G14" s="701">
        <v>48777</v>
      </c>
      <c r="H14" s="701">
        <v>41504</v>
      </c>
      <c r="I14" s="701">
        <v>30661</v>
      </c>
      <c r="J14" s="1103">
        <v>0.74</v>
      </c>
      <c r="K14" s="1103">
        <v>1</v>
      </c>
      <c r="L14" s="1103">
        <v>1</v>
      </c>
      <c r="M14" s="1957">
        <v>36095</v>
      </c>
      <c r="N14" s="1958">
        <f t="shared" si="0"/>
        <v>36094.980000000003</v>
      </c>
      <c r="O14" s="1959">
        <f t="shared" si="1"/>
        <v>0</v>
      </c>
    </row>
    <row r="15" spans="1:15" x14ac:dyDescent="0.3">
      <c r="A15" s="1964">
        <v>1998</v>
      </c>
      <c r="B15" s="701">
        <v>13218</v>
      </c>
      <c r="C15" s="701">
        <v>1</v>
      </c>
      <c r="D15" s="701">
        <v>13520</v>
      </c>
      <c r="E15" s="701">
        <v>2</v>
      </c>
      <c r="F15" s="701">
        <v>4</v>
      </c>
      <c r="G15" s="1966">
        <v>13518</v>
      </c>
      <c r="H15" s="701">
        <v>9334</v>
      </c>
      <c r="I15" s="701">
        <v>5988</v>
      </c>
      <c r="J15" s="1968">
        <v>0.55000000000000004</v>
      </c>
      <c r="K15" s="1968">
        <v>1</v>
      </c>
      <c r="L15" s="1968">
        <v>1</v>
      </c>
      <c r="M15" s="1969">
        <v>7705</v>
      </c>
      <c r="N15" s="1958">
        <f t="shared" si="0"/>
        <v>7434.9000000000005</v>
      </c>
      <c r="O15" s="1959">
        <f t="shared" si="1"/>
        <v>-270</v>
      </c>
    </row>
    <row r="16" spans="1:15" x14ac:dyDescent="0.3">
      <c r="A16" s="854">
        <v>1999</v>
      </c>
      <c r="B16" s="701">
        <v>17877</v>
      </c>
      <c r="C16" s="701">
        <v>1</v>
      </c>
      <c r="D16" s="701">
        <v>18382</v>
      </c>
      <c r="E16" s="701">
        <v>1</v>
      </c>
      <c r="F16" s="701">
        <v>15</v>
      </c>
      <c r="G16" s="701">
        <v>18368</v>
      </c>
      <c r="H16" s="701">
        <v>15627</v>
      </c>
      <c r="I16" s="701">
        <v>14111</v>
      </c>
      <c r="J16" s="1103">
        <v>0.9</v>
      </c>
      <c r="K16" s="1103">
        <v>1</v>
      </c>
      <c r="L16" s="1103">
        <v>1</v>
      </c>
      <c r="M16" s="1957">
        <v>16531</v>
      </c>
      <c r="N16" s="1958">
        <f t="shared" si="0"/>
        <v>16531.2</v>
      </c>
      <c r="O16" s="1959">
        <f t="shared" si="1"/>
        <v>0</v>
      </c>
    </row>
    <row r="17" spans="1:15" x14ac:dyDescent="0.3">
      <c r="A17" s="1964">
        <v>2000</v>
      </c>
      <c r="B17" s="701">
        <v>93398</v>
      </c>
      <c r="C17" s="701">
        <v>1</v>
      </c>
      <c r="D17" s="701">
        <v>97191</v>
      </c>
      <c r="E17" s="701">
        <v>366</v>
      </c>
      <c r="F17" s="701">
        <v>365</v>
      </c>
      <c r="G17" s="1966">
        <v>97192</v>
      </c>
      <c r="H17" s="701">
        <v>76512</v>
      </c>
      <c r="I17" s="701">
        <v>59944</v>
      </c>
      <c r="J17" s="1968">
        <v>0.74</v>
      </c>
      <c r="K17" s="1968">
        <v>1</v>
      </c>
      <c r="L17" s="1968">
        <v>1</v>
      </c>
      <c r="M17" s="1969">
        <v>73866</v>
      </c>
      <c r="N17" s="1958">
        <f t="shared" si="0"/>
        <v>71922.080000000002</v>
      </c>
      <c r="O17" s="1959">
        <f t="shared" si="1"/>
        <v>-1944</v>
      </c>
    </row>
    <row r="18" spans="1:15" x14ac:dyDescent="0.3">
      <c r="A18" s="1964">
        <v>2001</v>
      </c>
      <c r="B18" s="701">
        <v>114934</v>
      </c>
      <c r="C18" s="701">
        <v>1</v>
      </c>
      <c r="D18" s="701">
        <v>119664</v>
      </c>
      <c r="E18" s="701">
        <v>1691</v>
      </c>
      <c r="F18" s="701">
        <v>41</v>
      </c>
      <c r="G18" s="1966">
        <v>121314</v>
      </c>
      <c r="H18" s="701">
        <v>104840</v>
      </c>
      <c r="I18" s="701">
        <v>74486</v>
      </c>
      <c r="J18" s="1968">
        <v>0.7</v>
      </c>
      <c r="K18" s="1968">
        <v>1</v>
      </c>
      <c r="L18" s="1968">
        <v>1</v>
      </c>
      <c r="M18" s="1969">
        <v>83707</v>
      </c>
      <c r="N18" s="1958">
        <f t="shared" si="0"/>
        <v>84919.799999999988</v>
      </c>
      <c r="O18" s="1959">
        <f t="shared" si="1"/>
        <v>1213</v>
      </c>
    </row>
    <row r="19" spans="1:15" x14ac:dyDescent="0.3">
      <c r="A19" s="854">
        <v>2002</v>
      </c>
      <c r="B19" s="701">
        <v>49610</v>
      </c>
      <c r="C19" s="701">
        <v>1</v>
      </c>
      <c r="D19" s="701">
        <v>51496</v>
      </c>
      <c r="E19" s="701">
        <v>24</v>
      </c>
      <c r="F19" s="701">
        <v>64</v>
      </c>
      <c r="G19" s="701">
        <v>51456</v>
      </c>
      <c r="H19" s="701">
        <v>44320</v>
      </c>
      <c r="I19" s="701">
        <v>12373</v>
      </c>
      <c r="J19" s="1103">
        <v>0.28000000000000003</v>
      </c>
      <c r="K19" s="1103">
        <v>1</v>
      </c>
      <c r="L19" s="1103">
        <v>1</v>
      </c>
      <c r="M19" s="1957">
        <v>14408</v>
      </c>
      <c r="N19" s="1958">
        <f t="shared" si="0"/>
        <v>14407.680000000002</v>
      </c>
      <c r="O19" s="1959">
        <f t="shared" si="1"/>
        <v>0</v>
      </c>
    </row>
    <row r="20" spans="1:15" x14ac:dyDescent="0.3">
      <c r="A20" s="854">
        <v>2003</v>
      </c>
      <c r="B20" s="701">
        <v>39291</v>
      </c>
      <c r="C20" s="701">
        <v>1</v>
      </c>
      <c r="D20" s="701">
        <v>40728</v>
      </c>
      <c r="E20" s="701">
        <v>0</v>
      </c>
      <c r="F20" s="701">
        <v>40</v>
      </c>
      <c r="G20" s="701">
        <v>40688</v>
      </c>
      <c r="H20" s="701">
        <v>34779</v>
      </c>
      <c r="I20" s="701">
        <v>30355</v>
      </c>
      <c r="J20" s="1103">
        <v>0.86</v>
      </c>
      <c r="K20" s="1103">
        <v>1</v>
      </c>
      <c r="L20" s="1103">
        <v>1</v>
      </c>
      <c r="M20" s="1957">
        <v>34992</v>
      </c>
      <c r="N20" s="1958">
        <f t="shared" si="0"/>
        <v>34991.68</v>
      </c>
      <c r="O20" s="1959">
        <f t="shared" si="1"/>
        <v>0</v>
      </c>
    </row>
    <row r="21" spans="1:15" x14ac:dyDescent="0.3">
      <c r="A21" s="854">
        <v>2004</v>
      </c>
      <c r="B21" s="701">
        <v>123291</v>
      </c>
      <c r="C21" s="701">
        <v>1</v>
      </c>
      <c r="D21" s="701">
        <v>128385</v>
      </c>
      <c r="E21" s="701">
        <v>682</v>
      </c>
      <c r="F21" s="701">
        <v>118</v>
      </c>
      <c r="G21" s="701">
        <v>128949</v>
      </c>
      <c r="H21" s="701">
        <v>106666</v>
      </c>
      <c r="I21" s="701">
        <v>81338</v>
      </c>
      <c r="J21" s="1103">
        <v>0.71</v>
      </c>
      <c r="K21" s="1103">
        <v>1</v>
      </c>
      <c r="L21" s="1103">
        <v>1</v>
      </c>
      <c r="M21" s="1957">
        <v>91554</v>
      </c>
      <c r="N21" s="1958">
        <f t="shared" si="0"/>
        <v>91553.79</v>
      </c>
      <c r="O21" s="1959">
        <f t="shared" si="1"/>
        <v>0</v>
      </c>
    </row>
    <row r="22" spans="1:15" x14ac:dyDescent="0.3">
      <c r="A22" s="854">
        <v>2005</v>
      </c>
      <c r="B22" s="701">
        <v>72971</v>
      </c>
      <c r="C22" s="701">
        <v>1</v>
      </c>
      <c r="D22" s="701">
        <v>75874</v>
      </c>
      <c r="E22" s="701">
        <v>4</v>
      </c>
      <c r="F22" s="701">
        <v>19</v>
      </c>
      <c r="G22" s="701">
        <v>75859</v>
      </c>
      <c r="H22" s="701">
        <v>71226</v>
      </c>
      <c r="I22" s="701">
        <v>55570</v>
      </c>
      <c r="J22" s="1103">
        <v>0.78</v>
      </c>
      <c r="K22" s="1103">
        <v>1</v>
      </c>
      <c r="L22" s="1103">
        <v>1</v>
      </c>
      <c r="M22" s="1957">
        <v>59170</v>
      </c>
      <c r="N22" s="1958">
        <f t="shared" si="0"/>
        <v>59170.020000000004</v>
      </c>
      <c r="O22" s="1959">
        <f t="shared" si="1"/>
        <v>0</v>
      </c>
    </row>
    <row r="23" spans="1:15" x14ac:dyDescent="0.3">
      <c r="A23" s="854">
        <v>2006</v>
      </c>
      <c r="B23" s="701">
        <v>37066</v>
      </c>
      <c r="C23" s="701">
        <v>1</v>
      </c>
      <c r="D23" s="701">
        <v>38406</v>
      </c>
      <c r="E23" s="701">
        <v>1</v>
      </c>
      <c r="F23" s="701">
        <v>51</v>
      </c>
      <c r="G23" s="701">
        <v>38356</v>
      </c>
      <c r="H23" s="701">
        <v>35132</v>
      </c>
      <c r="I23" s="701">
        <v>25377</v>
      </c>
      <c r="J23" s="1103">
        <v>0.72</v>
      </c>
      <c r="K23" s="1103">
        <v>1</v>
      </c>
      <c r="L23" s="1103">
        <v>1</v>
      </c>
      <c r="M23" s="1957">
        <v>27616</v>
      </c>
      <c r="N23" s="1958">
        <f t="shared" si="0"/>
        <v>27616.32</v>
      </c>
      <c r="O23" s="1959">
        <f t="shared" si="1"/>
        <v>0</v>
      </c>
    </row>
    <row r="24" spans="1:15" x14ac:dyDescent="0.3">
      <c r="A24" s="854">
        <v>2007</v>
      </c>
      <c r="B24" s="701">
        <v>24376</v>
      </c>
      <c r="C24" s="701">
        <v>1</v>
      </c>
      <c r="D24" s="701">
        <v>25164</v>
      </c>
      <c r="E24" s="701">
        <v>0</v>
      </c>
      <c r="F24" s="701">
        <v>58</v>
      </c>
      <c r="G24" s="701">
        <v>25106</v>
      </c>
      <c r="H24" s="701">
        <v>23246</v>
      </c>
      <c r="I24" s="701">
        <v>22273</v>
      </c>
      <c r="J24" s="1103">
        <v>0.89</v>
      </c>
      <c r="K24" s="1103">
        <v>1</v>
      </c>
      <c r="L24" s="1103">
        <v>1</v>
      </c>
      <c r="M24" s="1957">
        <v>22344</v>
      </c>
      <c r="N24" s="1958">
        <f t="shared" si="0"/>
        <v>22344.34</v>
      </c>
      <c r="O24" s="1959">
        <f t="shared" si="1"/>
        <v>0</v>
      </c>
    </row>
    <row r="25" spans="1:15" x14ac:dyDescent="0.3">
      <c r="A25" s="1964">
        <v>2008</v>
      </c>
      <c r="B25" s="701">
        <v>213607</v>
      </c>
      <c r="C25" s="701">
        <v>2</v>
      </c>
      <c r="D25" s="701">
        <v>224525</v>
      </c>
      <c r="E25" s="701">
        <v>974</v>
      </c>
      <c r="F25" s="701">
        <v>890</v>
      </c>
      <c r="G25" s="1966">
        <v>224609</v>
      </c>
      <c r="H25" s="701">
        <v>193739</v>
      </c>
      <c r="I25" s="701">
        <v>165334</v>
      </c>
      <c r="J25" s="1968">
        <v>0.85</v>
      </c>
      <c r="K25" s="1968">
        <v>1</v>
      </c>
      <c r="L25" s="1968">
        <v>0.94</v>
      </c>
      <c r="M25" s="1969">
        <v>178894</v>
      </c>
      <c r="N25" s="1958">
        <f t="shared" si="0"/>
        <v>179462.59099999999</v>
      </c>
      <c r="O25" s="1959">
        <f t="shared" si="1"/>
        <v>569</v>
      </c>
    </row>
    <row r="26" spans="1:15" x14ac:dyDescent="0.3">
      <c r="A26" s="1964">
        <v>2009</v>
      </c>
      <c r="B26" s="701">
        <v>177823</v>
      </c>
      <c r="C26" s="701">
        <v>2</v>
      </c>
      <c r="D26" s="701">
        <v>186485</v>
      </c>
      <c r="E26" s="701">
        <v>1188</v>
      </c>
      <c r="F26" s="701">
        <v>1414</v>
      </c>
      <c r="G26" s="1966">
        <v>186259</v>
      </c>
      <c r="H26" s="701">
        <v>162830</v>
      </c>
      <c r="I26" s="701">
        <v>134937</v>
      </c>
      <c r="J26" s="1968">
        <v>0.83</v>
      </c>
      <c r="K26" s="1968">
        <v>1</v>
      </c>
      <c r="L26" s="1968">
        <v>0.88</v>
      </c>
      <c r="M26" s="1969">
        <v>135329</v>
      </c>
      <c r="N26" s="1958">
        <f t="shared" si="0"/>
        <v>136043.5736</v>
      </c>
      <c r="O26" s="1959">
        <f t="shared" si="1"/>
        <v>715</v>
      </c>
    </row>
    <row r="27" spans="1:15" x14ac:dyDescent="0.3">
      <c r="A27" s="1964">
        <v>2010</v>
      </c>
      <c r="B27" s="701">
        <v>386525</v>
      </c>
      <c r="C27" s="701">
        <v>2</v>
      </c>
      <c r="D27" s="701">
        <v>408346</v>
      </c>
      <c r="E27" s="701">
        <v>468</v>
      </c>
      <c r="F27" s="701">
        <v>1861</v>
      </c>
      <c r="G27" s="1966">
        <v>406953</v>
      </c>
      <c r="H27" s="701">
        <v>338310</v>
      </c>
      <c r="I27" s="701">
        <v>295638</v>
      </c>
      <c r="J27" s="1968">
        <v>0.87</v>
      </c>
      <c r="K27" s="1968">
        <v>1</v>
      </c>
      <c r="L27" s="1968">
        <v>0.97</v>
      </c>
      <c r="M27" s="1969">
        <v>342215</v>
      </c>
      <c r="N27" s="1958">
        <f t="shared" si="0"/>
        <v>343427.63669999997</v>
      </c>
      <c r="O27" s="1959">
        <f t="shared" si="1"/>
        <v>1213</v>
      </c>
    </row>
    <row r="28" spans="1:15" x14ac:dyDescent="0.3">
      <c r="A28" s="1964">
        <v>2011</v>
      </c>
      <c r="B28" s="701">
        <v>185796</v>
      </c>
      <c r="C28" s="701">
        <v>2</v>
      </c>
      <c r="D28" s="701">
        <v>194960</v>
      </c>
      <c r="E28" s="701">
        <v>1873</v>
      </c>
      <c r="F28" s="701">
        <v>1561</v>
      </c>
      <c r="G28" s="1966">
        <v>195272</v>
      </c>
      <c r="H28" s="701">
        <v>146111</v>
      </c>
      <c r="I28" s="701">
        <v>132096</v>
      </c>
      <c r="J28" s="1968">
        <v>0.89</v>
      </c>
      <c r="K28" s="1968">
        <v>0.36</v>
      </c>
      <c r="L28" s="1968">
        <v>0.96</v>
      </c>
      <c r="M28" s="1969">
        <v>59581</v>
      </c>
      <c r="N28" s="1958">
        <f t="shared" si="0"/>
        <v>60062.542847999997</v>
      </c>
      <c r="O28" s="1959">
        <f t="shared" si="1"/>
        <v>482</v>
      </c>
    </row>
    <row r="29" spans="1:15" x14ac:dyDescent="0.3">
      <c r="A29" s="1964">
        <v>2012</v>
      </c>
      <c r="B29" s="701">
        <v>515673</v>
      </c>
      <c r="C29" s="701">
        <v>2</v>
      </c>
      <c r="D29" s="701">
        <v>545637</v>
      </c>
      <c r="E29" s="701">
        <v>5491</v>
      </c>
      <c r="F29" s="701">
        <v>512</v>
      </c>
      <c r="G29" s="1966">
        <v>550616</v>
      </c>
      <c r="H29" s="701">
        <v>410620</v>
      </c>
      <c r="I29" s="701">
        <v>363314</v>
      </c>
      <c r="J29" s="1968">
        <v>0.84</v>
      </c>
      <c r="K29" s="1968">
        <v>0.9</v>
      </c>
      <c r="L29" s="1968">
        <v>0.98</v>
      </c>
      <c r="M29" s="1969">
        <v>403813</v>
      </c>
      <c r="N29" s="1958">
        <f t="shared" si="0"/>
        <v>407940.38208000001</v>
      </c>
      <c r="O29" s="1959">
        <f t="shared" si="1"/>
        <v>4127</v>
      </c>
    </row>
    <row r="30" spans="1:15" x14ac:dyDescent="0.3">
      <c r="A30" s="1964">
        <v>2013</v>
      </c>
      <c r="B30" s="701">
        <v>185505</v>
      </c>
      <c r="C30" s="701">
        <v>2</v>
      </c>
      <c r="D30" s="701">
        <v>194651</v>
      </c>
      <c r="E30" s="701">
        <v>718</v>
      </c>
      <c r="F30" s="701">
        <v>1011</v>
      </c>
      <c r="G30" s="1966">
        <v>194358</v>
      </c>
      <c r="H30" s="701">
        <v>159219</v>
      </c>
      <c r="I30" s="701">
        <v>131660</v>
      </c>
      <c r="J30" s="1968">
        <v>0.82</v>
      </c>
      <c r="K30" s="1968">
        <v>0.8</v>
      </c>
      <c r="L30" s="1968">
        <v>0.77</v>
      </c>
      <c r="M30" s="1969">
        <v>98428</v>
      </c>
      <c r="N30" s="1958">
        <f t="shared" si="0"/>
        <v>98174.112959999999</v>
      </c>
      <c r="O30" s="1959">
        <f t="shared" si="1"/>
        <v>-254</v>
      </c>
    </row>
    <row r="31" spans="1:15" x14ac:dyDescent="0.3">
      <c r="A31" s="1964">
        <v>2014</v>
      </c>
      <c r="B31" s="701">
        <v>614179</v>
      </c>
      <c r="C31" s="701">
        <v>2</v>
      </c>
      <c r="D31" s="701">
        <v>650354</v>
      </c>
      <c r="E31" s="701">
        <v>1738</v>
      </c>
      <c r="F31" s="701">
        <v>2523</v>
      </c>
      <c r="G31" s="1966">
        <v>649569</v>
      </c>
      <c r="H31" s="701">
        <v>581121</v>
      </c>
      <c r="I31" s="701">
        <v>492892</v>
      </c>
      <c r="J31" s="1968">
        <v>0.83</v>
      </c>
      <c r="K31" s="1968">
        <v>0.75</v>
      </c>
      <c r="L31" s="1968">
        <v>0.97</v>
      </c>
      <c r="M31" s="1969">
        <v>392143</v>
      </c>
      <c r="N31" s="1958">
        <f t="shared" si="0"/>
        <v>392226.00142500002</v>
      </c>
      <c r="O31" s="1959">
        <f t="shared" si="1"/>
        <v>83</v>
      </c>
    </row>
    <row r="32" spans="1:15" x14ac:dyDescent="0.3">
      <c r="A32" s="1964">
        <v>2015</v>
      </c>
      <c r="B32" s="701">
        <v>510706</v>
      </c>
      <c r="C32" s="701">
        <v>2</v>
      </c>
      <c r="D32" s="701">
        <v>540357</v>
      </c>
      <c r="E32" s="701">
        <v>1547</v>
      </c>
      <c r="F32" s="701">
        <v>1749</v>
      </c>
      <c r="G32" s="1966">
        <v>540155</v>
      </c>
      <c r="H32" s="701">
        <v>264678</v>
      </c>
      <c r="I32" s="701">
        <v>216389</v>
      </c>
      <c r="J32" s="1968">
        <v>0.81</v>
      </c>
      <c r="K32" s="1968">
        <v>0.42</v>
      </c>
      <c r="L32" s="1968">
        <v>0.98</v>
      </c>
      <c r="M32" s="1969">
        <v>180118</v>
      </c>
      <c r="N32" s="1958">
        <f t="shared" si="0"/>
        <v>180085.51637999999</v>
      </c>
      <c r="O32" s="1959">
        <f t="shared" si="1"/>
        <v>-32</v>
      </c>
    </row>
    <row r="33" spans="1:15" x14ac:dyDescent="0.3">
      <c r="A33" s="1964">
        <v>2016</v>
      </c>
      <c r="B33" s="701">
        <v>342498</v>
      </c>
      <c r="C33" s="701">
        <v>2</v>
      </c>
      <c r="D33" s="701">
        <v>361543</v>
      </c>
      <c r="E33" s="701">
        <v>1197</v>
      </c>
      <c r="F33" s="701">
        <v>946</v>
      </c>
      <c r="G33" s="1966">
        <v>361794</v>
      </c>
      <c r="H33" s="701">
        <v>310341</v>
      </c>
      <c r="I33" s="701">
        <v>235925</v>
      </c>
      <c r="J33" s="1968">
        <v>0.76</v>
      </c>
      <c r="K33" s="1968">
        <v>0.6</v>
      </c>
      <c r="L33" s="1968">
        <v>0.99</v>
      </c>
      <c r="M33" s="1969">
        <v>163322</v>
      </c>
      <c r="N33" s="1958">
        <f t="shared" si="0"/>
        <v>163328.28335999997</v>
      </c>
      <c r="O33" s="1959">
        <f t="shared" si="1"/>
        <v>6</v>
      </c>
    </row>
    <row r="34" spans="1:15" x14ac:dyDescent="0.3">
      <c r="A34" s="1964">
        <v>2017</v>
      </c>
      <c r="B34" s="701">
        <v>87693</v>
      </c>
      <c r="C34" s="701">
        <v>2</v>
      </c>
      <c r="D34" s="701">
        <v>90672</v>
      </c>
      <c r="E34" s="701">
        <v>429</v>
      </c>
      <c r="F34" s="701">
        <v>444</v>
      </c>
      <c r="G34" s="1966">
        <v>90657</v>
      </c>
      <c r="H34" s="701">
        <v>73218</v>
      </c>
      <c r="I34" s="701">
        <v>46701</v>
      </c>
      <c r="J34" s="1968">
        <v>0.64</v>
      </c>
      <c r="K34" s="1968">
        <v>0.27</v>
      </c>
      <c r="L34" s="1968">
        <v>1</v>
      </c>
      <c r="M34" s="1969">
        <v>15680</v>
      </c>
      <c r="N34" s="1958">
        <f t="shared" si="0"/>
        <v>15665.529600000002</v>
      </c>
      <c r="O34" s="1959">
        <f t="shared" si="1"/>
        <v>-14</v>
      </c>
    </row>
    <row r="35" spans="1:15" x14ac:dyDescent="0.3">
      <c r="A35" s="1964">
        <v>2018</v>
      </c>
      <c r="B35" s="701">
        <v>193816</v>
      </c>
      <c r="C35" s="701">
        <v>2</v>
      </c>
      <c r="D35" s="701">
        <v>203486</v>
      </c>
      <c r="E35" s="701">
        <v>112</v>
      </c>
      <c r="F35" s="701">
        <v>297</v>
      </c>
      <c r="G35" s="1966">
        <v>203301</v>
      </c>
      <c r="H35" s="701">
        <v>172009</v>
      </c>
      <c r="I35" s="701">
        <v>162684</v>
      </c>
      <c r="J35" s="1968">
        <v>0.92</v>
      </c>
      <c r="K35" s="1968">
        <v>0.43</v>
      </c>
      <c r="L35" s="1968">
        <v>1</v>
      </c>
      <c r="M35" s="1969">
        <v>79516</v>
      </c>
      <c r="N35" s="1958">
        <f t="shared" si="0"/>
        <v>80425.875599999999</v>
      </c>
      <c r="O35" s="1959">
        <f t="shared" si="1"/>
        <v>910</v>
      </c>
    </row>
    <row r="36" spans="1:15" x14ac:dyDescent="0.3">
      <c r="A36" s="1964">
        <v>2019</v>
      </c>
      <c r="B36" s="701">
        <v>63046</v>
      </c>
      <c r="C36" s="701">
        <v>2</v>
      </c>
      <c r="D36" s="701">
        <v>64470</v>
      </c>
      <c r="E36" s="701">
        <v>41</v>
      </c>
      <c r="F36" s="701">
        <v>335</v>
      </c>
      <c r="G36" s="1966">
        <v>64176</v>
      </c>
      <c r="H36" s="701">
        <v>58562</v>
      </c>
      <c r="I36" s="701">
        <v>50464</v>
      </c>
      <c r="J36" s="1968">
        <v>0.85</v>
      </c>
      <c r="K36" s="1968">
        <v>0.54</v>
      </c>
      <c r="L36" s="1968">
        <v>0.95</v>
      </c>
      <c r="M36" s="1969">
        <v>27804</v>
      </c>
      <c r="N36" s="1958">
        <f t="shared" si="0"/>
        <v>27983.944799999997</v>
      </c>
      <c r="O36" s="1959">
        <f t="shared" si="1"/>
        <v>180</v>
      </c>
    </row>
    <row r="37" spans="1:15" x14ac:dyDescent="0.3">
      <c r="A37" s="1964">
        <v>2020</v>
      </c>
      <c r="B37" s="701">
        <v>341739</v>
      </c>
      <c r="C37" s="701">
        <v>2</v>
      </c>
      <c r="D37" s="701">
        <v>360736</v>
      </c>
      <c r="E37" s="701">
        <v>3357</v>
      </c>
      <c r="F37" s="701">
        <v>750</v>
      </c>
      <c r="G37" s="1966">
        <v>363343</v>
      </c>
      <c r="H37" s="701">
        <v>280440</v>
      </c>
      <c r="I37" s="701">
        <v>249521</v>
      </c>
      <c r="J37" s="1968">
        <v>0.85</v>
      </c>
      <c r="K37" s="1968">
        <v>0.55000000000000004</v>
      </c>
      <c r="L37" s="1968">
        <v>0.97</v>
      </c>
      <c r="M37" s="1969">
        <v>165132</v>
      </c>
      <c r="N37" s="1958">
        <f t="shared" si="0"/>
        <v>164766.96692500002</v>
      </c>
      <c r="O37" s="1959">
        <f t="shared" si="1"/>
        <v>-365</v>
      </c>
    </row>
    <row r="38" spans="1:15" ht="15" thickBot="1" x14ac:dyDescent="0.35">
      <c r="A38" s="1965">
        <v>2021</v>
      </c>
      <c r="B38" s="718">
        <v>151765</v>
      </c>
      <c r="C38" s="718">
        <v>2</v>
      </c>
      <c r="D38" s="718">
        <v>158783</v>
      </c>
      <c r="E38" s="718">
        <v>550</v>
      </c>
      <c r="F38" s="718">
        <v>953</v>
      </c>
      <c r="G38" s="1967">
        <v>158380</v>
      </c>
      <c r="H38" s="718">
        <v>109367</v>
      </c>
      <c r="I38" s="718">
        <v>82643</v>
      </c>
      <c r="J38" s="1970">
        <v>0.72</v>
      </c>
      <c r="K38" s="1970">
        <v>0.53</v>
      </c>
      <c r="L38" s="1970">
        <v>0.94</v>
      </c>
      <c r="M38" s="1971">
        <v>56431</v>
      </c>
      <c r="N38" s="1960">
        <f t="shared" si="0"/>
        <v>56811.539519999991</v>
      </c>
      <c r="O38" s="1961">
        <f t="shared" si="1"/>
        <v>381</v>
      </c>
    </row>
  </sheetData>
  <autoFilter ref="N1:O38" xr:uid="{38324BCA-DDDD-40E2-B815-D83B7D22685D}"/>
  <pageMargins left="0.7" right="0.7" top="0.75" bottom="0.75" header="0.3" footer="0.3"/>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E6E9BD-B0E2-4FD6-89F0-8F489CB9220E}">
  <sheetPr codeName="Sheet32">
    <tabColor theme="7"/>
  </sheetPr>
  <dimension ref="A1:X40"/>
  <sheetViews>
    <sheetView workbookViewId="0">
      <pane xSplit="1" ySplit="3" topLeftCell="B4" activePane="bottomRight" state="frozen"/>
      <selection pane="topRight" activeCell="C15" sqref="C15"/>
      <selection pane="bottomLeft" activeCell="C15" sqref="C15"/>
      <selection pane="bottomRight" activeCell="D15" sqref="D15"/>
    </sheetView>
  </sheetViews>
  <sheetFormatPr defaultRowHeight="14.4" x14ac:dyDescent="0.3"/>
  <cols>
    <col min="1" max="1" width="7" customWidth="1"/>
    <col min="2" max="2" width="6.5546875" bestFit="1" customWidth="1"/>
    <col min="3" max="3" width="13.33203125" bestFit="1" customWidth="1"/>
    <col min="4" max="4" width="8.33203125" customWidth="1"/>
    <col min="5" max="5" width="13.33203125" bestFit="1" customWidth="1"/>
    <col min="6" max="6" width="8.6640625" bestFit="1" customWidth="1"/>
    <col min="7" max="7" width="13.5546875" bestFit="1" customWidth="1"/>
    <col min="8" max="8" width="11" bestFit="1" customWidth="1"/>
    <col min="9" max="9" width="13.33203125" bestFit="1" customWidth="1"/>
    <col min="10" max="10" width="11.33203125" customWidth="1"/>
    <col min="11" max="11" width="4.6640625" customWidth="1"/>
    <col min="12" max="12" width="13.33203125" bestFit="1" customWidth="1"/>
    <col min="13" max="13" width="12.44140625" bestFit="1" customWidth="1"/>
    <col min="14" max="14" width="20.5546875" bestFit="1" customWidth="1"/>
    <col min="15" max="15" width="19.6640625" bestFit="1" customWidth="1"/>
    <col min="16" max="16" width="4" customWidth="1"/>
    <col min="17" max="17" width="19.109375" bestFit="1" customWidth="1"/>
    <col min="18" max="18" width="18.33203125" bestFit="1" customWidth="1"/>
    <col min="19" max="19" width="24.6640625" bestFit="1" customWidth="1"/>
    <col min="20" max="20" width="10.6640625" bestFit="1" customWidth="1"/>
    <col min="21" max="21" width="17.5546875" bestFit="1" customWidth="1"/>
  </cols>
  <sheetData>
    <row r="1" spans="1:24" ht="15.6" thickBot="1" x14ac:dyDescent="0.35">
      <c r="A1" s="1033" t="s">
        <v>1013</v>
      </c>
      <c r="B1" s="1033"/>
      <c r="C1" s="1281"/>
      <c r="D1" s="1282" t="s">
        <v>1014</v>
      </c>
      <c r="E1" s="1033"/>
      <c r="F1" s="1033"/>
      <c r="G1" s="1033"/>
      <c r="I1" s="1033"/>
      <c r="J1" s="1068" t="str">
        <f>"Calculates %Skaha of all SK on spawning grounds, for application to mainstem-dam-based Okanagan Returns estimates. See: SOCKEYE RETURNS DATA ! " &amp; 'Sockeye Returns Data'!BV1</f>
        <v>Calculates %Skaha of all SK on spawning grounds, for application to mainstem-dam-based Okanagan Returns estimates. See: SOCKEYE RETURNS DATA ! %SKA Sockeye (all Spawn Grounds)</v>
      </c>
      <c r="K1" s="1033"/>
      <c r="V1" s="1748">
        <v>19397</v>
      </c>
    </row>
    <row r="2" spans="1:24" s="2" customFormat="1" ht="43.2" customHeight="1" thickBot="1" x14ac:dyDescent="0.35">
      <c r="A2" s="1567"/>
      <c r="B2" s="2639" t="s">
        <v>1015</v>
      </c>
      <c r="C2" s="2640"/>
      <c r="D2" s="2641" t="s">
        <v>1016</v>
      </c>
      <c r="E2" s="2642"/>
      <c r="F2" s="1930" t="s">
        <v>1017</v>
      </c>
      <c r="G2" s="2645" t="s">
        <v>410</v>
      </c>
      <c r="H2" s="2646"/>
      <c r="I2" s="2646"/>
      <c r="J2" s="2647"/>
      <c r="K2"/>
      <c r="L2" s="2643" t="s">
        <v>1018</v>
      </c>
      <c r="M2" s="2644"/>
      <c r="N2" s="1464"/>
      <c r="V2" s="1750">
        <v>17708</v>
      </c>
    </row>
    <row r="3" spans="1:24" ht="15.6" thickBot="1" x14ac:dyDescent="0.35">
      <c r="A3" s="1855" t="s">
        <v>15</v>
      </c>
      <c r="B3" s="1917" t="s">
        <v>1019</v>
      </c>
      <c r="C3" s="1918" t="s">
        <v>975</v>
      </c>
      <c r="D3" s="1924" t="s">
        <v>1019</v>
      </c>
      <c r="E3" s="1933" t="s">
        <v>975</v>
      </c>
      <c r="F3" s="1934" t="s">
        <v>1020</v>
      </c>
      <c r="G3" s="1923" t="s">
        <v>986</v>
      </c>
      <c r="H3" s="1595" t="s">
        <v>987</v>
      </c>
      <c r="I3" s="1598" t="s">
        <v>975</v>
      </c>
      <c r="J3" s="1236" t="s">
        <v>1021</v>
      </c>
      <c r="L3" s="984" t="s">
        <v>1022</v>
      </c>
      <c r="M3" s="1813" t="s">
        <v>1023</v>
      </c>
      <c r="N3" s="1236" t="s">
        <v>1024</v>
      </c>
      <c r="O3" s="1236" t="s">
        <v>1025</v>
      </c>
      <c r="Q3" s="984" t="s">
        <v>1026</v>
      </c>
      <c r="R3" s="1236" t="s">
        <v>1027</v>
      </c>
      <c r="X3" s="1748">
        <v>77533</v>
      </c>
    </row>
    <row r="4" spans="1:24" ht="15.6" thickBot="1" x14ac:dyDescent="0.35">
      <c r="A4" s="1742">
        <v>2000</v>
      </c>
      <c r="B4" s="1600">
        <f>GETPIVOTDATA("Sockeye (HO)",'PIVOT Lake &amp; Spawning Ground'!$A$3,"Rearing Lake","Osoyoos","Year",A4)</f>
        <v>0</v>
      </c>
      <c r="C4" s="1601">
        <v>21838</v>
      </c>
      <c r="D4" s="1925">
        <v>0</v>
      </c>
      <c r="E4" s="1931">
        <v>0</v>
      </c>
      <c r="F4" s="1932">
        <f>(E4+B4)/(E4+C4)</f>
        <v>0</v>
      </c>
      <c r="G4" s="1919">
        <f>I4-H4</f>
        <v>21838</v>
      </c>
      <c r="H4" s="1633">
        <f t="shared" ref="H4:I11" si="0">D4+B4</f>
        <v>0</v>
      </c>
      <c r="I4" s="1634">
        <f t="shared" si="0"/>
        <v>21838</v>
      </c>
      <c r="J4" s="1593">
        <f t="shared" ref="J4:J11" si="1">H4/I4</f>
        <v>0</v>
      </c>
      <c r="L4" s="1592">
        <f>'Sockeye Returns Data'!L25</f>
        <v>59944</v>
      </c>
      <c r="M4" s="1830"/>
      <c r="N4" s="1751"/>
      <c r="O4" s="1594"/>
      <c r="P4" s="1618"/>
      <c r="Q4" s="1829"/>
      <c r="R4" s="1594"/>
      <c r="X4" s="1748"/>
    </row>
    <row r="5" spans="1:24" ht="15.6" thickBot="1" x14ac:dyDescent="0.35">
      <c r="A5" s="1591">
        <v>2001</v>
      </c>
      <c r="B5" s="1600">
        <f>GETPIVOTDATA("Sockeye (HO)",'PIVOT Lake &amp; Spawning Ground'!$A$3,"Rearing Lake","Osoyoos","Year",A5)</f>
        <v>0</v>
      </c>
      <c r="C5" s="1601">
        <v>39024</v>
      </c>
      <c r="D5" s="1925">
        <v>0</v>
      </c>
      <c r="E5" s="1927">
        <v>0</v>
      </c>
      <c r="F5" s="1928">
        <f t="shared" ref="F5:F33" si="2">(E5+B5)/(E5+C5)</f>
        <v>0</v>
      </c>
      <c r="G5" s="1919">
        <f t="shared" ref="G5:G25" si="3">I5-H5</f>
        <v>39024</v>
      </c>
      <c r="H5" s="1633">
        <f t="shared" si="0"/>
        <v>0</v>
      </c>
      <c r="I5" s="1634">
        <f t="shared" si="0"/>
        <v>39024</v>
      </c>
      <c r="J5" s="1593">
        <f t="shared" si="1"/>
        <v>0</v>
      </c>
      <c r="L5" s="1592">
        <f>'Sockeye Returns Data'!L26</f>
        <v>74486</v>
      </c>
      <c r="M5" s="1757"/>
      <c r="N5" s="1751"/>
      <c r="O5" s="1594"/>
      <c r="P5" s="1618"/>
      <c r="Q5" s="1827"/>
      <c r="R5" s="1283"/>
      <c r="X5" s="1748"/>
    </row>
    <row r="6" spans="1:24" ht="15.6" thickBot="1" x14ac:dyDescent="0.35">
      <c r="A6" s="1591">
        <v>2002</v>
      </c>
      <c r="B6" s="1600">
        <f>GETPIVOTDATA("Sockeye (HO)",'PIVOT Lake &amp; Spawning Ground'!$A$3,"Rearing Lake","Osoyoos","Year",A6)</f>
        <v>0</v>
      </c>
      <c r="C6" s="1601">
        <v>3560</v>
      </c>
      <c r="D6" s="1925">
        <v>0</v>
      </c>
      <c r="E6" s="1927">
        <v>0</v>
      </c>
      <c r="F6" s="1928">
        <f t="shared" si="2"/>
        <v>0</v>
      </c>
      <c r="G6" s="1919">
        <f t="shared" si="3"/>
        <v>3560</v>
      </c>
      <c r="H6" s="1633">
        <f t="shared" si="0"/>
        <v>0</v>
      </c>
      <c r="I6" s="1634">
        <f t="shared" si="0"/>
        <v>3560</v>
      </c>
      <c r="J6" s="1593">
        <f t="shared" si="1"/>
        <v>0</v>
      </c>
      <c r="L6" s="1592">
        <f>'Sockeye Returns Data'!L27</f>
        <v>10659</v>
      </c>
      <c r="M6" s="1757"/>
      <c r="N6" s="1751"/>
      <c r="O6" s="1594"/>
      <c r="P6" s="1618"/>
      <c r="Q6" s="1827"/>
      <c r="R6" s="1283"/>
      <c r="X6" s="1748"/>
    </row>
    <row r="7" spans="1:24" ht="15.6" thickBot="1" x14ac:dyDescent="0.35">
      <c r="A7" s="1591">
        <v>2003</v>
      </c>
      <c r="B7" s="1600">
        <f>GETPIVOTDATA("Sockeye (HO)",'PIVOT Lake &amp; Spawning Ground'!$A$3,"Rearing Lake","Osoyoos","Year",A7)</f>
        <v>0</v>
      </c>
      <c r="C7" s="1601">
        <v>17753</v>
      </c>
      <c r="D7" s="1925">
        <v>0</v>
      </c>
      <c r="E7" s="1927">
        <v>0</v>
      </c>
      <c r="F7" s="1928">
        <f t="shared" si="2"/>
        <v>0</v>
      </c>
      <c r="G7" s="1919">
        <f t="shared" si="3"/>
        <v>17753</v>
      </c>
      <c r="H7" s="1633">
        <f t="shared" si="0"/>
        <v>0</v>
      </c>
      <c r="I7" s="1634">
        <f t="shared" si="0"/>
        <v>17753</v>
      </c>
      <c r="J7" s="1593">
        <f t="shared" si="1"/>
        <v>0</v>
      </c>
      <c r="L7" s="1592">
        <f>'Sockeye Returns Data'!L28</f>
        <v>29374</v>
      </c>
      <c r="M7" s="1757"/>
      <c r="N7" s="1751"/>
      <c r="O7" s="1594"/>
      <c r="P7" s="1618"/>
      <c r="Q7" s="1827"/>
      <c r="R7" s="1283"/>
      <c r="X7" s="1748"/>
    </row>
    <row r="8" spans="1:24" ht="15.6" thickBot="1" x14ac:dyDescent="0.35">
      <c r="A8" s="1591">
        <v>2004</v>
      </c>
      <c r="B8" s="1600">
        <f>GETPIVOTDATA("Sockeye (HO)",'PIVOT Lake &amp; Spawning Ground'!$A$3,"Rearing Lake","Osoyoos","Year",A8)</f>
        <v>0</v>
      </c>
      <c r="C8" s="1601">
        <v>41791</v>
      </c>
      <c r="D8" s="1925">
        <v>0</v>
      </c>
      <c r="E8" s="1927">
        <v>0</v>
      </c>
      <c r="F8" s="1928">
        <f t="shared" si="2"/>
        <v>0</v>
      </c>
      <c r="G8" s="1919">
        <f t="shared" si="3"/>
        <v>41791</v>
      </c>
      <c r="H8" s="1633">
        <f t="shared" si="0"/>
        <v>0</v>
      </c>
      <c r="I8" s="1634">
        <f t="shared" si="0"/>
        <v>41791</v>
      </c>
      <c r="J8" s="1593">
        <f t="shared" si="1"/>
        <v>0</v>
      </c>
      <c r="L8" s="1592">
        <f>'Sockeye Returns Data'!L29</f>
        <v>78053</v>
      </c>
      <c r="M8" s="1757"/>
      <c r="N8" s="1751"/>
      <c r="O8" s="1594"/>
      <c r="P8" s="1618"/>
      <c r="Q8" s="1827"/>
      <c r="R8" s="1283"/>
      <c r="X8" s="1748"/>
    </row>
    <row r="9" spans="1:24" ht="15.6" thickBot="1" x14ac:dyDescent="0.35">
      <c r="A9" s="1591">
        <v>2005</v>
      </c>
      <c r="B9" s="1600">
        <f>GETPIVOTDATA("Sockeye (HO)",'PIVOT Lake &amp; Spawning Ground'!$A$3,"Rearing Lake","Osoyoos","Year",A9)</f>
        <v>0</v>
      </c>
      <c r="C9" s="1601">
        <v>31260</v>
      </c>
      <c r="D9" s="1925">
        <v>0</v>
      </c>
      <c r="E9" s="1927">
        <v>0</v>
      </c>
      <c r="F9" s="1928">
        <f t="shared" si="2"/>
        <v>0</v>
      </c>
      <c r="G9" s="1919">
        <f t="shared" si="3"/>
        <v>31260</v>
      </c>
      <c r="H9" s="1633">
        <f t="shared" si="0"/>
        <v>0</v>
      </c>
      <c r="I9" s="1634">
        <f t="shared" si="0"/>
        <v>31260</v>
      </c>
      <c r="J9" s="1593">
        <f t="shared" si="1"/>
        <v>0</v>
      </c>
      <c r="L9" s="1592">
        <f>'Sockeye Returns Data'!L30</f>
        <v>55559</v>
      </c>
      <c r="M9" s="1757"/>
      <c r="N9" s="701"/>
      <c r="O9" s="1594"/>
      <c r="P9" s="1618"/>
      <c r="Q9" s="1827"/>
      <c r="R9" s="1283"/>
      <c r="X9" s="1748"/>
    </row>
    <row r="10" spans="1:24" ht="15.6" thickBot="1" x14ac:dyDescent="0.35">
      <c r="A10" s="1591">
        <v>2006</v>
      </c>
      <c r="B10" s="1600">
        <f>GETPIVOTDATA("Sockeye (HO)",'PIVOT Lake &amp; Spawning Ground'!$A$3,"Rearing Lake","Osoyoos","Year",A10)</f>
        <v>0</v>
      </c>
      <c r="C10" s="1601">
        <v>20819</v>
      </c>
      <c r="D10" s="1925">
        <v>0</v>
      </c>
      <c r="E10" s="1927">
        <v>0</v>
      </c>
      <c r="F10" s="1928">
        <f t="shared" si="2"/>
        <v>0</v>
      </c>
      <c r="G10" s="1919">
        <f t="shared" si="3"/>
        <v>20819</v>
      </c>
      <c r="H10" s="1633">
        <f t="shared" si="0"/>
        <v>0</v>
      </c>
      <c r="I10" s="1634">
        <f t="shared" si="0"/>
        <v>20819</v>
      </c>
      <c r="J10" s="1593">
        <f t="shared" si="1"/>
        <v>0</v>
      </c>
      <c r="L10" s="1592">
        <f>'Sockeye Returns Data'!L31</f>
        <v>22075</v>
      </c>
      <c r="M10" s="1758">
        <v>19397</v>
      </c>
      <c r="N10" s="1763">
        <f>M10/L10</f>
        <v>0.87868629671574183</v>
      </c>
      <c r="O10" s="1594"/>
      <c r="P10" s="1618"/>
      <c r="Q10" s="1827"/>
      <c r="R10" s="1283"/>
      <c r="X10" s="1748"/>
    </row>
    <row r="11" spans="1:24" ht="15.6" thickBot="1" x14ac:dyDescent="0.35">
      <c r="A11" s="1591">
        <v>2007</v>
      </c>
      <c r="B11" s="1600">
        <f>GETPIVOTDATA("Sockeye (HO)",'PIVOT Lake &amp; Spawning Ground'!$A$3,"Rearing Lake","Osoyoos","Year",A11)</f>
        <v>1619</v>
      </c>
      <c r="C11" s="1601">
        <v>13490</v>
      </c>
      <c r="D11" s="1925">
        <v>0</v>
      </c>
      <c r="E11" s="1927">
        <v>0</v>
      </c>
      <c r="F11" s="1928">
        <f t="shared" si="2"/>
        <v>0.12001482579688658</v>
      </c>
      <c r="G11" s="1919">
        <f t="shared" si="3"/>
        <v>11871</v>
      </c>
      <c r="H11" s="1633">
        <f t="shared" si="0"/>
        <v>1619</v>
      </c>
      <c r="I11" s="1634">
        <f t="shared" si="0"/>
        <v>13490</v>
      </c>
      <c r="J11" s="1593">
        <f t="shared" si="1"/>
        <v>0.12001482579688658</v>
      </c>
      <c r="L11" s="1592">
        <f>'Sockeye Returns Data'!L32</f>
        <v>22273</v>
      </c>
      <c r="M11" s="1759">
        <v>17708</v>
      </c>
      <c r="N11" s="1763">
        <f t="shared" ref="N11:N21" si="4">M11/L11</f>
        <v>0.79504332600008976</v>
      </c>
      <c r="O11" s="1594"/>
      <c r="P11" s="1618"/>
      <c r="Q11" s="1827"/>
      <c r="R11" s="1283"/>
      <c r="X11" s="1748"/>
    </row>
    <row r="12" spans="1:24" ht="15.6" thickBot="1" x14ac:dyDescent="0.35">
      <c r="A12" s="1742">
        <v>2008</v>
      </c>
      <c r="B12" s="1600">
        <f>GETPIVOTDATA("Sockeye (HO)",'PIVOT Lake &amp; Spawning Ground'!$A$3,"Rearing Lake","Osoyoos","Year",A12)</f>
        <v>7999</v>
      </c>
      <c r="C12" s="1601">
        <f>GETPIVOTDATA("Total Sockeye",'PIVOT Lake &amp; Spawning Ground'!$A3,"Rearing Lake","Osoyoos","Year",A12)</f>
        <v>126972</v>
      </c>
      <c r="D12" s="1925">
        <f>GETPIVOTDATA("Sockeye (HO)",'PIVOT Lake &amp; Spawning Ground'!$A3,"Rearing Lake","Skaha","Year",$A12)</f>
        <v>0</v>
      </c>
      <c r="E12" s="1927">
        <f>GETPIVOTDATA("Total Sockeye",'PIVOT Lake &amp; Spawning Ground'!$A3,"Rearing Lake","Skaha","Year",$A12)</f>
        <v>0</v>
      </c>
      <c r="F12" s="1928">
        <f t="shared" si="2"/>
        <v>6.2998141322496301E-2</v>
      </c>
      <c r="G12" s="1919">
        <f t="shared" si="3"/>
        <v>118973</v>
      </c>
      <c r="H12" s="1633">
        <f t="shared" ref="H12:H25" si="5">D12+B12</f>
        <v>7999</v>
      </c>
      <c r="I12" s="1634">
        <f t="shared" ref="I12:I25" si="6">E12+C12</f>
        <v>126972</v>
      </c>
      <c r="J12" s="1593">
        <f>H12/I12</f>
        <v>6.2998141322496301E-2</v>
      </c>
      <c r="L12" s="1592">
        <f>'Sockeye Returns Data'!L33</f>
        <v>165334</v>
      </c>
      <c r="M12" s="1758">
        <v>77533</v>
      </c>
      <c r="N12" s="1763">
        <f t="shared" si="4"/>
        <v>0.4689477058560248</v>
      </c>
      <c r="O12" s="1594">
        <f t="shared" ref="O12:O20" si="7">I12/L12</f>
        <v>0.76797270978746057</v>
      </c>
      <c r="P12" s="1618"/>
      <c r="Q12" s="1827">
        <f t="shared" ref="Q12:Q20" si="8">G12/$L12</f>
        <v>0.71959185648444968</v>
      </c>
      <c r="R12" s="1283">
        <f t="shared" ref="R12:R20" si="9">H12/$L12</f>
        <v>4.8380853303010875E-2</v>
      </c>
      <c r="X12" s="1750">
        <v>60970</v>
      </c>
    </row>
    <row r="13" spans="1:24" ht="15.6" thickBot="1" x14ac:dyDescent="0.35">
      <c r="A13" s="1591">
        <v>2009</v>
      </c>
      <c r="B13" s="1600">
        <f>GETPIVOTDATA("Sockeye (HO)",'PIVOT Lake &amp; Spawning Ground'!$A$3,"Rearing Lake","Osoyoos","Year",A13)</f>
        <v>9130</v>
      </c>
      <c r="C13" s="1861">
        <f>GETPIVOTDATA("Total Sockeye",'PIVOT Lake &amp; Spawning Ground'!$A4,"Rearing Lake","Osoyoos","Year",A13)</f>
        <v>68053</v>
      </c>
      <c r="D13" s="1925">
        <f>GETPIVOTDATA("Sockeye (HO)",'PIVOT Lake &amp; Spawning Ground'!$A4,"Rearing Lake","Skaha","Year",$A13)</f>
        <v>0</v>
      </c>
      <c r="E13" s="1927">
        <f>GETPIVOTDATA("Total Sockeye",'PIVOT Lake &amp; Spawning Ground'!$A4,"Rearing Lake","Skaha","Year",$A13)</f>
        <v>0</v>
      </c>
      <c r="F13" s="1928">
        <f t="shared" si="2"/>
        <v>0.13416013989096734</v>
      </c>
      <c r="G13" s="1919">
        <f t="shared" si="3"/>
        <v>58923</v>
      </c>
      <c r="H13" s="1635">
        <f t="shared" si="5"/>
        <v>9130</v>
      </c>
      <c r="I13" s="1636">
        <f t="shared" si="6"/>
        <v>68053</v>
      </c>
      <c r="J13" s="1284">
        <f t="shared" ref="J13:J33" si="10">H13/I13</f>
        <v>0.13416013989096734</v>
      </c>
      <c r="L13" s="1280">
        <f>'Sockeye Returns Data'!L34</f>
        <v>134937</v>
      </c>
      <c r="M13" s="1759">
        <v>60970</v>
      </c>
      <c r="N13" s="1760">
        <f t="shared" si="4"/>
        <v>0.45184048852427428</v>
      </c>
      <c r="O13" s="1283">
        <f t="shared" si="7"/>
        <v>0.50433165106679412</v>
      </c>
      <c r="P13" s="1618"/>
      <c r="Q13" s="1827">
        <f t="shared" si="8"/>
        <v>0.43667044620823053</v>
      </c>
      <c r="R13" s="1283">
        <f t="shared" si="9"/>
        <v>6.7661204858563626E-2</v>
      </c>
      <c r="X13" s="1748">
        <v>208303</v>
      </c>
    </row>
    <row r="14" spans="1:24" ht="15.6" thickBot="1" x14ac:dyDescent="0.35">
      <c r="A14" s="1591">
        <v>2010</v>
      </c>
      <c r="B14" s="1600">
        <f>GETPIVOTDATA("Sockeye (HO)",'PIVOT Lake &amp; Spawning Ground'!$A$3,"Rearing Lake","Osoyoos","Year",A14)</f>
        <v>8500</v>
      </c>
      <c r="C14" s="1861">
        <f>GETPIVOTDATA("Total Sockeye",'PIVOT Lake &amp; Spawning Ground'!$A5,"Rearing Lake","Osoyoos","Year",A14)</f>
        <v>199961</v>
      </c>
      <c r="D14" s="1925">
        <f>GETPIVOTDATA("Sockeye (HO)",'PIVOT Lake &amp; Spawning Ground'!$A5,"Rearing Lake","Skaha","Year",$A14)</f>
        <v>0</v>
      </c>
      <c r="E14" s="1927">
        <f>GETPIVOTDATA("Total Sockeye",'PIVOT Lake &amp; Spawning Ground'!$A5,"Rearing Lake","Skaha","Year",$A14)</f>
        <v>0</v>
      </c>
      <c r="F14" s="1928">
        <f t="shared" si="2"/>
        <v>4.2508289116377697E-2</v>
      </c>
      <c r="G14" s="1919">
        <f t="shared" si="3"/>
        <v>191461</v>
      </c>
      <c r="H14" s="1635">
        <f t="shared" si="5"/>
        <v>8500</v>
      </c>
      <c r="I14" s="1636">
        <f t="shared" si="6"/>
        <v>199961</v>
      </c>
      <c r="J14" s="1284">
        <f t="shared" si="10"/>
        <v>4.2508289116377697E-2</v>
      </c>
      <c r="L14" s="1280">
        <f>'Sockeye Returns Data'!L35</f>
        <v>291764</v>
      </c>
      <c r="M14" s="1758">
        <v>208303</v>
      </c>
      <c r="N14" s="1760">
        <f t="shared" si="4"/>
        <v>0.71394346115353502</v>
      </c>
      <c r="O14" s="1283">
        <f t="shared" si="7"/>
        <v>0.68535185972224122</v>
      </c>
      <c r="P14" s="1618"/>
      <c r="Q14" s="1827">
        <f t="shared" si="8"/>
        <v>0.65621872472272114</v>
      </c>
      <c r="R14" s="1283">
        <f t="shared" si="9"/>
        <v>2.9133134999520159E-2</v>
      </c>
      <c r="X14" s="1750">
        <v>2005</v>
      </c>
    </row>
    <row r="15" spans="1:24" ht="15.6" thickBot="1" x14ac:dyDescent="0.35">
      <c r="A15" s="1639">
        <v>2011</v>
      </c>
      <c r="B15" s="1600">
        <f>GETPIVOTDATA("Sockeye (HO)",'PIVOT Lake &amp; Spawning Ground'!$A$3,"Rearing Lake","Osoyoos","Year",A15)</f>
        <v>1103.3330000000001</v>
      </c>
      <c r="C15" s="1862">
        <f>GETPIVOTDATA("Total Sockeye",'PIVOT Lake &amp; Spawning Ground'!$A6,"Rearing Lake","Osoyoos","Year",A15)</f>
        <v>13021</v>
      </c>
      <c r="D15" s="1925">
        <f>GETPIVOTDATA("Sockeye (HO)",'PIVOT Lake &amp; Spawning Ground'!$A6,"Rearing Lake","Skaha","Year",$A15)</f>
        <v>18303.2</v>
      </c>
      <c r="E15" s="1927">
        <f>GETPIVOTDATA("Total Sockeye",'PIVOT Lake &amp; Spawning Ground'!$A6,"Rearing Lake","Skaha","Year",$A15)</f>
        <v>22879</v>
      </c>
      <c r="F15" s="1928">
        <f t="shared" si="2"/>
        <v>0.66803155988857932</v>
      </c>
      <c r="G15" s="1919">
        <f t="shared" si="3"/>
        <v>16493.467000000001</v>
      </c>
      <c r="H15" s="1596">
        <f t="shared" si="5"/>
        <v>19406.532999999999</v>
      </c>
      <c r="I15" s="1599">
        <f t="shared" si="6"/>
        <v>35900</v>
      </c>
      <c r="J15" s="1284">
        <f>H15/I15</f>
        <v>0.54057194986072421</v>
      </c>
      <c r="L15" s="1280">
        <f>'Sockeye Returns Data'!L36</f>
        <v>111508</v>
      </c>
      <c r="M15" s="1759"/>
      <c r="N15" s="1760"/>
      <c r="O15" s="1283">
        <f t="shared" si="7"/>
        <v>0.32194999461922014</v>
      </c>
      <c r="P15" s="1618"/>
      <c r="Q15" s="1827">
        <f t="shared" si="8"/>
        <v>0.14791285827025863</v>
      </c>
      <c r="R15" s="1283">
        <f t="shared" si="9"/>
        <v>0.17403713634896151</v>
      </c>
      <c r="X15" s="1748">
        <v>17219</v>
      </c>
    </row>
    <row r="16" spans="1:24" ht="15.6" thickBot="1" x14ac:dyDescent="0.35">
      <c r="A16" s="1591">
        <v>2012</v>
      </c>
      <c r="B16" s="1600">
        <f>GETPIVOTDATA("Sockeye (HO)",'PIVOT Lake &amp; Spawning Ground'!$A$3,"Rearing Lake","Osoyoos","Year",A16)</f>
        <v>2704</v>
      </c>
      <c r="C16" s="1861">
        <f>GETPIVOTDATA("Total Sockeye",'PIVOT Lake &amp; Spawning Ground'!$A7,"Rearing Lake","Osoyoos","Year",A16)</f>
        <v>94065</v>
      </c>
      <c r="D16" s="1925">
        <f>GETPIVOTDATA("Sockeye (HO)",'PIVOT Lake &amp; Spawning Ground'!$A7,"Rearing Lake","Skaha","Year",$A16)</f>
        <v>8257</v>
      </c>
      <c r="E16" s="1927">
        <f>GETPIVOTDATA("Total Sockeye",'PIVOT Lake &amp; Spawning Ground'!$A7,"Rearing Lake","Skaha","Year",$A16)</f>
        <v>10994</v>
      </c>
      <c r="F16" s="1928">
        <f t="shared" si="2"/>
        <v>0.13038387953435687</v>
      </c>
      <c r="G16" s="1919">
        <f t="shared" si="3"/>
        <v>94098</v>
      </c>
      <c r="H16" s="1635">
        <f t="shared" si="5"/>
        <v>10961</v>
      </c>
      <c r="I16" s="1636">
        <f t="shared" si="6"/>
        <v>105059</v>
      </c>
      <c r="J16" s="1284">
        <f t="shared" si="10"/>
        <v>0.10433185162622907</v>
      </c>
      <c r="L16" s="1280">
        <f>'Sockeye Returns Data'!L37</f>
        <v>326107</v>
      </c>
      <c r="M16" s="1758">
        <v>17219</v>
      </c>
      <c r="N16" s="1760">
        <f t="shared" si="4"/>
        <v>5.2801687789590532E-2</v>
      </c>
      <c r="O16" s="1283">
        <f t="shared" si="7"/>
        <v>0.32216113116247119</v>
      </c>
      <c r="P16" s="1618"/>
      <c r="Q16" s="1827">
        <f t="shared" si="8"/>
        <v>0.28854946382629015</v>
      </c>
      <c r="R16" s="1283">
        <f t="shared" si="9"/>
        <v>3.3611667336181067E-2</v>
      </c>
      <c r="X16" s="1750">
        <v>16670</v>
      </c>
    </row>
    <row r="17" spans="1:24" ht="15.6" thickBot="1" x14ac:dyDescent="0.35">
      <c r="A17" s="1591">
        <v>2013</v>
      </c>
      <c r="B17" s="1600">
        <f>GETPIVOTDATA("Sockeye (HO)",'PIVOT Lake &amp; Spawning Ground'!$A$3,"Rearing Lake","Osoyoos","Year",A17)</f>
        <v>6502</v>
      </c>
      <c r="C17" s="1861">
        <f>GETPIVOTDATA("Total Sockeye",'PIVOT Lake &amp; Spawning Ground'!$A8,"Rearing Lake","Osoyoos","Year",A17)</f>
        <v>35928</v>
      </c>
      <c r="D17" s="1925">
        <f>GETPIVOTDATA("Sockeye (HO)",'PIVOT Lake &amp; Spawning Ground'!$A8,"Rearing Lake","Skaha","Year",$A17)</f>
        <v>5287</v>
      </c>
      <c r="E17" s="1927">
        <f>GETPIVOTDATA("Total Sockeye",'PIVOT Lake &amp; Spawning Ground'!$A8,"Rearing Lake","Skaha","Year",$A17)</f>
        <v>8904</v>
      </c>
      <c r="F17" s="1928">
        <f t="shared" si="2"/>
        <v>0.34363847251962881</v>
      </c>
      <c r="G17" s="1919">
        <f t="shared" si="3"/>
        <v>33043</v>
      </c>
      <c r="H17" s="1635">
        <f t="shared" si="5"/>
        <v>11789</v>
      </c>
      <c r="I17" s="1636">
        <f t="shared" si="6"/>
        <v>44832</v>
      </c>
      <c r="J17" s="1284">
        <f t="shared" si="10"/>
        <v>0.2629594932191292</v>
      </c>
      <c r="L17" s="1280">
        <f>'Sockeye Returns Data'!L38</f>
        <v>129993</v>
      </c>
      <c r="M17" s="1759">
        <v>16670</v>
      </c>
      <c r="N17" s="1760">
        <f t="shared" si="4"/>
        <v>0.12823767433631042</v>
      </c>
      <c r="O17" s="1283">
        <f t="shared" si="7"/>
        <v>0.34488010892894233</v>
      </c>
      <c r="P17" s="1618"/>
      <c r="Q17" s="1827">
        <f t="shared" si="8"/>
        <v>0.2541906102636296</v>
      </c>
      <c r="R17" s="1283">
        <f t="shared" si="9"/>
        <v>9.0689498665312743E-2</v>
      </c>
      <c r="X17" s="1748">
        <v>325277</v>
      </c>
    </row>
    <row r="18" spans="1:24" ht="15.6" thickBot="1" x14ac:dyDescent="0.35">
      <c r="A18" s="1591">
        <v>2014</v>
      </c>
      <c r="B18" s="1600">
        <f>GETPIVOTDATA("Sockeye (HO)",'PIVOT Lake &amp; Spawning Ground'!$A$3,"Rearing Lake","Osoyoos","Year",A18)</f>
        <v>3910</v>
      </c>
      <c r="C18" s="1861">
        <f>GETPIVOTDATA("Total Sockeye",'PIVOT Lake &amp; Spawning Ground'!$A9,"Rearing Lake","Osoyoos","Year",A18)</f>
        <v>146695</v>
      </c>
      <c r="D18" s="1925">
        <f>GETPIVOTDATA("Sockeye (HO)",'PIVOT Lake &amp; Spawning Ground'!$A9,"Rearing Lake","Skaha","Year",$A18)</f>
        <v>20283.669882338694</v>
      </c>
      <c r="E18" s="1927">
        <f>GETPIVOTDATA("Total Sockeye",'PIVOT Lake &amp; Spawning Ground'!$A9,"Rearing Lake","Skaha","Year",$A18)</f>
        <v>49737</v>
      </c>
      <c r="F18" s="1928">
        <f t="shared" si="2"/>
        <v>0.27310723303738699</v>
      </c>
      <c r="G18" s="1919">
        <f t="shared" si="3"/>
        <v>172238.3301176613</v>
      </c>
      <c r="H18" s="1635">
        <f t="shared" si="5"/>
        <v>24193.669882338694</v>
      </c>
      <c r="I18" s="1636">
        <f t="shared" si="6"/>
        <v>196432</v>
      </c>
      <c r="J18" s="1284">
        <f t="shared" si="10"/>
        <v>0.12316562414646644</v>
      </c>
      <c r="L18" s="1280">
        <f>'Sockeye Returns Data'!L39</f>
        <v>490804</v>
      </c>
      <c r="M18" s="1758">
        <v>325277</v>
      </c>
      <c r="N18" s="1760">
        <f t="shared" si="4"/>
        <v>0.66274317242728253</v>
      </c>
      <c r="O18" s="1283">
        <f t="shared" si="7"/>
        <v>0.4002249370420779</v>
      </c>
      <c r="P18" s="1618"/>
      <c r="Q18" s="1827">
        <f t="shared" si="8"/>
        <v>0.35093098287231012</v>
      </c>
      <c r="R18" s="1283">
        <f t="shared" si="9"/>
        <v>4.9293954169767756E-2</v>
      </c>
      <c r="U18" s="316"/>
      <c r="X18" s="1750">
        <v>37624</v>
      </c>
    </row>
    <row r="19" spans="1:24" ht="15.6" thickBot="1" x14ac:dyDescent="0.35">
      <c r="A19" s="1591">
        <v>2015</v>
      </c>
      <c r="B19" s="1600">
        <f>GETPIVOTDATA("Sockeye (HO)",'PIVOT Lake &amp; Spawning Ground'!$A$3,"Rearing Lake","Osoyoos","Year",A19)</f>
        <v>170</v>
      </c>
      <c r="C19" s="1861">
        <f>GETPIVOTDATA("Total Sockeye",'PIVOT Lake &amp; Spawning Ground'!$A10,"Rearing Lake","Osoyoos","Year",A19)</f>
        <v>10441</v>
      </c>
      <c r="D19" s="1925">
        <f>GETPIVOTDATA("Sockeye (HO)",'PIVOT Lake &amp; Spawning Ground'!$A10,"Rearing Lake","Skaha","Year",$A19)</f>
        <v>0</v>
      </c>
      <c r="E19" s="1927">
        <f>GETPIVOTDATA("Total Sockeye",'PIVOT Lake &amp; Spawning Ground'!$A10,"Rearing Lake","Skaha","Year",$A19)</f>
        <v>14407</v>
      </c>
      <c r="F19" s="1928">
        <f t="shared" si="2"/>
        <v>0.58664681262073404</v>
      </c>
      <c r="G19" s="1919">
        <f t="shared" si="3"/>
        <v>24678</v>
      </c>
      <c r="H19" s="1635">
        <f t="shared" si="5"/>
        <v>170</v>
      </c>
      <c r="I19" s="1636">
        <f t="shared" si="6"/>
        <v>24848</v>
      </c>
      <c r="J19" s="1284">
        <f t="shared" si="10"/>
        <v>6.8415969092079842E-3</v>
      </c>
      <c r="L19" s="1280">
        <f>'Sockeye Returns Data'!L40</f>
        <v>187055</v>
      </c>
      <c r="M19" s="1759">
        <v>37624</v>
      </c>
      <c r="N19" s="1760">
        <f t="shared" si="4"/>
        <v>0.201138702520649</v>
      </c>
      <c r="O19" s="1283">
        <f t="shared" si="7"/>
        <v>0.1328379353666034</v>
      </c>
      <c r="P19" s="1618"/>
      <c r="Q19" s="1827">
        <f t="shared" si="8"/>
        <v>0.13192911175857369</v>
      </c>
      <c r="R19" s="1283">
        <f t="shared" si="9"/>
        <v>9.0882360802972391E-4</v>
      </c>
      <c r="X19" s="1748">
        <v>179868</v>
      </c>
    </row>
    <row r="20" spans="1:24" ht="15.6" thickBot="1" x14ac:dyDescent="0.35">
      <c r="A20" s="1591">
        <v>2016</v>
      </c>
      <c r="B20" s="1600">
        <f>GETPIVOTDATA("Sockeye (HO)",'PIVOT Lake &amp; Spawning Ground'!$A$3,"Rearing Lake","Osoyoos","Year",A20)</f>
        <v>380</v>
      </c>
      <c r="C20" s="1861">
        <f>GETPIVOTDATA("Total Sockeye",'PIVOT Lake &amp; Spawning Ground'!$A11,"Rearing Lake","Osoyoos","Year",A20)</f>
        <v>54812.565999999999</v>
      </c>
      <c r="D20" s="1925">
        <f>GETPIVOTDATA("Sockeye (HO)",'PIVOT Lake &amp; Spawning Ground'!$A11,"Rearing Lake","Skaha","Year",$A20)</f>
        <v>241</v>
      </c>
      <c r="E20" s="1927">
        <f>GETPIVOTDATA("Total Sockeye",'PIVOT Lake &amp; Spawning Ground'!$A11,"Rearing Lake","Skaha","Year",$A20)</f>
        <v>36853</v>
      </c>
      <c r="F20" s="1928">
        <f t="shared" si="2"/>
        <v>0.40618305896894807</v>
      </c>
      <c r="G20" s="1919">
        <f t="shared" si="3"/>
        <v>91044.565999999992</v>
      </c>
      <c r="H20" s="1635">
        <f t="shared" si="5"/>
        <v>621</v>
      </c>
      <c r="I20" s="1636">
        <f t="shared" si="6"/>
        <v>91665.565999999992</v>
      </c>
      <c r="J20" s="1284">
        <f t="shared" si="10"/>
        <v>6.7746267993370607E-3</v>
      </c>
      <c r="L20" s="1280">
        <f>'Sockeye Returns Data'!L41</f>
        <v>216036</v>
      </c>
      <c r="M20" s="1758">
        <v>179868</v>
      </c>
      <c r="N20" s="1760">
        <f t="shared" si="4"/>
        <v>0.83258345831250347</v>
      </c>
      <c r="O20" s="1283">
        <f t="shared" si="7"/>
        <v>0.42430690255327813</v>
      </c>
      <c r="P20" s="1618"/>
      <c r="Q20" s="1827">
        <f t="shared" si="8"/>
        <v>0.421432381640097</v>
      </c>
      <c r="R20" s="1283">
        <f t="shared" si="9"/>
        <v>2.8745209131811364E-3</v>
      </c>
      <c r="X20" s="1750">
        <v>6692</v>
      </c>
    </row>
    <row r="21" spans="1:24" ht="15" x14ac:dyDescent="0.3">
      <c r="A21" s="1591">
        <v>2017</v>
      </c>
      <c r="B21" s="1600">
        <f>GETPIVOTDATA("Sockeye (HO)",'PIVOT Lake &amp; Spawning Ground'!$A$3,"Rearing Lake","Osoyoos","Year",A21)</f>
        <v>0</v>
      </c>
      <c r="C21" s="1861">
        <f>GETPIVOTDATA("Total Sockeye",'PIVOT Lake &amp; Spawning Ground'!$A12,"Rearing Lake","Osoyoos","Year",A21)</f>
        <v>10058</v>
      </c>
      <c r="D21" s="1925">
        <f>GETPIVOTDATA("Sockeye (HO)",'PIVOT Lake &amp; Spawning Ground'!$A12,"Rearing Lake","Skaha","Year",$A21)</f>
        <v>86</v>
      </c>
      <c r="E21" s="1927">
        <f>GETPIVOTDATA("Total Sockeye",'PIVOT Lake &amp; Spawning Ground'!$A12,"Rearing Lake","Skaha","Year",$A21)</f>
        <v>27136</v>
      </c>
      <c r="F21" s="1928">
        <f t="shared" si="2"/>
        <v>0.72958003979136421</v>
      </c>
      <c r="G21" s="1919">
        <f t="shared" si="3"/>
        <v>37108</v>
      </c>
      <c r="H21" s="1635">
        <f t="shared" si="5"/>
        <v>86</v>
      </c>
      <c r="I21" s="1636">
        <f t="shared" si="6"/>
        <v>37194</v>
      </c>
      <c r="J21" s="1284">
        <f t="shared" si="10"/>
        <v>2.3122008926170887E-3</v>
      </c>
      <c r="L21" s="1280">
        <f>'Sockeye Returns Data'!L42</f>
        <v>42299</v>
      </c>
      <c r="M21" s="1759">
        <v>6692</v>
      </c>
      <c r="N21" s="1760">
        <f t="shared" si="4"/>
        <v>0.1582070498120523</v>
      </c>
      <c r="O21" s="1283">
        <f>I21/L21</f>
        <v>0.87931156764935337</v>
      </c>
      <c r="P21" s="1618"/>
      <c r="Q21" s="1827">
        <f t="shared" ref="Q21:R25" si="11">G21/$L21</f>
        <v>0.87727842265774603</v>
      </c>
      <c r="R21" s="1283">
        <f t="shared" si="11"/>
        <v>2.0331449916073667E-3</v>
      </c>
    </row>
    <row r="22" spans="1:24" x14ac:dyDescent="0.3">
      <c r="A22" s="1591">
        <v>2018</v>
      </c>
      <c r="B22" s="1600">
        <f>GETPIVOTDATA("Sockeye (HO)",'PIVOT Lake &amp; Spawning Ground'!$A$3,"Rearing Lake","Osoyoos","Year",A22)</f>
        <v>219</v>
      </c>
      <c r="C22" s="1861">
        <f>GETPIVOTDATA("Total Sockeye",'PIVOT Lake &amp; Spawning Ground'!$A13,"Rearing Lake","Osoyoos","Year",A22)</f>
        <v>31005</v>
      </c>
      <c r="D22" s="1925">
        <f>GETPIVOTDATA("Sockeye (HO)",'PIVOT Lake &amp; Spawning Ground'!$A13,"Rearing Lake","Skaha","Year",$A22)</f>
        <v>4710</v>
      </c>
      <c r="E22" s="1927">
        <f>GETPIVOTDATA("Total Sockeye",'PIVOT Lake &amp; Spawning Ground'!$A13,"Rearing Lake","Skaha","Year",$A22)</f>
        <v>41746</v>
      </c>
      <c r="F22" s="1928">
        <f t="shared" si="2"/>
        <v>0.57683055903011637</v>
      </c>
      <c r="G22" s="1919">
        <f t="shared" si="3"/>
        <v>67822</v>
      </c>
      <c r="H22" s="1635">
        <f t="shared" si="5"/>
        <v>4929</v>
      </c>
      <c r="I22" s="1636">
        <f t="shared" si="6"/>
        <v>72751</v>
      </c>
      <c r="J22" s="1284">
        <f t="shared" si="10"/>
        <v>6.7751646025484183E-2</v>
      </c>
      <c r="L22" s="1280">
        <f>'Sockeye Returns Data'!L43</f>
        <v>153637</v>
      </c>
      <c r="M22" s="701"/>
      <c r="N22" s="1752"/>
      <c r="O22" s="1283">
        <f>I22/L22</f>
        <v>0.47352525758769048</v>
      </c>
      <c r="P22" s="1618"/>
      <c r="Q22" s="1827">
        <f t="shared" si="11"/>
        <v>0.44144314195148304</v>
      </c>
      <c r="R22" s="1283">
        <f t="shared" si="11"/>
        <v>3.2082115636207421E-2</v>
      </c>
    </row>
    <row r="23" spans="1:24" x14ac:dyDescent="0.3">
      <c r="A23" s="1591">
        <v>2019</v>
      </c>
      <c r="B23" s="1600">
        <f>GETPIVOTDATA("Sockeye (HO)",'PIVOT Lake &amp; Spawning Ground'!$A$3,"Rearing Lake","Osoyoos","Year",A23)</f>
        <v>542.99164999999994</v>
      </c>
      <c r="C23" s="1601">
        <f>GETPIVOTDATA("Total Sockeye",'PIVOT Lake &amp; Spawning Ground'!$A14,"Rearing Lake","Osoyoos","Year",A23)</f>
        <v>12967</v>
      </c>
      <c r="D23" s="1925">
        <f>GETPIVOTDATA("Sockeye (HO)",'PIVOT Lake &amp; Spawning Ground'!$A14,"Rearing Lake","Skaha","Year",$A23)</f>
        <v>4332</v>
      </c>
      <c r="E23" s="1927">
        <f>GETPIVOTDATA("Total Sockeye",'PIVOT Lake &amp; Spawning Ground'!$A14,"Rearing Lake","Skaha","Year",$A23)</f>
        <v>10175</v>
      </c>
      <c r="F23" s="1928">
        <f t="shared" si="2"/>
        <v>0.46314024933022213</v>
      </c>
      <c r="G23" s="1919">
        <f t="shared" si="3"/>
        <v>18267.00835</v>
      </c>
      <c r="H23" s="1635">
        <f t="shared" si="5"/>
        <v>4874.9916499999999</v>
      </c>
      <c r="I23" s="1636">
        <f t="shared" si="6"/>
        <v>23142</v>
      </c>
      <c r="J23" s="1284">
        <f t="shared" si="10"/>
        <v>0.21065558940454585</v>
      </c>
      <c r="L23" s="1280">
        <f>'Sockeye Returns Data'!L44</f>
        <v>49862</v>
      </c>
      <c r="M23" s="1752"/>
      <c r="N23" s="1752"/>
      <c r="O23" s="1283">
        <f>I23/L23</f>
        <v>0.46412097388793067</v>
      </c>
      <c r="P23" s="1618"/>
      <c r="Q23" s="1827">
        <f t="shared" si="11"/>
        <v>0.36635129657855681</v>
      </c>
      <c r="R23" s="1283">
        <f t="shared" si="11"/>
        <v>9.7769677309373873E-2</v>
      </c>
    </row>
    <row r="24" spans="1:24" x14ac:dyDescent="0.3">
      <c r="A24" s="1591">
        <v>2020</v>
      </c>
      <c r="B24" s="1600">
        <f>GETPIVOTDATA("Sockeye (HO)",'PIVOT Lake &amp; Spawning Ground'!$A$3,"Rearing Lake","Osoyoos","Year",A24)</f>
        <v>1248</v>
      </c>
      <c r="C24" s="1601">
        <f>GETPIVOTDATA("Total Sockeye",'PIVOT Lake &amp; Spawning Ground'!$A15,"Rearing Lake","Osoyoos","Year",A24)</f>
        <v>47951</v>
      </c>
      <c r="D24" s="1925">
        <f>GETPIVOTDATA("Sockeye (HO)",'PIVOT Lake &amp; Spawning Ground'!$A15,"Rearing Lake","Skaha","Year",$A24)</f>
        <v>17096</v>
      </c>
      <c r="E24" s="1927">
        <f>GETPIVOTDATA("Total Sockeye",'PIVOT Lake &amp; Spawning Ground'!$A15,"Rearing Lake","Skaha","Year",$A24)</f>
        <v>39864</v>
      </c>
      <c r="F24" s="1928">
        <f t="shared" si="2"/>
        <v>0.46816603086033137</v>
      </c>
      <c r="G24" s="1919">
        <f t="shared" si="3"/>
        <v>69471</v>
      </c>
      <c r="H24" s="1635">
        <f t="shared" si="5"/>
        <v>18344</v>
      </c>
      <c r="I24" s="1636">
        <f t="shared" si="6"/>
        <v>87815</v>
      </c>
      <c r="J24" s="1284">
        <f t="shared" si="10"/>
        <v>0.20889369697659854</v>
      </c>
      <c r="L24" s="1280">
        <f>'Sockeye Returns Data'!L45</f>
        <v>226107</v>
      </c>
      <c r="M24" s="1752"/>
      <c r="N24" s="1752"/>
      <c r="O24" s="1283">
        <f>I24/L24</f>
        <v>0.3883780687904399</v>
      </c>
      <c r="P24" s="1618"/>
      <c r="Q24" s="1827">
        <f t="shared" si="11"/>
        <v>0.30724833817617325</v>
      </c>
      <c r="R24" s="1283">
        <f t="shared" si="11"/>
        <v>8.112973061426669E-2</v>
      </c>
    </row>
    <row r="25" spans="1:24" ht="15" thickBot="1" x14ac:dyDescent="0.35">
      <c r="A25" s="1590">
        <v>2021</v>
      </c>
      <c r="B25" s="1873">
        <f>GETPIVOTDATA("Sockeye (HO)",'PIVOT Lake &amp; Spawning Ground'!$A$3,"Rearing Lake","Osoyoos","Year",A25)</f>
        <v>692</v>
      </c>
      <c r="C25" s="1874">
        <f>GETPIVOTDATA("Total Sockeye",'PIVOT Lake &amp; Spawning Ground'!$A16,"Rearing Lake","Osoyoos","Year",A25)</f>
        <v>10497</v>
      </c>
      <c r="D25" s="1926">
        <f>GETPIVOTDATA("Sockeye (HO)",'PIVOT Lake &amp; Spawning Ground'!$A16,"Rearing Lake","Skaha","Year",$A25)</f>
        <v>1551</v>
      </c>
      <c r="E25" s="1887">
        <f>GETPIVOTDATA("Total Sockeye",'PIVOT Lake &amp; Spawning Ground'!$A16,"Rearing Lake","Skaha","Year",$A25)</f>
        <v>8687</v>
      </c>
      <c r="F25" s="1929">
        <f t="shared" si="2"/>
        <v>0.48889699749791493</v>
      </c>
      <c r="G25" s="1920">
        <f t="shared" si="3"/>
        <v>16941</v>
      </c>
      <c r="H25" s="1637">
        <f t="shared" si="5"/>
        <v>2243</v>
      </c>
      <c r="I25" s="1638">
        <f t="shared" si="6"/>
        <v>19184</v>
      </c>
      <c r="J25" s="1605">
        <f t="shared" si="10"/>
        <v>0.11692035029190992</v>
      </c>
      <c r="L25" s="1604">
        <f>'Sockeye Returns Data'!L46</f>
        <v>76255</v>
      </c>
      <c r="M25" s="1753"/>
      <c r="N25" s="1753"/>
      <c r="O25" s="1617">
        <f>I25/L25</f>
        <v>0.2515769457740476</v>
      </c>
      <c r="P25" s="1618"/>
      <c r="Q25" s="1828">
        <f t="shared" si="11"/>
        <v>0.22216248114877712</v>
      </c>
      <c r="R25" s="1617">
        <f t="shared" si="11"/>
        <v>2.9414464625270476E-2</v>
      </c>
    </row>
    <row r="26" spans="1:24" ht="15" thickBot="1" x14ac:dyDescent="0.35">
      <c r="A26" s="1591">
        <v>2022</v>
      </c>
      <c r="B26" s="1873"/>
      <c r="C26" s="1947"/>
      <c r="D26" s="1926"/>
      <c r="E26" s="1948"/>
      <c r="F26" s="1949"/>
      <c r="G26" s="1920"/>
      <c r="H26" s="1950"/>
      <c r="I26" s="1951"/>
      <c r="J26" s="1952"/>
      <c r="L26" s="1953"/>
      <c r="M26" s="444"/>
      <c r="N26" s="444"/>
      <c r="O26" s="1954"/>
      <c r="P26" s="1618"/>
      <c r="Q26" s="1618"/>
      <c r="R26" s="1618"/>
    </row>
    <row r="27" spans="1:24" ht="15" thickBot="1" x14ac:dyDescent="0.35">
      <c r="A27" s="1591">
        <v>2023</v>
      </c>
      <c r="B27" s="1873"/>
      <c r="C27" s="1947"/>
      <c r="D27" s="1926"/>
      <c r="E27" s="1948"/>
      <c r="F27" s="1949"/>
      <c r="G27" s="1920"/>
      <c r="H27" s="1950"/>
      <c r="I27" s="1951"/>
      <c r="J27" s="1952"/>
      <c r="L27" s="1953"/>
      <c r="M27" s="444"/>
      <c r="N27" s="444"/>
      <c r="O27" s="1954"/>
      <c r="P27" s="1618"/>
      <c r="Q27" s="1618"/>
      <c r="R27" s="1618"/>
    </row>
    <row r="28" spans="1:24" ht="15" thickBot="1" x14ac:dyDescent="0.35">
      <c r="A28" s="1590">
        <v>2024</v>
      </c>
      <c r="B28" s="1873"/>
      <c r="C28" s="1947"/>
      <c r="D28" s="1926"/>
      <c r="E28" s="1948"/>
      <c r="F28" s="1949"/>
      <c r="G28" s="1920"/>
      <c r="H28" s="1950"/>
      <c r="I28" s="1951"/>
      <c r="J28" s="1952"/>
      <c r="L28" s="1953"/>
      <c r="M28" s="444"/>
      <c r="N28" s="444"/>
      <c r="O28" s="1954"/>
      <c r="P28" s="1618"/>
      <c r="Q28" s="1618"/>
      <c r="R28" s="1618"/>
    </row>
    <row r="29" spans="1:24" ht="15" thickBot="1" x14ac:dyDescent="0.35">
      <c r="A29" s="1946"/>
      <c r="B29" s="1873"/>
      <c r="C29" s="1947"/>
      <c r="D29" s="1926"/>
      <c r="E29" s="1948"/>
      <c r="F29" s="1949"/>
      <c r="G29" s="1920"/>
      <c r="H29" s="1950"/>
      <c r="I29" s="1951"/>
      <c r="J29" s="1952"/>
      <c r="L29" s="1953"/>
      <c r="M29" s="444"/>
      <c r="N29" s="444"/>
      <c r="O29" s="1954"/>
      <c r="P29" s="1618"/>
      <c r="Q29" s="1618"/>
      <c r="R29" s="1618"/>
    </row>
    <row r="30" spans="1:24" ht="15" thickBot="1" x14ac:dyDescent="0.35">
      <c r="A30" s="1946"/>
      <c r="B30" s="1873"/>
      <c r="C30" s="1947"/>
      <c r="D30" s="1926"/>
      <c r="E30" s="1948"/>
      <c r="F30" s="1949"/>
      <c r="G30" s="1920"/>
      <c r="H30" s="1950"/>
      <c r="I30" s="1951"/>
      <c r="J30" s="1952"/>
      <c r="L30" s="1953"/>
      <c r="M30" s="444"/>
      <c r="N30" s="444"/>
      <c r="O30" s="1954"/>
      <c r="P30" s="1618"/>
      <c r="Q30" s="1618"/>
      <c r="R30" s="1618"/>
    </row>
    <row r="31" spans="1:24" ht="15" thickBot="1" x14ac:dyDescent="0.35">
      <c r="A31" s="1946"/>
      <c r="B31" s="1873"/>
      <c r="C31" s="1947"/>
      <c r="D31" s="1926"/>
      <c r="E31" s="1948"/>
      <c r="F31" s="1949"/>
      <c r="G31" s="1920"/>
      <c r="H31" s="1950"/>
      <c r="I31" s="1951"/>
      <c r="J31" s="1952"/>
      <c r="L31" s="1953"/>
      <c r="M31" s="444"/>
      <c r="N31" s="444"/>
      <c r="O31" s="1954"/>
      <c r="P31" s="1618"/>
      <c r="Q31" s="1618"/>
      <c r="R31" s="1618"/>
    </row>
    <row r="32" spans="1:24" ht="15" thickBot="1" x14ac:dyDescent="0.35">
      <c r="A32" s="1946"/>
      <c r="B32" s="1873"/>
      <c r="C32" s="1947"/>
      <c r="D32" s="1926"/>
      <c r="E32" s="1948"/>
      <c r="F32" s="1949"/>
      <c r="G32" s="1920"/>
      <c r="H32" s="1950"/>
      <c r="I32" s="1951"/>
      <c r="J32" s="1952"/>
      <c r="L32" s="1953"/>
      <c r="M32" s="444"/>
      <c r="N32" s="444"/>
      <c r="O32" s="1954"/>
      <c r="P32" s="1618"/>
      <c r="Q32" s="1618"/>
      <c r="R32" s="1618"/>
    </row>
    <row r="33" spans="1:16" ht="15" thickBot="1" x14ac:dyDescent="0.35">
      <c r="A33" s="1872" t="s">
        <v>751</v>
      </c>
      <c r="B33" s="1875">
        <f>SUM(B4:B25)</f>
        <v>44719.324649999995</v>
      </c>
      <c r="C33" s="1876">
        <f>SUM(C4:C25)</f>
        <v>1051961.5660000001</v>
      </c>
      <c r="D33" s="1876">
        <f>SUM(D4:D25)</f>
        <v>80146.869882338695</v>
      </c>
      <c r="E33" s="1921">
        <f>SUM(E4:E25)</f>
        <v>271382</v>
      </c>
      <c r="F33" s="1922">
        <f t="shared" si="2"/>
        <v>0.23886565270836096</v>
      </c>
      <c r="G33" s="1876">
        <f>SUM(G4:G25)</f>
        <v>1198477.3714676613</v>
      </c>
      <c r="H33" s="1876">
        <f>SUM(H4:H25)</f>
        <v>124866.19453233869</v>
      </c>
      <c r="I33" s="1876">
        <f>SUM(I4:I25)</f>
        <v>1323343.5660000001</v>
      </c>
      <c r="J33" s="1877">
        <f t="shared" si="10"/>
        <v>9.4356596231290918E-2</v>
      </c>
      <c r="K33" s="316"/>
      <c r="L33" s="1616">
        <f>SUM(L12:L25)</f>
        <v>2601698</v>
      </c>
      <c r="M33" s="1754"/>
      <c r="N33" s="1754"/>
      <c r="O33" s="1594">
        <f>I36/L33</f>
        <v>0.4357956096364759</v>
      </c>
      <c r="P33" s="1618"/>
    </row>
    <row r="34" spans="1:16" x14ac:dyDescent="0.3">
      <c r="A34" s="1614" t="s">
        <v>425</v>
      </c>
      <c r="K34" s="316"/>
      <c r="L34" s="1607" t="s">
        <v>425</v>
      </c>
      <c r="M34" s="1755"/>
      <c r="N34" s="1755"/>
      <c r="O34" s="1594">
        <f>AVERAGE($O$12:$O$25)</f>
        <v>0.45435214599561075</v>
      </c>
      <c r="P34" s="1618"/>
    </row>
    <row r="35" spans="1:16" ht="15" thickBot="1" x14ac:dyDescent="0.35">
      <c r="A35" s="1614" t="s">
        <v>424</v>
      </c>
      <c r="K35" s="316"/>
      <c r="L35" s="1607" t="s">
        <v>424</v>
      </c>
      <c r="M35" s="1755"/>
      <c r="N35" s="1755"/>
      <c r="O35" s="1594">
        <f>MIN($O$12:$O$25)</f>
        <v>0.1328379353666034</v>
      </c>
      <c r="P35" s="1618"/>
    </row>
    <row r="36" spans="1:16" ht="15" thickBot="1" x14ac:dyDescent="0.35">
      <c r="A36" s="1614" t="s">
        <v>426</v>
      </c>
      <c r="G36" s="1612">
        <f>SUM(G12:G25)</f>
        <v>1010561.3714676613</v>
      </c>
      <c r="H36" s="1609">
        <f>SUM(H12:H25)</f>
        <v>123247.19453233869</v>
      </c>
      <c r="I36" s="1610">
        <f>SUM($I$12:$I$25)</f>
        <v>1133808.5660000001</v>
      </c>
      <c r="J36" s="1611">
        <f>H36/I36</f>
        <v>0.10870194336875268</v>
      </c>
      <c r="L36" s="1608" t="s">
        <v>426</v>
      </c>
      <c r="M36" s="1756"/>
      <c r="N36" s="1756"/>
      <c r="O36" s="1594">
        <f>MAX($O$12:$O$25)</f>
        <v>0.87931156764935337</v>
      </c>
      <c r="P36" s="1618"/>
    </row>
    <row r="37" spans="1:16" ht="15" thickBot="1" x14ac:dyDescent="0.35">
      <c r="A37" s="1615" t="s">
        <v>234</v>
      </c>
      <c r="G37" s="1606">
        <f>AVERAGE($G$12:$G$25)</f>
        <v>72182.955104832959</v>
      </c>
      <c r="H37" s="1596">
        <f>AVERAGE($H$12:$H$25)</f>
        <v>8803.3710380241919</v>
      </c>
      <c r="I37" s="1599">
        <f>AVERAGE($I$12:$I$25)</f>
        <v>80986.326142857157</v>
      </c>
      <c r="J37" s="1284">
        <f>AVERAGE(J12:J25)</f>
        <v>0.13506037117729222</v>
      </c>
    </row>
    <row r="38" spans="1:16" x14ac:dyDescent="0.3">
      <c r="G38" s="1606">
        <f>MIN($G$12:$G$25)</f>
        <v>16493.467000000001</v>
      </c>
      <c r="H38" s="1596">
        <f>MIN($H$12:$H$25)</f>
        <v>86</v>
      </c>
      <c r="I38" s="1599">
        <f>MIN($I$12:$I$25)</f>
        <v>19184</v>
      </c>
      <c r="J38" s="1284">
        <f>MIN(J12:J25)</f>
        <v>2.3122008926170887E-3</v>
      </c>
    </row>
    <row r="39" spans="1:16" x14ac:dyDescent="0.3">
      <c r="G39" s="1606">
        <f>MAX($G$12:$G$25)</f>
        <v>191461</v>
      </c>
      <c r="H39" s="1596">
        <f>MAX($H$12:$H$25)</f>
        <v>24193.669882338694</v>
      </c>
      <c r="I39" s="1599">
        <f>MAX($I$12:$I$25)</f>
        <v>199961</v>
      </c>
      <c r="J39" s="1284">
        <f>MAX(J12:J25)</f>
        <v>0.54057194986072421</v>
      </c>
    </row>
    <row r="40" spans="1:16" ht="15" thickBot="1" x14ac:dyDescent="0.35">
      <c r="G40" s="1613">
        <f>COUNT(G12:G25)</f>
        <v>14</v>
      </c>
      <c r="H40" s="1597">
        <f>COUNT(H12:H25)</f>
        <v>14</v>
      </c>
      <c r="I40" s="999"/>
      <c r="J40" s="293"/>
    </row>
  </sheetData>
  <sheetProtection formatCells="0" insertRows="0" pivotTables="0"/>
  <mergeCells count="4">
    <mergeCell ref="B2:C2"/>
    <mergeCell ref="D2:E2"/>
    <mergeCell ref="L2:M2"/>
    <mergeCell ref="G2:J2"/>
  </mergeCells>
  <conditionalFormatting sqref="J4:J33">
    <cfRule type="colorScale" priority="9">
      <colorScale>
        <cfvo type="min"/>
        <cfvo type="max"/>
        <color rgb="FFFCFCFF"/>
        <color rgb="FFF8696B"/>
      </colorScale>
    </cfRule>
  </conditionalFormatting>
  <conditionalFormatting sqref="O12:P32">
    <cfRule type="colorScale" priority="10">
      <colorScale>
        <cfvo type="min"/>
        <cfvo type="percentile" val="50"/>
        <cfvo type="max"/>
        <color rgb="FFF8696B"/>
        <color rgb="FFFCFCFF"/>
        <color rgb="FF63BE7B"/>
      </colorScale>
    </cfRule>
  </conditionalFormatting>
  <conditionalFormatting sqref="J38:J39 J36">
    <cfRule type="colorScale" priority="223">
      <colorScale>
        <cfvo type="min"/>
        <cfvo type="max"/>
        <color rgb="FFFCFCFF"/>
        <color rgb="FFF8696B"/>
      </colorScale>
    </cfRule>
  </conditionalFormatting>
  <conditionalFormatting sqref="J37">
    <cfRule type="colorScale" priority="6">
      <colorScale>
        <cfvo type="min"/>
        <cfvo type="max"/>
        <color rgb="FFFCFCFF"/>
        <color rgb="FFF8696B"/>
      </colorScale>
    </cfRule>
  </conditionalFormatting>
  <conditionalFormatting sqref="O33:P36">
    <cfRule type="colorScale" priority="224">
      <colorScale>
        <cfvo type="min"/>
        <cfvo type="percentile" val="50"/>
        <cfvo type="max"/>
        <color rgb="FFF8696B"/>
        <color rgb="FFFCFCFF"/>
        <color rgb="FF63BE7B"/>
      </colorScale>
    </cfRule>
  </conditionalFormatting>
  <conditionalFormatting sqref="Q12:R32">
    <cfRule type="colorScale" priority="5">
      <colorScale>
        <cfvo type="min"/>
        <cfvo type="percentile" val="50"/>
        <cfvo type="max"/>
        <color rgb="FFF8696B"/>
        <color rgb="FFFFEB84"/>
        <color rgb="FF63BE7B"/>
      </colorScale>
    </cfRule>
  </conditionalFormatting>
  <conditionalFormatting sqref="O4:P11">
    <cfRule type="colorScale" priority="4">
      <colorScale>
        <cfvo type="min"/>
        <cfvo type="percentile" val="50"/>
        <cfvo type="max"/>
        <color rgb="FFF8696B"/>
        <color rgb="FFFCFCFF"/>
        <color rgb="FF63BE7B"/>
      </colorScale>
    </cfRule>
  </conditionalFormatting>
  <conditionalFormatting sqref="Q4:R11">
    <cfRule type="colorScale" priority="2">
      <colorScale>
        <cfvo type="min"/>
        <cfvo type="percentile" val="50"/>
        <cfvo type="max"/>
        <color rgb="FFF8696B"/>
        <color rgb="FFFFEB84"/>
        <color rgb="FF63BE7B"/>
      </colorScale>
    </cfRule>
  </conditionalFormatting>
  <conditionalFormatting sqref="F3:F32">
    <cfRule type="colorScale" priority="1">
      <colorScale>
        <cfvo type="min"/>
        <cfvo type="max"/>
        <color rgb="FFFCFCFF"/>
        <color rgb="FFF8696B"/>
      </colorScale>
    </cfRule>
  </conditionalFormatting>
  <pageMargins left="0.7" right="0.7" top="0.75" bottom="0.75" header="0.3" footer="0.3"/>
  <legacy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D357A0-C68C-4EE9-9555-173656151EAF}">
  <sheetPr>
    <tabColor theme="7"/>
  </sheetPr>
  <dimension ref="A1:AB38"/>
  <sheetViews>
    <sheetView zoomScale="90" zoomScaleNormal="90" workbookViewId="0">
      <selection activeCell="C15" sqref="C15"/>
    </sheetView>
  </sheetViews>
  <sheetFormatPr defaultRowHeight="14.4" x14ac:dyDescent="0.3"/>
  <cols>
    <col min="1" max="1" width="9.33203125" bestFit="1" customWidth="1"/>
    <col min="2" max="7" width="14.6640625" bestFit="1" customWidth="1"/>
    <col min="8" max="8" width="12.6640625" bestFit="1" customWidth="1"/>
    <col min="9" max="9" width="12.44140625" bestFit="1" customWidth="1"/>
    <col min="10" max="16" width="12.6640625" bestFit="1" customWidth="1"/>
    <col min="17" max="19" width="8" bestFit="1" customWidth="1"/>
    <col min="20" max="20" width="9.5546875" bestFit="1" customWidth="1"/>
    <col min="21" max="21" width="9" bestFit="1" customWidth="1"/>
    <col min="22" max="22" width="9.88671875" bestFit="1" customWidth="1"/>
    <col min="23" max="23" width="6.6640625" bestFit="1" customWidth="1"/>
    <col min="24" max="24" width="19" bestFit="1" customWidth="1"/>
    <col min="25" max="25" width="8" bestFit="1" customWidth="1"/>
    <col min="26" max="27" width="17.33203125" bestFit="1" customWidth="1"/>
    <col min="28" max="28" width="9.109375" bestFit="1" customWidth="1"/>
  </cols>
  <sheetData>
    <row r="1" spans="1:28" ht="15" thickBot="1" x14ac:dyDescent="0.35">
      <c r="A1" s="1282" t="s">
        <v>995</v>
      </c>
    </row>
    <row r="2" spans="1:28" s="2" customFormat="1" ht="28.2" customHeight="1" thickBot="1" x14ac:dyDescent="0.35">
      <c r="A2" s="1868" t="s">
        <v>1028</v>
      </c>
      <c r="B2" s="1869"/>
      <c r="C2" s="1869"/>
      <c r="D2" s="1870"/>
      <c r="E2" s="1870"/>
      <c r="F2" s="1870"/>
      <c r="G2" s="1870"/>
      <c r="H2" s="1870"/>
      <c r="I2" s="1870"/>
      <c r="J2" s="1870"/>
      <c r="K2" s="1870"/>
      <c r="L2" s="1870"/>
      <c r="M2" s="1870"/>
      <c r="N2" s="1870"/>
      <c r="O2" s="1871"/>
    </row>
    <row r="3" spans="1:28" s="1" customFormat="1" ht="15" thickBot="1" x14ac:dyDescent="0.35">
      <c r="A3" s="1285" t="s">
        <v>15</v>
      </c>
      <c r="B3" s="1854" t="s">
        <v>973</v>
      </c>
      <c r="C3" s="1854" t="s">
        <v>974</v>
      </c>
      <c r="D3"/>
      <c r="E3"/>
      <c r="F3"/>
      <c r="G3"/>
      <c r="H3"/>
      <c r="I3"/>
      <c r="J3"/>
      <c r="K3"/>
      <c r="L3"/>
      <c r="M3"/>
      <c r="N3"/>
      <c r="O3"/>
      <c r="P3"/>
      <c r="Q3"/>
      <c r="R3"/>
      <c r="S3"/>
      <c r="T3"/>
      <c r="U3"/>
      <c r="V3"/>
      <c r="W3"/>
      <c r="X3"/>
      <c r="Y3"/>
      <c r="Z3"/>
      <c r="AA3"/>
      <c r="AB3"/>
    </row>
    <row r="4" spans="1:28" s="1" customFormat="1" x14ac:dyDescent="0.3">
      <c r="A4" s="669">
        <v>2000</v>
      </c>
      <c r="B4" s="701">
        <v>21838</v>
      </c>
      <c r="C4" s="701">
        <v>0</v>
      </c>
      <c r="D4"/>
      <c r="E4"/>
      <c r="F4"/>
      <c r="G4"/>
      <c r="H4"/>
      <c r="I4"/>
      <c r="J4"/>
      <c r="K4"/>
      <c r="L4"/>
      <c r="M4"/>
      <c r="N4"/>
      <c r="O4"/>
      <c r="P4"/>
      <c r="Q4"/>
      <c r="R4"/>
      <c r="S4"/>
      <c r="T4"/>
      <c r="U4"/>
      <c r="V4"/>
      <c r="W4"/>
      <c r="X4"/>
      <c r="Y4"/>
      <c r="Z4"/>
      <c r="AA4"/>
      <c r="AB4"/>
    </row>
    <row r="5" spans="1:28" s="1" customFormat="1" x14ac:dyDescent="0.3">
      <c r="A5" s="669">
        <v>2001</v>
      </c>
      <c r="B5" s="701">
        <v>39024</v>
      </c>
      <c r="C5" s="701">
        <v>0</v>
      </c>
      <c r="D5"/>
      <c r="E5"/>
      <c r="F5"/>
      <c r="G5"/>
      <c r="H5"/>
      <c r="I5"/>
      <c r="J5"/>
      <c r="K5"/>
      <c r="L5"/>
      <c r="M5"/>
      <c r="N5"/>
      <c r="O5"/>
      <c r="P5"/>
      <c r="Q5"/>
      <c r="R5"/>
      <c r="S5"/>
      <c r="T5"/>
      <c r="U5"/>
      <c r="V5"/>
      <c r="W5"/>
      <c r="X5"/>
      <c r="Y5"/>
      <c r="Z5"/>
      <c r="AA5"/>
      <c r="AB5"/>
    </row>
    <row r="6" spans="1:28" s="1" customFormat="1" ht="32.700000000000003" customHeight="1" x14ac:dyDescent="0.3">
      <c r="A6" s="669">
        <v>2002</v>
      </c>
      <c r="B6" s="701">
        <v>3560</v>
      </c>
      <c r="C6" s="701">
        <v>0</v>
      </c>
      <c r="D6"/>
      <c r="E6"/>
      <c r="F6"/>
      <c r="G6"/>
      <c r="H6"/>
      <c r="I6"/>
      <c r="J6"/>
      <c r="K6"/>
      <c r="L6"/>
      <c r="M6"/>
      <c r="N6"/>
      <c r="O6"/>
      <c r="P6"/>
      <c r="Q6"/>
      <c r="R6"/>
      <c r="S6"/>
      <c r="T6"/>
      <c r="U6"/>
      <c r="V6"/>
      <c r="W6"/>
      <c r="X6"/>
      <c r="Y6"/>
      <c r="Z6"/>
      <c r="AA6"/>
      <c r="AB6"/>
    </row>
    <row r="7" spans="1:28" x14ac:dyDescent="0.3">
      <c r="A7" s="669">
        <v>2003</v>
      </c>
      <c r="B7" s="701">
        <v>17753</v>
      </c>
      <c r="C7" s="701">
        <v>0</v>
      </c>
    </row>
    <row r="8" spans="1:28" x14ac:dyDescent="0.3">
      <c r="A8" s="669">
        <v>2004</v>
      </c>
      <c r="B8" s="701">
        <v>41791</v>
      </c>
      <c r="C8" s="701">
        <v>0</v>
      </c>
    </row>
    <row r="9" spans="1:28" x14ac:dyDescent="0.3">
      <c r="A9" s="669">
        <v>2005</v>
      </c>
      <c r="B9" s="701">
        <v>31260</v>
      </c>
      <c r="C9" s="701">
        <v>0</v>
      </c>
    </row>
    <row r="10" spans="1:28" x14ac:dyDescent="0.3">
      <c r="A10" s="669">
        <v>2006</v>
      </c>
      <c r="B10" s="701">
        <v>20819</v>
      </c>
      <c r="C10" s="701">
        <v>0</v>
      </c>
    </row>
    <row r="11" spans="1:28" x14ac:dyDescent="0.3">
      <c r="A11" s="669">
        <v>2007</v>
      </c>
      <c r="B11" s="701">
        <v>11871</v>
      </c>
      <c r="C11" s="701">
        <v>1619</v>
      </c>
    </row>
    <row r="12" spans="1:28" x14ac:dyDescent="0.3">
      <c r="A12" s="669">
        <v>2008</v>
      </c>
      <c r="B12" s="701">
        <v>118973</v>
      </c>
      <c r="C12" s="701">
        <v>7999</v>
      </c>
    </row>
    <row r="13" spans="1:28" x14ac:dyDescent="0.3">
      <c r="A13" s="669">
        <v>2009</v>
      </c>
      <c r="B13" s="701">
        <v>58923</v>
      </c>
      <c r="C13" s="701">
        <v>9130</v>
      </c>
    </row>
    <row r="14" spans="1:28" x14ac:dyDescent="0.3">
      <c r="A14" s="669">
        <v>2010</v>
      </c>
      <c r="B14" s="701">
        <v>191461</v>
      </c>
      <c r="C14" s="701">
        <v>8500</v>
      </c>
    </row>
    <row r="15" spans="1:28" x14ac:dyDescent="0.3">
      <c r="A15" s="1798">
        <v>2011</v>
      </c>
      <c r="B15" s="1631">
        <v>16493.466999999997</v>
      </c>
      <c r="C15" s="1631">
        <v>19406.532999999999</v>
      </c>
    </row>
    <row r="16" spans="1:28" x14ac:dyDescent="0.3">
      <c r="A16" s="669">
        <v>2012</v>
      </c>
      <c r="B16" s="701">
        <v>94098</v>
      </c>
      <c r="C16" s="701">
        <v>10961</v>
      </c>
    </row>
    <row r="17" spans="1:3" x14ac:dyDescent="0.3">
      <c r="A17" s="669">
        <v>2013</v>
      </c>
      <c r="B17" s="701">
        <v>33043</v>
      </c>
      <c r="C17" s="701">
        <v>11789</v>
      </c>
    </row>
    <row r="18" spans="1:3" x14ac:dyDescent="0.3">
      <c r="A18" s="669">
        <v>2014</v>
      </c>
      <c r="B18" s="701">
        <v>172238.3301176613</v>
      </c>
      <c r="C18" s="701">
        <v>24193.669882338694</v>
      </c>
    </row>
    <row r="19" spans="1:3" x14ac:dyDescent="0.3">
      <c r="A19" s="669">
        <v>2015</v>
      </c>
      <c r="B19" s="701">
        <v>24678</v>
      </c>
      <c r="C19" s="701">
        <v>170</v>
      </c>
    </row>
    <row r="20" spans="1:3" x14ac:dyDescent="0.3">
      <c r="A20" s="669">
        <v>2016</v>
      </c>
      <c r="B20" s="701">
        <v>90513</v>
      </c>
      <c r="C20" s="701">
        <v>621</v>
      </c>
    </row>
    <row r="21" spans="1:3" x14ac:dyDescent="0.3">
      <c r="A21" s="669">
        <v>2017</v>
      </c>
      <c r="B21" s="701">
        <v>37108</v>
      </c>
      <c r="C21" s="701">
        <v>86</v>
      </c>
    </row>
    <row r="22" spans="1:3" x14ac:dyDescent="0.3">
      <c r="A22" s="669">
        <v>2018</v>
      </c>
      <c r="B22" s="701">
        <v>67822</v>
      </c>
      <c r="C22" s="701">
        <v>4929</v>
      </c>
    </row>
    <row r="23" spans="1:3" x14ac:dyDescent="0.3">
      <c r="A23" s="669">
        <v>2019</v>
      </c>
      <c r="B23" s="701">
        <v>18213.00835</v>
      </c>
      <c r="C23" s="701">
        <v>4874.9916499999999</v>
      </c>
    </row>
    <row r="24" spans="1:3" x14ac:dyDescent="0.3">
      <c r="A24" s="669">
        <v>2020</v>
      </c>
      <c r="B24" s="701">
        <v>69471</v>
      </c>
      <c r="C24" s="701">
        <v>18344</v>
      </c>
    </row>
    <row r="25" spans="1:3" ht="15" thickBot="1" x14ac:dyDescent="0.35">
      <c r="A25" s="669">
        <v>2021</v>
      </c>
      <c r="B25" s="701">
        <v>16941</v>
      </c>
      <c r="C25" s="701">
        <v>2243</v>
      </c>
    </row>
    <row r="26" spans="1:3" ht="15" thickBot="1" x14ac:dyDescent="0.35">
      <c r="A26" s="2324" t="s">
        <v>221</v>
      </c>
      <c r="B26" s="1389">
        <v>1197891.8054676612</v>
      </c>
      <c r="C26" s="1390">
        <v>124866.19453233869</v>
      </c>
    </row>
    <row r="28" spans="1:3" ht="15" thickBot="1" x14ac:dyDescent="0.35"/>
    <row r="33" spans="2:4" x14ac:dyDescent="0.3">
      <c r="B33" s="444"/>
      <c r="C33" s="444"/>
      <c r="D33" s="1008"/>
    </row>
    <row r="34" spans="2:4" x14ac:dyDescent="0.3">
      <c r="B34" s="444"/>
      <c r="C34" s="444"/>
      <c r="D34" s="1008"/>
    </row>
    <row r="35" spans="2:4" x14ac:dyDescent="0.3">
      <c r="B35" s="444"/>
      <c r="C35" s="444"/>
      <c r="D35" s="1008"/>
    </row>
    <row r="36" spans="2:4" x14ac:dyDescent="0.3">
      <c r="B36" s="444"/>
      <c r="C36" s="444"/>
      <c r="D36" s="1008"/>
    </row>
    <row r="37" spans="2:4" x14ac:dyDescent="0.3">
      <c r="B37" s="444"/>
      <c r="C37" s="444"/>
      <c r="D37" s="1008"/>
    </row>
    <row r="38" spans="2:4" x14ac:dyDescent="0.3">
      <c r="B38" s="444"/>
      <c r="C38" s="444"/>
      <c r="D38" s="1008"/>
    </row>
  </sheetData>
  <sheetProtection formatCells="0" formatColumns="0" formatRows="0"/>
  <conditionalFormatting sqref="O6">
    <cfRule type="colorScale" priority="1">
      <colorScale>
        <cfvo type="min"/>
        <cfvo type="percentile" val="50"/>
        <cfvo type="max"/>
        <color rgb="FF63BE7B"/>
        <color rgb="FFFFEB84"/>
        <color rgb="FFF8696B"/>
      </colorScale>
    </cfRule>
  </conditionalFormatting>
  <pageMargins left="0.7" right="0.7" top="0.75" bottom="0.75" header="0.3" footer="0.3"/>
  <drawing r:id="rId2"/>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6CC6B7-20F7-4A91-AE70-6E84DE3DAA11}">
  <sheetPr codeName="Sheet29">
    <tabColor theme="1"/>
  </sheetPr>
  <dimension ref="A1:I26"/>
  <sheetViews>
    <sheetView workbookViewId="0">
      <selection activeCell="I20" sqref="I20"/>
    </sheetView>
  </sheetViews>
  <sheetFormatPr defaultRowHeight="14.4" x14ac:dyDescent="0.3"/>
  <cols>
    <col min="1" max="1" width="12.44140625" bestFit="1" customWidth="1"/>
    <col min="2" max="2" width="13.109375" bestFit="1" customWidth="1"/>
    <col min="3" max="3" width="14.33203125" bestFit="1" customWidth="1"/>
    <col min="4" max="6" width="10.5546875" bestFit="1" customWidth="1"/>
    <col min="7" max="7" width="11" bestFit="1" customWidth="1"/>
    <col min="8" max="8" width="10.6640625" bestFit="1" customWidth="1"/>
    <col min="9" max="9" width="87.33203125" bestFit="1" customWidth="1"/>
    <col min="10" max="10" width="12.33203125" bestFit="1" customWidth="1"/>
    <col min="11" max="11" width="57.33203125" bestFit="1" customWidth="1"/>
    <col min="12" max="12" width="61.33203125" bestFit="1" customWidth="1"/>
    <col min="13" max="13" width="54.6640625" bestFit="1" customWidth="1"/>
    <col min="14" max="14" width="97.5546875" bestFit="1" customWidth="1"/>
    <col min="15" max="15" width="10.6640625" bestFit="1" customWidth="1"/>
  </cols>
  <sheetData>
    <row r="1" spans="1:9" ht="15.6" x14ac:dyDescent="0.3">
      <c r="A1" s="2648" t="s">
        <v>1029</v>
      </c>
      <c r="B1" s="2648"/>
      <c r="C1" s="2648"/>
      <c r="D1" s="2648"/>
      <c r="E1" s="2648"/>
      <c r="F1" s="2648"/>
      <c r="G1" s="2648"/>
      <c r="I1" s="1068"/>
    </row>
    <row r="2" spans="1:9" ht="15" thickBot="1" x14ac:dyDescent="0.35"/>
    <row r="3" spans="1:9" ht="15" thickBot="1" x14ac:dyDescent="0.35">
      <c r="A3" s="1175" t="s">
        <v>1030</v>
      </c>
      <c r="B3" s="703"/>
      <c r="C3" s="942"/>
      <c r="D3" s="814" t="s">
        <v>1031</v>
      </c>
      <c r="E3" s="705"/>
      <c r="F3" s="703"/>
      <c r="G3" s="942"/>
    </row>
    <row r="4" spans="1:9" ht="15" thickBot="1" x14ac:dyDescent="0.35">
      <c r="A4" s="2320" t="s">
        <v>539</v>
      </c>
      <c r="B4" s="2314" t="s">
        <v>1032</v>
      </c>
      <c r="C4" s="2315" t="s">
        <v>1033</v>
      </c>
      <c r="D4" s="943" t="s">
        <v>891</v>
      </c>
      <c r="E4" s="706" t="s">
        <v>836</v>
      </c>
      <c r="F4" s="704" t="s">
        <v>1034</v>
      </c>
      <c r="G4" s="944" t="s">
        <v>1035</v>
      </c>
    </row>
    <row r="5" spans="1:9" x14ac:dyDescent="0.3">
      <c r="A5" s="2321">
        <v>2003</v>
      </c>
      <c r="B5" s="1069">
        <v>2005</v>
      </c>
      <c r="C5" s="2317">
        <v>2007</v>
      </c>
      <c r="D5" s="2312">
        <v>352500</v>
      </c>
      <c r="E5" s="667"/>
      <c r="F5" s="667"/>
      <c r="G5" s="1171">
        <v>352500</v>
      </c>
    </row>
    <row r="6" spans="1:9" x14ac:dyDescent="0.3">
      <c r="A6" s="2322">
        <v>2004</v>
      </c>
      <c r="B6" s="669">
        <v>2006</v>
      </c>
      <c r="C6" s="2318">
        <v>2008</v>
      </c>
      <c r="D6" s="2312">
        <v>1205500</v>
      </c>
      <c r="E6" s="667"/>
      <c r="F6" s="667"/>
      <c r="G6" s="1171">
        <v>1205500</v>
      </c>
    </row>
    <row r="7" spans="1:9" x14ac:dyDescent="0.3">
      <c r="A7" s="2322">
        <v>2005</v>
      </c>
      <c r="B7" s="669">
        <v>2007</v>
      </c>
      <c r="C7" s="2318">
        <v>2009</v>
      </c>
      <c r="D7" s="2312">
        <v>1384000</v>
      </c>
      <c r="E7" s="667"/>
      <c r="F7" s="667"/>
      <c r="G7" s="1171">
        <v>1384000</v>
      </c>
    </row>
    <row r="8" spans="1:9" x14ac:dyDescent="0.3">
      <c r="A8" s="2322">
        <v>2006</v>
      </c>
      <c r="B8" s="669">
        <v>2008</v>
      </c>
      <c r="C8" s="2318">
        <v>2010</v>
      </c>
      <c r="D8" s="2312">
        <v>1479000</v>
      </c>
      <c r="E8" s="667"/>
      <c r="F8" s="667"/>
      <c r="G8" s="1171">
        <v>1479000</v>
      </c>
    </row>
    <row r="9" spans="1:9" x14ac:dyDescent="0.3">
      <c r="A9" s="2322">
        <v>2007</v>
      </c>
      <c r="B9" s="669">
        <v>2009</v>
      </c>
      <c r="C9" s="2318">
        <v>2011</v>
      </c>
      <c r="D9" s="2312">
        <v>885500</v>
      </c>
      <c r="E9" s="667"/>
      <c r="F9" s="667"/>
      <c r="G9" s="1171">
        <v>885500</v>
      </c>
    </row>
    <row r="10" spans="1:9" x14ac:dyDescent="0.3">
      <c r="A10" s="2322">
        <v>2008</v>
      </c>
      <c r="B10" s="669">
        <v>2010</v>
      </c>
      <c r="C10" s="2318">
        <v>2012</v>
      </c>
      <c r="D10" s="2312">
        <v>1614300</v>
      </c>
      <c r="E10" s="667"/>
      <c r="F10" s="667"/>
      <c r="G10" s="1171">
        <v>1614300</v>
      </c>
    </row>
    <row r="11" spans="1:9" x14ac:dyDescent="0.3">
      <c r="A11" s="2322">
        <v>2009</v>
      </c>
      <c r="B11" s="669">
        <v>2011</v>
      </c>
      <c r="C11" s="2318">
        <v>2013</v>
      </c>
      <c r="D11" s="2312">
        <v>448300</v>
      </c>
      <c r="E11" s="667">
        <v>432400</v>
      </c>
      <c r="F11" s="667"/>
      <c r="G11" s="1171">
        <v>880700</v>
      </c>
    </row>
    <row r="12" spans="1:9" x14ac:dyDescent="0.3">
      <c r="A12" s="2322">
        <v>2010</v>
      </c>
      <c r="B12" s="669">
        <v>2012</v>
      </c>
      <c r="C12" s="2318">
        <v>2014</v>
      </c>
      <c r="D12" s="2312">
        <v>900000</v>
      </c>
      <c r="E12" s="667"/>
      <c r="F12" s="667"/>
      <c r="G12" s="1171">
        <v>900000</v>
      </c>
    </row>
    <row r="13" spans="1:9" x14ac:dyDescent="0.3">
      <c r="A13" s="2322">
        <v>2011</v>
      </c>
      <c r="B13" s="669">
        <v>2013</v>
      </c>
      <c r="C13" s="2318">
        <v>2015</v>
      </c>
      <c r="D13" s="2313">
        <v>0</v>
      </c>
      <c r="E13" s="667">
        <v>837800</v>
      </c>
      <c r="F13" s="667"/>
      <c r="G13" s="1171">
        <v>837800</v>
      </c>
    </row>
    <row r="14" spans="1:9" x14ac:dyDescent="0.3">
      <c r="A14" s="2322">
        <v>2012</v>
      </c>
      <c r="B14" s="669">
        <v>2014</v>
      </c>
      <c r="C14" s="2318">
        <v>2016</v>
      </c>
      <c r="D14" s="2313">
        <v>0</v>
      </c>
      <c r="E14" s="667">
        <v>869300</v>
      </c>
      <c r="F14" s="667"/>
      <c r="G14" s="1171">
        <v>869300</v>
      </c>
    </row>
    <row r="15" spans="1:9" x14ac:dyDescent="0.3">
      <c r="A15" s="2322">
        <v>2013</v>
      </c>
      <c r="B15" s="669">
        <v>2015</v>
      </c>
      <c r="C15" s="2318">
        <v>2017</v>
      </c>
      <c r="D15" s="2313">
        <v>0</v>
      </c>
      <c r="E15" s="667"/>
      <c r="F15" s="667"/>
      <c r="G15" s="2311">
        <v>0</v>
      </c>
    </row>
    <row r="16" spans="1:9" x14ac:dyDescent="0.3">
      <c r="A16" s="2322">
        <v>2014</v>
      </c>
      <c r="B16" s="669">
        <v>2016</v>
      </c>
      <c r="C16" s="2318">
        <v>2018</v>
      </c>
      <c r="D16" s="2312">
        <v>1761794</v>
      </c>
      <c r="E16" s="667"/>
      <c r="F16" s="667"/>
      <c r="G16" s="1171">
        <v>1761794</v>
      </c>
    </row>
    <row r="17" spans="1:7" x14ac:dyDescent="0.3">
      <c r="A17" s="2322">
        <v>2015</v>
      </c>
      <c r="B17" s="669">
        <v>2017</v>
      </c>
      <c r="C17" s="2318">
        <v>2019</v>
      </c>
      <c r="D17" s="2312">
        <v>357578</v>
      </c>
      <c r="E17" s="667"/>
      <c r="F17" s="667">
        <v>9994</v>
      </c>
      <c r="G17" s="1171">
        <v>367572</v>
      </c>
    </row>
    <row r="18" spans="1:7" x14ac:dyDescent="0.3">
      <c r="A18" s="2322">
        <v>2016</v>
      </c>
      <c r="B18" s="669">
        <v>2018</v>
      </c>
      <c r="C18" s="2318">
        <v>2020</v>
      </c>
      <c r="D18" s="2312">
        <v>4493577</v>
      </c>
      <c r="E18" s="667"/>
      <c r="F18" s="667">
        <v>683856</v>
      </c>
      <c r="G18" s="1171">
        <v>5177433</v>
      </c>
    </row>
    <row r="19" spans="1:7" x14ac:dyDescent="0.3">
      <c r="A19" s="2322">
        <v>2017</v>
      </c>
      <c r="B19" s="669">
        <v>2019</v>
      </c>
      <c r="C19" s="2318">
        <v>2021</v>
      </c>
      <c r="D19" s="2312">
        <v>1222602</v>
      </c>
      <c r="E19" s="667"/>
      <c r="F19" s="667">
        <v>10110</v>
      </c>
      <c r="G19" s="1171">
        <v>1232712</v>
      </c>
    </row>
    <row r="20" spans="1:7" x14ac:dyDescent="0.3">
      <c r="A20" s="2322">
        <v>2018</v>
      </c>
      <c r="B20" s="669">
        <v>2020</v>
      </c>
      <c r="C20" s="2318">
        <v>2022</v>
      </c>
      <c r="D20" s="2313">
        <v>0</v>
      </c>
      <c r="E20" s="667"/>
      <c r="F20" s="667">
        <v>4106296</v>
      </c>
      <c r="G20" s="1171">
        <v>4106296</v>
      </c>
    </row>
    <row r="21" spans="1:7" x14ac:dyDescent="0.3">
      <c r="A21" s="2322">
        <v>2019</v>
      </c>
      <c r="B21" s="669">
        <v>2021</v>
      </c>
      <c r="C21" s="2318">
        <v>2023</v>
      </c>
      <c r="D21" s="2312">
        <v>641182</v>
      </c>
      <c r="E21" s="667"/>
      <c r="F21" s="667"/>
      <c r="G21" s="1171">
        <v>641182</v>
      </c>
    </row>
    <row r="22" spans="1:7" x14ac:dyDescent="0.3">
      <c r="A22" s="2322">
        <v>2020</v>
      </c>
      <c r="B22" s="669">
        <v>2022</v>
      </c>
      <c r="C22" s="2318">
        <v>2024</v>
      </c>
      <c r="D22" s="2312">
        <v>2029615</v>
      </c>
      <c r="E22" s="667"/>
      <c r="F22" s="667">
        <v>2070088</v>
      </c>
      <c r="G22" s="1171">
        <v>4099703</v>
      </c>
    </row>
    <row r="23" spans="1:7" x14ac:dyDescent="0.3">
      <c r="A23" s="2322">
        <v>2021</v>
      </c>
      <c r="B23" s="669">
        <v>2023</v>
      </c>
      <c r="C23" s="2318">
        <v>2025</v>
      </c>
      <c r="D23" s="2312">
        <v>333171</v>
      </c>
      <c r="E23" s="667"/>
      <c r="F23" s="667">
        <v>10000</v>
      </c>
      <c r="G23" s="1171">
        <v>343171</v>
      </c>
    </row>
    <row r="24" spans="1:7" x14ac:dyDescent="0.3">
      <c r="A24" s="2322">
        <v>2022</v>
      </c>
      <c r="B24" s="669">
        <v>2024</v>
      </c>
      <c r="C24" s="2318">
        <v>2026</v>
      </c>
      <c r="D24" s="2312">
        <v>752653</v>
      </c>
      <c r="E24" s="667"/>
      <c r="F24" s="667">
        <v>3812941</v>
      </c>
      <c r="G24" s="1171">
        <v>4565594</v>
      </c>
    </row>
    <row r="25" spans="1:7" ht="15" thickBot="1" x14ac:dyDescent="0.35">
      <c r="A25" s="2345">
        <v>2023</v>
      </c>
      <c r="B25" s="706">
        <v>2025</v>
      </c>
      <c r="C25" s="2319">
        <v>2027</v>
      </c>
      <c r="D25" s="2312">
        <v>177560</v>
      </c>
      <c r="E25" s="667"/>
      <c r="F25" s="667">
        <v>1334184</v>
      </c>
      <c r="G25" s="1171">
        <v>1511744</v>
      </c>
    </row>
    <row r="26" spans="1:7" ht="15" thickBot="1" x14ac:dyDescent="0.35">
      <c r="A26" s="2316" t="s">
        <v>1035</v>
      </c>
      <c r="B26" s="1024"/>
      <c r="C26" s="1024"/>
      <c r="D26" s="1172">
        <v>20038832</v>
      </c>
      <c r="E26" s="1173">
        <v>2139500</v>
      </c>
      <c r="F26" s="1173">
        <v>12037469</v>
      </c>
      <c r="G26" s="1174">
        <v>34215801</v>
      </c>
    </row>
  </sheetData>
  <mergeCells count="1">
    <mergeCell ref="A1:G1"/>
  </mergeCells>
  <pageMargins left="0.7" right="0.7" top="0.75" bottom="0.75" header="0.3" footer="0.3"/>
  <legacy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BF6004-10CF-4198-8FC6-B1E446BC3A1E}">
  <sheetPr codeName="Sheet28" filterMode="1">
    <tabColor theme="1"/>
  </sheetPr>
  <dimension ref="A1:U35"/>
  <sheetViews>
    <sheetView zoomScaleNormal="100" workbookViewId="0">
      <pane xSplit="4" ySplit="2" topLeftCell="F20" activePane="bottomRight" state="frozen"/>
      <selection pane="topRight" activeCell="I24" sqref="I24"/>
      <selection pane="bottomLeft" activeCell="I24" sqref="I24"/>
      <selection pane="bottomRight" activeCell="H36" sqref="H36"/>
    </sheetView>
  </sheetViews>
  <sheetFormatPr defaultRowHeight="14.4" x14ac:dyDescent="0.3"/>
  <cols>
    <col min="1" max="4" width="11.6640625" style="664" customWidth="1"/>
    <col min="5" max="5" width="15.44140625" customWidth="1"/>
    <col min="6" max="6" width="44.33203125" bestFit="1" customWidth="1"/>
    <col min="7" max="7" width="19.6640625" style="1271" bestFit="1" customWidth="1"/>
    <col min="8" max="8" width="17.33203125" style="874" customWidth="1"/>
    <col min="9" max="9" width="12.6640625" customWidth="1"/>
    <col min="10" max="10" width="9.6640625" customWidth="1"/>
    <col min="11" max="11" width="14.5546875" customWidth="1"/>
  </cols>
  <sheetData>
    <row r="1" spans="1:12" x14ac:dyDescent="0.3">
      <c r="A1" s="2151" t="s">
        <v>1036</v>
      </c>
      <c r="B1" s="2152"/>
      <c r="C1" s="2152"/>
      <c r="D1" s="2152"/>
      <c r="H1" s="1033" t="s">
        <v>1037</v>
      </c>
      <c r="J1" s="2651" t="s">
        <v>1038</v>
      </c>
      <c r="K1" s="2652"/>
    </row>
    <row r="2" spans="1:12" ht="15" thickBot="1" x14ac:dyDescent="0.35">
      <c r="A2" s="2153" t="s">
        <v>539</v>
      </c>
      <c r="B2" s="2153" t="s">
        <v>1039</v>
      </c>
      <c r="C2" s="2153" t="s">
        <v>1032</v>
      </c>
      <c r="D2" s="2153" t="s">
        <v>1033</v>
      </c>
      <c r="E2" s="1150" t="s">
        <v>1040</v>
      </c>
      <c r="F2" s="1150" t="s">
        <v>1041</v>
      </c>
      <c r="G2" s="2154" t="s">
        <v>1042</v>
      </c>
      <c r="H2" s="1150" t="s">
        <v>1043</v>
      </c>
      <c r="I2" s="664" t="s">
        <v>1044</v>
      </c>
      <c r="J2" s="1197" t="s">
        <v>1044</v>
      </c>
      <c r="K2" s="1197" t="s">
        <v>1045</v>
      </c>
    </row>
    <row r="3" spans="1:12" x14ac:dyDescent="0.3">
      <c r="A3" s="1145">
        <v>2003</v>
      </c>
      <c r="B3" s="1145">
        <f>A3+1</f>
        <v>2004</v>
      </c>
      <c r="C3" s="1145">
        <f>B3+1</f>
        <v>2005</v>
      </c>
      <c r="D3" s="1145">
        <f>C3+2</f>
        <v>2007</v>
      </c>
      <c r="E3" s="1151" t="s">
        <v>1046</v>
      </c>
      <c r="F3" s="1152" t="s">
        <v>892</v>
      </c>
      <c r="G3" s="1145" t="s">
        <v>891</v>
      </c>
      <c r="H3" s="1153">
        <v>352500</v>
      </c>
      <c r="I3" s="1196">
        <f t="shared" ref="I3:I11" si="0">H3/933</f>
        <v>377.81350482315111</v>
      </c>
    </row>
    <row r="4" spans="1:12" x14ac:dyDescent="0.3">
      <c r="A4" s="459">
        <v>2004</v>
      </c>
      <c r="B4" s="1145">
        <f t="shared" ref="B4:C19" si="1">A4+1</f>
        <v>2005</v>
      </c>
      <c r="C4" s="1145">
        <f t="shared" si="1"/>
        <v>2006</v>
      </c>
      <c r="D4" s="1145">
        <f t="shared" ref="D4:D29" si="2">C4+2</f>
        <v>2008</v>
      </c>
      <c r="E4" s="1154" t="s">
        <v>1047</v>
      </c>
      <c r="F4" s="1155" t="s">
        <v>892</v>
      </c>
      <c r="G4" s="1145" t="s">
        <v>891</v>
      </c>
      <c r="H4" s="1156">
        <v>1205500</v>
      </c>
      <c r="I4" s="1196">
        <f t="shared" si="0"/>
        <v>1292.0685959271168</v>
      </c>
    </row>
    <row r="5" spans="1:12" x14ac:dyDescent="0.3">
      <c r="A5" s="459">
        <v>2005</v>
      </c>
      <c r="B5" s="1145">
        <f t="shared" si="1"/>
        <v>2006</v>
      </c>
      <c r="C5" s="1145">
        <f t="shared" si="1"/>
        <v>2007</v>
      </c>
      <c r="D5" s="1145">
        <f t="shared" si="2"/>
        <v>2009</v>
      </c>
      <c r="E5" s="1154" t="s">
        <v>1048</v>
      </c>
      <c r="F5" s="1155" t="s">
        <v>892</v>
      </c>
      <c r="G5" s="1145" t="s">
        <v>891</v>
      </c>
      <c r="H5" s="1156">
        <v>1384000</v>
      </c>
      <c r="I5" s="1196">
        <f t="shared" si="0"/>
        <v>1483.3869239013934</v>
      </c>
    </row>
    <row r="6" spans="1:12" x14ac:dyDescent="0.3">
      <c r="A6" s="459">
        <v>2006</v>
      </c>
      <c r="B6" s="1145">
        <f t="shared" si="1"/>
        <v>2007</v>
      </c>
      <c r="C6" s="1145">
        <f t="shared" si="1"/>
        <v>2008</v>
      </c>
      <c r="D6" s="1145">
        <f t="shared" si="2"/>
        <v>2010</v>
      </c>
      <c r="E6" s="1154" t="s">
        <v>1049</v>
      </c>
      <c r="F6" s="1155" t="s">
        <v>892</v>
      </c>
      <c r="G6" s="1145" t="s">
        <v>891</v>
      </c>
      <c r="H6" s="1156">
        <v>1479000</v>
      </c>
      <c r="I6" s="1196">
        <f t="shared" si="0"/>
        <v>1585.209003215434</v>
      </c>
    </row>
    <row r="7" spans="1:12" x14ac:dyDescent="0.3">
      <c r="A7" s="459">
        <v>2007</v>
      </c>
      <c r="B7" s="1145">
        <f t="shared" si="1"/>
        <v>2008</v>
      </c>
      <c r="C7" s="1145">
        <f t="shared" si="1"/>
        <v>2009</v>
      </c>
      <c r="D7" s="1145">
        <f t="shared" si="2"/>
        <v>2011</v>
      </c>
      <c r="E7" s="1154" t="s">
        <v>1050</v>
      </c>
      <c r="F7" s="1155" t="s">
        <v>892</v>
      </c>
      <c r="G7" s="1145" t="s">
        <v>891</v>
      </c>
      <c r="H7" s="1157">
        <v>885500</v>
      </c>
      <c r="I7" s="1196">
        <f t="shared" si="0"/>
        <v>949.08896034297959</v>
      </c>
    </row>
    <row r="8" spans="1:12" x14ac:dyDescent="0.3">
      <c r="A8" s="459">
        <v>2008</v>
      </c>
      <c r="B8" s="1145">
        <f t="shared" si="1"/>
        <v>2009</v>
      </c>
      <c r="C8" s="1145">
        <f t="shared" si="1"/>
        <v>2010</v>
      </c>
      <c r="D8" s="1145">
        <f t="shared" si="2"/>
        <v>2012</v>
      </c>
      <c r="E8" s="1154" t="s">
        <v>1051</v>
      </c>
      <c r="F8" s="1155" t="s">
        <v>892</v>
      </c>
      <c r="G8" s="1145" t="s">
        <v>891</v>
      </c>
      <c r="H8" s="1157">
        <v>1614300</v>
      </c>
      <c r="I8" s="1196">
        <f t="shared" si="0"/>
        <v>1730.2250803858522</v>
      </c>
    </row>
    <row r="9" spans="1:12" x14ac:dyDescent="0.3">
      <c r="A9" s="459">
        <v>2009</v>
      </c>
      <c r="B9" s="1145">
        <f t="shared" si="1"/>
        <v>2010</v>
      </c>
      <c r="C9" s="1145">
        <f t="shared" si="1"/>
        <v>2011</v>
      </c>
      <c r="D9" s="1145">
        <f t="shared" si="2"/>
        <v>2013</v>
      </c>
      <c r="E9" s="1154" t="s">
        <v>1052</v>
      </c>
      <c r="F9" s="1155" t="s">
        <v>892</v>
      </c>
      <c r="G9" s="1145" t="s">
        <v>891</v>
      </c>
      <c r="H9" s="1157">
        <v>448300</v>
      </c>
      <c r="I9" s="1196">
        <f t="shared" si="0"/>
        <v>480.49303322615219</v>
      </c>
    </row>
    <row r="10" spans="1:12" s="514" customFormat="1" x14ac:dyDescent="0.3">
      <c r="A10" s="1413">
        <v>2009</v>
      </c>
      <c r="B10" s="1414">
        <f t="shared" si="1"/>
        <v>2010</v>
      </c>
      <c r="C10" s="1414">
        <f t="shared" si="1"/>
        <v>2011</v>
      </c>
      <c r="D10" s="1414">
        <f t="shared" si="2"/>
        <v>2013</v>
      </c>
      <c r="E10" s="1415" t="s">
        <v>1053</v>
      </c>
      <c r="F10" s="1416" t="s">
        <v>1054</v>
      </c>
      <c r="G10" s="1413" t="s">
        <v>836</v>
      </c>
      <c r="H10" s="1417">
        <v>432400</v>
      </c>
      <c r="I10" s="1418">
        <f>H10/933</f>
        <v>463.4512325830654</v>
      </c>
      <c r="J10" s="1419">
        <f>AVERAGE(163,88)</f>
        <v>125.5</v>
      </c>
      <c r="K10" s="1420">
        <f>J10*933</f>
        <v>117091.5</v>
      </c>
      <c r="L10" s="1421" t="s">
        <v>1055</v>
      </c>
    </row>
    <row r="11" spans="1:12" x14ac:dyDescent="0.3">
      <c r="A11" s="459">
        <v>2010</v>
      </c>
      <c r="B11" s="1145">
        <f t="shared" si="1"/>
        <v>2011</v>
      </c>
      <c r="C11" s="1145">
        <f t="shared" si="1"/>
        <v>2012</v>
      </c>
      <c r="D11" s="1145">
        <f t="shared" si="2"/>
        <v>2014</v>
      </c>
      <c r="E11" s="1158" t="s">
        <v>1056</v>
      </c>
      <c r="F11" s="1155" t="s">
        <v>892</v>
      </c>
      <c r="G11" s="459" t="s">
        <v>891</v>
      </c>
      <c r="H11" s="1159">
        <v>900000</v>
      </c>
      <c r="I11" s="1196">
        <f t="shared" si="0"/>
        <v>964.6302250803858</v>
      </c>
      <c r="L11" s="1177"/>
    </row>
    <row r="12" spans="1:12" s="514" customFormat="1" x14ac:dyDescent="0.3">
      <c r="A12" s="1413">
        <v>2011</v>
      </c>
      <c r="B12" s="1414">
        <f t="shared" si="1"/>
        <v>2012</v>
      </c>
      <c r="C12" s="1414">
        <f t="shared" si="1"/>
        <v>2013</v>
      </c>
      <c r="D12" s="1414">
        <f t="shared" si="2"/>
        <v>2015</v>
      </c>
      <c r="E12" s="1422" t="s">
        <v>1057</v>
      </c>
      <c r="F12" s="1416" t="s">
        <v>1054</v>
      </c>
      <c r="G12" s="1413" t="s">
        <v>836</v>
      </c>
      <c r="H12" s="1423">
        <v>837800</v>
      </c>
      <c r="I12" s="1418">
        <f>H12/933</f>
        <v>897.96355841371917</v>
      </c>
      <c r="J12" s="1419">
        <f>AVERAGE(315,317)</f>
        <v>316</v>
      </c>
      <c r="K12" s="1420">
        <f>J12*933</f>
        <v>294828</v>
      </c>
      <c r="L12" s="1421" t="s">
        <v>1055</v>
      </c>
    </row>
    <row r="13" spans="1:12" s="514" customFormat="1" x14ac:dyDescent="0.3">
      <c r="A13" s="1413">
        <v>2012</v>
      </c>
      <c r="B13" s="1414">
        <f t="shared" si="1"/>
        <v>2013</v>
      </c>
      <c r="C13" s="1414">
        <f t="shared" si="1"/>
        <v>2014</v>
      </c>
      <c r="D13" s="1414">
        <f t="shared" si="2"/>
        <v>2016</v>
      </c>
      <c r="E13" s="1422" t="s">
        <v>1058</v>
      </c>
      <c r="F13" s="1416" t="s">
        <v>1054</v>
      </c>
      <c r="G13" s="1413" t="s">
        <v>836</v>
      </c>
      <c r="H13" s="1424">
        <v>869300</v>
      </c>
      <c r="I13" s="1425">
        <f>H13/933</f>
        <v>931.72561629153267</v>
      </c>
      <c r="J13" s="1419">
        <f>AVERAGE(66,55,82)</f>
        <v>67.666666666666671</v>
      </c>
      <c r="K13" s="1420">
        <f>J13*933</f>
        <v>63133.000000000007</v>
      </c>
      <c r="L13" s="1421" t="s">
        <v>1055</v>
      </c>
    </row>
    <row r="14" spans="1:12" x14ac:dyDescent="0.3">
      <c r="A14" s="669">
        <v>2011</v>
      </c>
      <c r="B14" s="669">
        <f t="shared" si="1"/>
        <v>2012</v>
      </c>
      <c r="C14" s="669">
        <f t="shared" si="1"/>
        <v>2013</v>
      </c>
      <c r="D14" s="669">
        <f t="shared" si="2"/>
        <v>2015</v>
      </c>
      <c r="E14" s="813" t="s">
        <v>247</v>
      </c>
      <c r="F14" s="813"/>
      <c r="G14" s="459" t="s">
        <v>891</v>
      </c>
      <c r="H14" s="813">
        <v>0</v>
      </c>
      <c r="I14" s="1196"/>
    </row>
    <row r="15" spans="1:12" x14ac:dyDescent="0.3">
      <c r="A15" s="669">
        <v>2012</v>
      </c>
      <c r="B15" s="669">
        <f t="shared" si="1"/>
        <v>2013</v>
      </c>
      <c r="C15" s="669">
        <f t="shared" si="1"/>
        <v>2014</v>
      </c>
      <c r="D15" s="669">
        <f t="shared" si="2"/>
        <v>2016</v>
      </c>
      <c r="E15" s="813" t="s">
        <v>247</v>
      </c>
      <c r="F15" s="813"/>
      <c r="G15" s="459" t="s">
        <v>891</v>
      </c>
      <c r="H15" s="813">
        <v>0</v>
      </c>
      <c r="I15" s="1196"/>
    </row>
    <row r="16" spans="1:12" x14ac:dyDescent="0.3">
      <c r="A16" s="669">
        <v>2013</v>
      </c>
      <c r="B16" s="669">
        <f t="shared" si="1"/>
        <v>2014</v>
      </c>
      <c r="C16" s="669">
        <f t="shared" si="1"/>
        <v>2015</v>
      </c>
      <c r="D16" s="669">
        <f t="shared" si="2"/>
        <v>2017</v>
      </c>
      <c r="E16" s="813" t="s">
        <v>247</v>
      </c>
      <c r="F16" s="813" t="s">
        <v>1059</v>
      </c>
      <c r="G16" s="459" t="s">
        <v>891</v>
      </c>
      <c r="H16" s="813">
        <v>0</v>
      </c>
      <c r="I16" s="1196"/>
    </row>
    <row r="17" spans="1:21" x14ac:dyDescent="0.3">
      <c r="A17" s="1145">
        <v>2014</v>
      </c>
      <c r="B17" s="1145">
        <f t="shared" si="1"/>
        <v>2015</v>
      </c>
      <c r="C17" s="1145">
        <f t="shared" si="1"/>
        <v>2016</v>
      </c>
      <c r="D17" s="1145">
        <f t="shared" si="2"/>
        <v>2018</v>
      </c>
      <c r="E17" s="1194" t="s">
        <v>1060</v>
      </c>
      <c r="F17" s="1152" t="s">
        <v>940</v>
      </c>
      <c r="G17" s="1145" t="s">
        <v>891</v>
      </c>
      <c r="H17" s="1195">
        <v>1019935</v>
      </c>
      <c r="I17" s="1196"/>
    </row>
    <row r="18" spans="1:21" x14ac:dyDescent="0.3">
      <c r="A18" s="459">
        <v>2014</v>
      </c>
      <c r="B18" s="1145">
        <f t="shared" si="1"/>
        <v>2015</v>
      </c>
      <c r="C18" s="1145">
        <f t="shared" si="1"/>
        <v>2016</v>
      </c>
      <c r="D18" s="1145">
        <f t="shared" si="2"/>
        <v>2018</v>
      </c>
      <c r="E18" s="1158" t="s">
        <v>1061</v>
      </c>
      <c r="F18" s="1155" t="s">
        <v>892</v>
      </c>
      <c r="G18" s="459" t="s">
        <v>891</v>
      </c>
      <c r="H18" s="1157">
        <v>741859</v>
      </c>
      <c r="I18" s="1196"/>
    </row>
    <row r="19" spans="1:21" ht="43.2" x14ac:dyDescent="0.3">
      <c r="A19" s="459">
        <v>2015</v>
      </c>
      <c r="B19" s="1145">
        <f t="shared" si="1"/>
        <v>2016</v>
      </c>
      <c r="C19" s="1145">
        <f t="shared" si="1"/>
        <v>2017</v>
      </c>
      <c r="D19" s="1145">
        <f t="shared" si="2"/>
        <v>2019</v>
      </c>
      <c r="E19" s="1154" t="s">
        <v>1062</v>
      </c>
      <c r="F19" s="1165" t="s">
        <v>1063</v>
      </c>
      <c r="G19" s="2155" t="s">
        <v>891</v>
      </c>
      <c r="H19" s="1166">
        <v>357578</v>
      </c>
      <c r="I19" s="1196"/>
    </row>
    <row r="20" spans="1:21" ht="43.2" x14ac:dyDescent="0.3">
      <c r="A20" s="459">
        <v>2015</v>
      </c>
      <c r="B20" s="1145">
        <f t="shared" ref="B20:C29" si="3">A20+1</f>
        <v>2016</v>
      </c>
      <c r="C20" s="1145">
        <f t="shared" si="3"/>
        <v>2017</v>
      </c>
      <c r="D20" s="1145">
        <f t="shared" si="2"/>
        <v>2019</v>
      </c>
      <c r="E20" s="1154" t="s">
        <v>1064</v>
      </c>
      <c r="F20" s="1165" t="s">
        <v>1065</v>
      </c>
      <c r="G20" s="2155" t="s">
        <v>1034</v>
      </c>
      <c r="H20" s="1166">
        <v>9994</v>
      </c>
      <c r="I20" s="1196"/>
    </row>
    <row r="21" spans="1:21" ht="28.8" x14ac:dyDescent="0.3">
      <c r="A21" s="459">
        <v>2016</v>
      </c>
      <c r="B21" s="1145">
        <f t="shared" si="3"/>
        <v>2017</v>
      </c>
      <c r="C21" s="1145">
        <f t="shared" si="3"/>
        <v>2018</v>
      </c>
      <c r="D21" s="1145">
        <f t="shared" si="2"/>
        <v>2020</v>
      </c>
      <c r="E21" s="1154" t="s">
        <v>1066</v>
      </c>
      <c r="F21" s="1165" t="s">
        <v>1067</v>
      </c>
      <c r="G21" s="2155" t="s">
        <v>891</v>
      </c>
      <c r="H21" s="1157">
        <v>4493577</v>
      </c>
      <c r="I21" s="1196"/>
    </row>
    <row r="22" spans="1:21" ht="43.2" x14ac:dyDescent="0.3">
      <c r="A22" s="459">
        <v>2016</v>
      </c>
      <c r="B22" s="1145">
        <f t="shared" si="3"/>
        <v>2017</v>
      </c>
      <c r="C22" s="1145">
        <f t="shared" si="3"/>
        <v>2018</v>
      </c>
      <c r="D22" s="1145">
        <f t="shared" si="2"/>
        <v>2020</v>
      </c>
      <c r="E22" s="1165" t="s">
        <v>1068</v>
      </c>
      <c r="F22" s="1154" t="s">
        <v>1069</v>
      </c>
      <c r="G22" s="2155" t="s">
        <v>1034</v>
      </c>
      <c r="H22" s="1167">
        <v>683856</v>
      </c>
      <c r="I22" s="1196"/>
    </row>
    <row r="23" spans="1:21" ht="43.2" x14ac:dyDescent="0.3">
      <c r="A23" s="459">
        <v>2017</v>
      </c>
      <c r="B23" s="1145">
        <f t="shared" si="3"/>
        <v>2018</v>
      </c>
      <c r="C23" s="1145">
        <f t="shared" si="3"/>
        <v>2019</v>
      </c>
      <c r="D23" s="1145">
        <f t="shared" si="2"/>
        <v>2021</v>
      </c>
      <c r="E23" s="1168" t="s">
        <v>1070</v>
      </c>
      <c r="F23" s="1165" t="s">
        <v>1071</v>
      </c>
      <c r="G23" s="2155" t="s">
        <v>891</v>
      </c>
      <c r="H23" s="1166">
        <v>1222602</v>
      </c>
      <c r="I23" s="1196"/>
    </row>
    <row r="24" spans="1:21" ht="43.2" x14ac:dyDescent="0.3">
      <c r="A24" s="459">
        <v>2017</v>
      </c>
      <c r="B24" s="1145">
        <f t="shared" si="3"/>
        <v>2018</v>
      </c>
      <c r="C24" s="1145">
        <f t="shared" si="3"/>
        <v>2019</v>
      </c>
      <c r="D24" s="1145">
        <f t="shared" si="2"/>
        <v>2021</v>
      </c>
      <c r="E24" s="1168" t="s">
        <v>1072</v>
      </c>
      <c r="F24" s="1169" t="s">
        <v>1073</v>
      </c>
      <c r="G24" s="2155" t="s">
        <v>1034</v>
      </c>
      <c r="H24" s="1156">
        <v>10110</v>
      </c>
      <c r="I24" s="1196"/>
    </row>
    <row r="25" spans="1:21" x14ac:dyDescent="0.3">
      <c r="A25" s="1160">
        <v>2018</v>
      </c>
      <c r="B25" s="1161">
        <f t="shared" si="3"/>
        <v>2019</v>
      </c>
      <c r="C25" s="1161">
        <f t="shared" si="3"/>
        <v>2020</v>
      </c>
      <c r="D25" s="1161">
        <f t="shared" si="2"/>
        <v>2022</v>
      </c>
      <c r="E25" s="1162" t="s">
        <v>247</v>
      </c>
      <c r="F25" s="1163"/>
      <c r="G25" s="1160" t="s">
        <v>891</v>
      </c>
      <c r="H25" s="1164">
        <v>0</v>
      </c>
      <c r="I25" s="1196"/>
    </row>
    <row r="26" spans="1:21" ht="43.2" x14ac:dyDescent="0.3">
      <c r="A26" s="459">
        <v>2018</v>
      </c>
      <c r="B26" s="1145">
        <f t="shared" si="3"/>
        <v>2019</v>
      </c>
      <c r="C26" s="1145">
        <f t="shared" si="3"/>
        <v>2020</v>
      </c>
      <c r="D26" s="1145">
        <f t="shared" si="2"/>
        <v>2022</v>
      </c>
      <c r="E26" s="1168" t="s">
        <v>1074</v>
      </c>
      <c r="F26" s="1165" t="s">
        <v>1075</v>
      </c>
      <c r="G26" s="2155" t="s">
        <v>1034</v>
      </c>
      <c r="H26" s="1156">
        <f>4107296-L27</f>
        <v>4106296</v>
      </c>
      <c r="I26" s="2649"/>
      <c r="J26" s="2650"/>
      <c r="K26" s="2650"/>
      <c r="L26" s="2650"/>
      <c r="M26" s="2650"/>
      <c r="N26" s="2650"/>
      <c r="O26" s="1170"/>
      <c r="P26" s="1170"/>
      <c r="Q26" s="1170"/>
      <c r="R26" s="1170"/>
      <c r="S26" s="1170"/>
      <c r="T26" s="1170"/>
      <c r="U26" s="1170"/>
    </row>
    <row r="27" spans="1:21" ht="28.8" x14ac:dyDescent="0.3">
      <c r="A27" s="459">
        <v>2019</v>
      </c>
      <c r="B27" s="1145">
        <f t="shared" si="3"/>
        <v>2020</v>
      </c>
      <c r="C27" s="1145">
        <f t="shared" si="3"/>
        <v>2021</v>
      </c>
      <c r="D27" s="1145">
        <f t="shared" si="2"/>
        <v>2023</v>
      </c>
      <c r="E27" s="1168"/>
      <c r="F27" s="1154" t="s">
        <v>1076</v>
      </c>
      <c r="G27" s="2156" t="s">
        <v>891</v>
      </c>
      <c r="H27" s="1156">
        <v>641182</v>
      </c>
      <c r="I27" s="1196"/>
      <c r="K27" s="1178" t="s">
        <v>1081</v>
      </c>
      <c r="L27" s="1179">
        <v>1000</v>
      </c>
    </row>
    <row r="28" spans="1:21" ht="28.8" x14ac:dyDescent="0.3">
      <c r="A28" s="459">
        <v>2020</v>
      </c>
      <c r="B28" s="1145">
        <f t="shared" si="3"/>
        <v>2021</v>
      </c>
      <c r="C28" s="1145">
        <f t="shared" si="3"/>
        <v>2022</v>
      </c>
      <c r="D28" s="1145">
        <f t="shared" si="2"/>
        <v>2024</v>
      </c>
      <c r="E28" s="1168" t="s">
        <v>1077</v>
      </c>
      <c r="F28" s="1154" t="s">
        <v>1078</v>
      </c>
      <c r="G28" s="2156" t="s">
        <v>891</v>
      </c>
      <c r="H28" s="1156">
        <v>2029615</v>
      </c>
      <c r="I28" s="1196"/>
      <c r="K28" s="1178" t="s">
        <v>1082</v>
      </c>
      <c r="L28" s="874"/>
    </row>
    <row r="29" spans="1:21" ht="28.8" x14ac:dyDescent="0.3">
      <c r="A29" s="459">
        <v>2020</v>
      </c>
      <c r="B29" s="1145">
        <f t="shared" si="3"/>
        <v>2021</v>
      </c>
      <c r="C29" s="1145">
        <f t="shared" si="3"/>
        <v>2022</v>
      </c>
      <c r="D29" s="1145">
        <f t="shared" si="2"/>
        <v>2024</v>
      </c>
      <c r="E29" s="1168" t="s">
        <v>1079</v>
      </c>
      <c r="F29" s="1154" t="s">
        <v>1080</v>
      </c>
      <c r="G29" s="1165" t="s">
        <v>1034</v>
      </c>
      <c r="H29" s="1156">
        <v>2070088</v>
      </c>
      <c r="I29" s="1196">
        <f>H29/933</f>
        <v>2218.743837084673</v>
      </c>
      <c r="K29" s="1178" t="s">
        <v>1083</v>
      </c>
      <c r="L29" s="1179">
        <v>60099</v>
      </c>
    </row>
    <row r="30" spans="1:21" x14ac:dyDescent="0.3">
      <c r="A30" s="459">
        <v>2021</v>
      </c>
      <c r="B30" s="1145">
        <f t="shared" ref="B30:C35" si="4">A30+1</f>
        <v>2022</v>
      </c>
      <c r="C30" s="1145">
        <f t="shared" si="4"/>
        <v>2023</v>
      </c>
      <c r="D30" s="1145">
        <f t="shared" ref="D30:D35" si="5">C30+2</f>
        <v>2025</v>
      </c>
      <c r="E30" s="1168"/>
      <c r="F30" s="1154"/>
      <c r="G30" s="2156" t="s">
        <v>891</v>
      </c>
      <c r="H30" s="1156">
        <v>333171</v>
      </c>
    </row>
    <row r="31" spans="1:21" x14ac:dyDescent="0.3">
      <c r="A31" s="459">
        <v>2021</v>
      </c>
      <c r="B31" s="1145">
        <f t="shared" si="4"/>
        <v>2022</v>
      </c>
      <c r="C31" s="1145">
        <f t="shared" si="4"/>
        <v>2023</v>
      </c>
      <c r="D31" s="1145">
        <f t="shared" si="5"/>
        <v>2025</v>
      </c>
      <c r="E31" s="1168"/>
      <c r="F31" s="1154"/>
      <c r="G31" s="2156" t="s">
        <v>1034</v>
      </c>
      <c r="H31" s="1156">
        <v>10000</v>
      </c>
    </row>
    <row r="32" spans="1:21" x14ac:dyDescent="0.3">
      <c r="A32" s="459">
        <v>2022</v>
      </c>
      <c r="B32" s="1145">
        <f t="shared" si="4"/>
        <v>2023</v>
      </c>
      <c r="C32" s="1145">
        <f t="shared" si="4"/>
        <v>2024</v>
      </c>
      <c r="D32" s="1145">
        <f t="shared" si="5"/>
        <v>2026</v>
      </c>
      <c r="E32" s="1168"/>
      <c r="F32" s="1154"/>
      <c r="G32" s="2156" t="s">
        <v>891</v>
      </c>
      <c r="H32" s="1156">
        <v>752653</v>
      </c>
    </row>
    <row r="33" spans="1:8" x14ac:dyDescent="0.3">
      <c r="A33" s="459">
        <v>2022</v>
      </c>
      <c r="B33" s="1145">
        <f t="shared" si="4"/>
        <v>2023</v>
      </c>
      <c r="C33" s="1145">
        <f t="shared" si="4"/>
        <v>2024</v>
      </c>
      <c r="D33" s="1145">
        <f t="shared" si="5"/>
        <v>2026</v>
      </c>
      <c r="E33" s="1168"/>
      <c r="F33" s="1154"/>
      <c r="G33" s="2156" t="s">
        <v>1034</v>
      </c>
      <c r="H33" s="1156">
        <v>3812941</v>
      </c>
    </row>
    <row r="34" spans="1:8" x14ac:dyDescent="0.3">
      <c r="A34" s="459">
        <v>2023</v>
      </c>
      <c r="B34" s="1145">
        <f t="shared" si="4"/>
        <v>2024</v>
      </c>
      <c r="C34" s="1145">
        <f t="shared" si="4"/>
        <v>2025</v>
      </c>
      <c r="D34" s="1145">
        <f t="shared" si="5"/>
        <v>2027</v>
      </c>
      <c r="E34" s="1168"/>
      <c r="F34" s="1154"/>
      <c r="G34" s="2156" t="s">
        <v>891</v>
      </c>
      <c r="H34" s="1156">
        <v>177560</v>
      </c>
    </row>
    <row r="35" spans="1:8" x14ac:dyDescent="0.3">
      <c r="A35" s="459">
        <v>2023</v>
      </c>
      <c r="B35" s="1145">
        <f t="shared" si="4"/>
        <v>2024</v>
      </c>
      <c r="C35" s="1145">
        <f t="shared" si="4"/>
        <v>2025</v>
      </c>
      <c r="D35" s="1145">
        <f t="shared" si="5"/>
        <v>2027</v>
      </c>
      <c r="E35" s="1168"/>
      <c r="F35" s="1154"/>
      <c r="G35" s="2156" t="s">
        <v>1034</v>
      </c>
      <c r="H35" s="1156">
        <v>1334184</v>
      </c>
    </row>
  </sheetData>
  <autoFilter ref="A2:I29" xr:uid="{F53B5FA0-F34B-4BA9-B790-1CB334B9E434}">
    <filterColumn colId="6">
      <filters>
        <filter val="Skaha"/>
      </filters>
    </filterColumn>
  </autoFilter>
  <mergeCells count="2">
    <mergeCell ref="I26:N26"/>
    <mergeCell ref="J1:K1"/>
  </mergeCells>
  <phoneticPr fontId="58" type="noConversion"/>
  <pageMargins left="0.7" right="0.7" top="0.75" bottom="0.75" header="0.3" footer="0.3"/>
  <pageSetup orientation="portrait" r:id="rId1"/>
  <legacyDrawing r:id="rId2"/>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5DB91-8B1D-4D8F-A37E-3BDABCD37DDE}">
  <sheetPr codeName="Sheet26">
    <tabColor theme="9" tint="0.39997558519241921"/>
  </sheetPr>
  <dimension ref="A1:N101"/>
  <sheetViews>
    <sheetView zoomScale="90" zoomScaleNormal="90" workbookViewId="0">
      <selection activeCell="C83" sqref="C83:F100"/>
    </sheetView>
  </sheetViews>
  <sheetFormatPr defaultRowHeight="14.4" x14ac:dyDescent="0.3"/>
  <cols>
    <col min="1" max="1" width="8.6640625" style="664"/>
    <col min="2" max="2" width="13.6640625" style="664" bestFit="1" customWidth="1"/>
    <col min="3" max="3" width="31.6640625" style="664" customWidth="1"/>
    <col min="4" max="4" width="12.6640625" style="664" bestFit="1" customWidth="1"/>
    <col min="5" max="5" width="13.6640625" style="664" bestFit="1" customWidth="1"/>
    <col min="6" max="6" width="16.33203125" style="664" bestFit="1" customWidth="1"/>
    <col min="7" max="7" width="11.33203125" style="664" bestFit="1" customWidth="1"/>
    <col min="8" max="8" width="11.33203125" style="664" customWidth="1"/>
    <col min="9" max="9" width="13.6640625" bestFit="1" customWidth="1"/>
    <col min="10" max="10" width="11.33203125" bestFit="1" customWidth="1"/>
  </cols>
  <sheetData>
    <row r="1" spans="1:11" x14ac:dyDescent="0.3">
      <c r="A1" s="1049" t="s">
        <v>15</v>
      </c>
      <c r="B1" s="1050" t="s">
        <v>1084</v>
      </c>
      <c r="C1" s="2054" t="s">
        <v>1085</v>
      </c>
      <c r="D1" s="1051" t="s">
        <v>1086</v>
      </c>
      <c r="E1" s="1050" t="s">
        <v>1087</v>
      </c>
      <c r="F1" s="1050" t="s">
        <v>1088</v>
      </c>
      <c r="G1" s="1051" t="s">
        <v>1089</v>
      </c>
      <c r="H1" s="1050" t="s">
        <v>1090</v>
      </c>
      <c r="I1" s="1050" t="s">
        <v>1091</v>
      </c>
      <c r="J1" s="1053" t="s">
        <v>1092</v>
      </c>
      <c r="K1" s="664"/>
    </row>
    <row r="2" spans="1:11" x14ac:dyDescent="0.3">
      <c r="A2" s="2053">
        <v>2013</v>
      </c>
      <c r="B2" s="1038">
        <v>67497</v>
      </c>
      <c r="C2" s="1038">
        <v>130240</v>
      </c>
      <c r="D2" s="1039">
        <f t="shared" ref="D2:D11" si="0">SUM(B2:C2)</f>
        <v>197737</v>
      </c>
      <c r="E2" s="1038">
        <v>63275</v>
      </c>
      <c r="F2" s="1038">
        <v>122163</v>
      </c>
      <c r="G2" s="1039">
        <f t="shared" ref="G2:G11" si="1">SUM(E2:F2)</f>
        <v>185438</v>
      </c>
      <c r="H2" s="1038">
        <f>ABS(G2-D2)</f>
        <v>12299</v>
      </c>
      <c r="I2" s="1040">
        <f t="shared" ref="I2:I11" si="2">1-(G2/D2)</f>
        <v>6.219877918649519E-2</v>
      </c>
      <c r="J2" s="1054">
        <f t="shared" ref="J2:J11" si="3">1+I2</f>
        <v>1.0621987791864953</v>
      </c>
      <c r="K2" s="1018"/>
    </row>
    <row r="3" spans="1:11" x14ac:dyDescent="0.3">
      <c r="A3" s="2053">
        <v>2014</v>
      </c>
      <c r="B3" s="1038">
        <v>187058</v>
      </c>
      <c r="C3" s="1038">
        <v>468925</v>
      </c>
      <c r="D3" s="1039">
        <f t="shared" si="0"/>
        <v>655983</v>
      </c>
      <c r="E3" s="1038">
        <v>175091</v>
      </c>
      <c r="F3" s="1038">
        <v>439022</v>
      </c>
      <c r="G3" s="1039">
        <f t="shared" si="1"/>
        <v>614113</v>
      </c>
      <c r="H3" s="1038">
        <f t="shared" ref="H3:H11" si="4">ABS(G3-D3)</f>
        <v>41870</v>
      </c>
      <c r="I3" s="1040">
        <f t="shared" si="2"/>
        <v>6.3827873588187534E-2</v>
      </c>
      <c r="J3" s="1054">
        <f t="shared" si="3"/>
        <v>1.0638278735881874</v>
      </c>
      <c r="K3" s="1018"/>
    </row>
    <row r="4" spans="1:11" x14ac:dyDescent="0.3">
      <c r="A4" s="2053">
        <v>2015</v>
      </c>
      <c r="B4" s="1038">
        <v>174878</v>
      </c>
      <c r="C4" s="1038">
        <v>370278</v>
      </c>
      <c r="D4" s="1039">
        <f t="shared" si="0"/>
        <v>545156</v>
      </c>
      <c r="E4" s="1038">
        <v>163256</v>
      </c>
      <c r="F4" s="1038">
        <v>347406</v>
      </c>
      <c r="G4" s="1039">
        <f t="shared" si="1"/>
        <v>510662</v>
      </c>
      <c r="H4" s="1038">
        <f t="shared" si="4"/>
        <v>34494</v>
      </c>
      <c r="I4" s="1040">
        <f t="shared" si="2"/>
        <v>6.3273631767787553E-2</v>
      </c>
      <c r="J4" s="1054">
        <f t="shared" si="3"/>
        <v>1.0632736317677876</v>
      </c>
      <c r="K4" s="1018"/>
    </row>
    <row r="5" spans="1:11" x14ac:dyDescent="0.3">
      <c r="A5" s="2053">
        <v>2016</v>
      </c>
      <c r="B5" s="1038">
        <v>89595</v>
      </c>
      <c r="C5" s="1038">
        <v>268231</v>
      </c>
      <c r="D5" s="1039">
        <f t="shared" si="0"/>
        <v>357826</v>
      </c>
      <c r="E5" s="1038">
        <v>86274</v>
      </c>
      <c r="F5" s="1038">
        <v>256185</v>
      </c>
      <c r="G5" s="1039">
        <f t="shared" si="1"/>
        <v>342459</v>
      </c>
      <c r="H5" s="1038">
        <f t="shared" si="4"/>
        <v>15367</v>
      </c>
      <c r="I5" s="1040">
        <f t="shared" si="2"/>
        <v>4.2945453935711808E-2</v>
      </c>
      <c r="J5" s="1054">
        <f t="shared" si="3"/>
        <v>1.0429454539357117</v>
      </c>
      <c r="K5" s="1018"/>
    </row>
    <row r="6" spans="1:11" x14ac:dyDescent="0.3">
      <c r="A6" s="2053">
        <v>2017</v>
      </c>
      <c r="B6" s="1038">
        <v>42026</v>
      </c>
      <c r="C6" s="1038">
        <v>47929</v>
      </c>
      <c r="D6" s="1039">
        <f t="shared" si="0"/>
        <v>89955</v>
      </c>
      <c r="E6" s="1038">
        <v>40900</v>
      </c>
      <c r="F6" s="1038">
        <v>46706</v>
      </c>
      <c r="G6" s="1039">
        <f t="shared" si="1"/>
        <v>87606</v>
      </c>
      <c r="H6" s="1038">
        <f t="shared" si="4"/>
        <v>2349</v>
      </c>
      <c r="I6" s="1040">
        <f t="shared" si="2"/>
        <v>2.6113056528264122E-2</v>
      </c>
      <c r="J6" s="1054">
        <f t="shared" si="3"/>
        <v>1.0261130565282641</v>
      </c>
      <c r="K6" s="1018"/>
    </row>
    <row r="7" spans="1:11" x14ac:dyDescent="0.3">
      <c r="A7" s="2053">
        <v>2018</v>
      </c>
      <c r="B7" s="1038">
        <v>70902</v>
      </c>
      <c r="C7" s="1038">
        <v>127248</v>
      </c>
      <c r="D7" s="1039">
        <f t="shared" si="0"/>
        <v>198150</v>
      </c>
      <c r="E7" s="1038">
        <v>66507</v>
      </c>
      <c r="F7" s="1038">
        <v>127248</v>
      </c>
      <c r="G7" s="1039">
        <f t="shared" si="1"/>
        <v>193755</v>
      </c>
      <c r="H7" s="1038">
        <f t="shared" si="4"/>
        <v>4395</v>
      </c>
      <c r="I7" s="1040">
        <f t="shared" si="2"/>
        <v>2.2180166540499591E-2</v>
      </c>
      <c r="J7" s="1054">
        <f t="shared" si="3"/>
        <v>1.0221801665404997</v>
      </c>
      <c r="K7" s="1018"/>
    </row>
    <row r="8" spans="1:11" x14ac:dyDescent="0.3">
      <c r="A8" s="2053">
        <v>2019</v>
      </c>
      <c r="B8" s="1038">
        <v>18847</v>
      </c>
      <c r="C8" s="1038">
        <v>47432</v>
      </c>
      <c r="D8" s="1039">
        <f t="shared" si="0"/>
        <v>66279</v>
      </c>
      <c r="E8" s="1038">
        <v>17654</v>
      </c>
      <c r="F8" s="1038">
        <v>45392</v>
      </c>
      <c r="G8" s="1039">
        <f t="shared" si="1"/>
        <v>63046</v>
      </c>
      <c r="H8" s="1038">
        <f t="shared" si="4"/>
        <v>3233</v>
      </c>
      <c r="I8" s="1040">
        <f t="shared" si="2"/>
        <v>4.8778647837173117E-2</v>
      </c>
      <c r="J8" s="1054">
        <f t="shared" si="3"/>
        <v>1.0487786478371732</v>
      </c>
      <c r="K8" s="1018"/>
    </row>
    <row r="9" spans="1:11" x14ac:dyDescent="0.3">
      <c r="A9" s="2053">
        <v>2020</v>
      </c>
      <c r="B9" s="1038">
        <v>133827</v>
      </c>
      <c r="C9" s="1038">
        <v>223728</v>
      </c>
      <c r="D9" s="1039">
        <f t="shared" si="0"/>
        <v>357555</v>
      </c>
      <c r="E9" s="1038">
        <v>127824</v>
      </c>
      <c r="F9" s="1038">
        <v>213915</v>
      </c>
      <c r="G9" s="1039">
        <f t="shared" si="1"/>
        <v>341739</v>
      </c>
      <c r="H9" s="1038">
        <f t="shared" si="4"/>
        <v>15816</v>
      </c>
      <c r="I9" s="1040">
        <f t="shared" si="2"/>
        <v>4.4233754247598234E-2</v>
      </c>
      <c r="J9" s="1054">
        <f t="shared" si="3"/>
        <v>1.0442337542475983</v>
      </c>
      <c r="K9" s="1018"/>
    </row>
    <row r="10" spans="1:11" x14ac:dyDescent="0.3">
      <c r="A10" s="2053">
        <v>2021</v>
      </c>
      <c r="B10" s="1038">
        <v>51194</v>
      </c>
      <c r="C10" s="1038">
        <v>110370</v>
      </c>
      <c r="D10" s="1039">
        <f t="shared" si="0"/>
        <v>161564</v>
      </c>
      <c r="E10" s="1038">
        <v>47568</v>
      </c>
      <c r="F10" s="1038">
        <v>104197</v>
      </c>
      <c r="G10" s="1039">
        <f t="shared" si="1"/>
        <v>151765</v>
      </c>
      <c r="H10" s="1038">
        <f t="shared" si="4"/>
        <v>9799</v>
      </c>
      <c r="I10" s="1040">
        <f t="shared" si="2"/>
        <v>6.0650887573964529E-2</v>
      </c>
      <c r="J10" s="1054">
        <f t="shared" si="3"/>
        <v>1.0606508875739644</v>
      </c>
      <c r="K10" s="1018"/>
    </row>
    <row r="11" spans="1:11" x14ac:dyDescent="0.3">
      <c r="A11" s="2053">
        <v>2022</v>
      </c>
      <c r="B11" s="1038">
        <v>307283</v>
      </c>
      <c r="C11" s="1038">
        <v>389700</v>
      </c>
      <c r="D11" s="1039">
        <f t="shared" si="0"/>
        <v>696983</v>
      </c>
      <c r="E11" s="1038">
        <v>292581</v>
      </c>
      <c r="F11" s="1038">
        <v>370672</v>
      </c>
      <c r="G11" s="1039">
        <f t="shared" si="1"/>
        <v>663253</v>
      </c>
      <c r="H11" s="1038">
        <f t="shared" si="4"/>
        <v>33730</v>
      </c>
      <c r="I11" s="1040">
        <f t="shared" si="2"/>
        <v>4.8394293691524704E-2</v>
      </c>
      <c r="J11" s="1054">
        <f t="shared" si="3"/>
        <v>1.0483942936915247</v>
      </c>
      <c r="K11" s="1018"/>
    </row>
    <row r="12" spans="1:11" ht="15" thickBot="1" x14ac:dyDescent="0.35">
      <c r="A12" s="1058" t="s">
        <v>1093</v>
      </c>
      <c r="B12" s="1042">
        <f>SUM(B2:B11)</f>
        <v>1143107</v>
      </c>
      <c r="C12" s="1042">
        <f>SUM(C2:C11)</f>
        <v>2184081</v>
      </c>
      <c r="D12" s="1042">
        <f>SUM(D2:D11)</f>
        <v>3327188</v>
      </c>
      <c r="E12" s="1042">
        <f>SUM(E2:E11)</f>
        <v>1080930</v>
      </c>
      <c r="F12" s="1042">
        <f>SUM(F2:F11)</f>
        <v>2072906</v>
      </c>
      <c r="G12" s="1043">
        <f>SUM(E12:F12)</f>
        <v>3153836</v>
      </c>
      <c r="H12" s="1043">
        <f>ABS(G12-D12)</f>
        <v>173352</v>
      </c>
      <c r="I12" s="1044">
        <f>1-(G12/D12)</f>
        <v>5.2101654610439807E-2</v>
      </c>
      <c r="J12" s="1045">
        <f>1+I12</f>
        <v>1.0521016546104398</v>
      </c>
      <c r="K12" s="1029" t="s">
        <v>1094</v>
      </c>
    </row>
    <row r="13" spans="1:11" ht="15" thickBot="1" x14ac:dyDescent="0.35">
      <c r="I13" s="1027">
        <f>AVERAGE(I2:I11)</f>
        <v>4.8259654489720638E-2</v>
      </c>
      <c r="J13" s="1028">
        <f>1+I13</f>
        <v>1.0482596544897207</v>
      </c>
      <c r="K13" s="1019"/>
    </row>
    <row r="14" spans="1:11" x14ac:dyDescent="0.3">
      <c r="A14" s="1049" t="s">
        <v>15</v>
      </c>
      <c r="B14" s="1050" t="s">
        <v>1095</v>
      </c>
      <c r="C14" s="2055" t="s">
        <v>1096</v>
      </c>
      <c r="D14" s="1051" t="s">
        <v>1097</v>
      </c>
      <c r="E14" s="1050" t="s">
        <v>1090</v>
      </c>
      <c r="F14" s="1050" t="s">
        <v>1098</v>
      </c>
      <c r="G14" s="1053" t="s">
        <v>1092</v>
      </c>
      <c r="I14" s="664"/>
      <c r="J14" s="664"/>
      <c r="K14" s="664"/>
    </row>
    <row r="15" spans="1:11" x14ac:dyDescent="0.3">
      <c r="A15" s="2052">
        <v>1994</v>
      </c>
      <c r="B15" s="1046">
        <v>475</v>
      </c>
      <c r="C15" s="1041">
        <v>12666</v>
      </c>
      <c r="D15" s="1041">
        <v>13141</v>
      </c>
      <c r="E15" s="1046">
        <f>D15-C15</f>
        <v>475</v>
      </c>
      <c r="F15" s="1047">
        <f t="shared" ref="F15:F23" si="5">B15/D15</f>
        <v>3.6146411992999013E-2</v>
      </c>
      <c r="G15" s="1054">
        <f>1+F15</f>
        <v>1.0361464119929991</v>
      </c>
      <c r="H15"/>
    </row>
    <row r="16" spans="1:11" ht="15" thickBot="1" x14ac:dyDescent="0.35">
      <c r="A16" s="2052">
        <v>1995</v>
      </c>
      <c r="B16" s="1046">
        <v>358</v>
      </c>
      <c r="C16" s="1041">
        <v>8717</v>
      </c>
      <c r="D16" s="1041">
        <v>9075</v>
      </c>
      <c r="E16" s="1046">
        <f t="shared" ref="E16:E23" si="6">D16-C16</f>
        <v>358</v>
      </c>
      <c r="F16" s="1047">
        <f t="shared" si="5"/>
        <v>3.9449035812672173E-2</v>
      </c>
      <c r="G16" s="1054">
        <f t="shared" ref="G16:G24" si="7">1+F16</f>
        <v>1.0394490358126722</v>
      </c>
      <c r="H16" s="316" t="s">
        <v>1099</v>
      </c>
    </row>
    <row r="17" spans="1:14" x14ac:dyDescent="0.3">
      <c r="A17" s="2052">
        <v>1996</v>
      </c>
      <c r="B17" s="1046">
        <v>941</v>
      </c>
      <c r="C17" s="1041">
        <v>30208</v>
      </c>
      <c r="D17" s="1041">
        <v>31149</v>
      </c>
      <c r="E17" s="1046">
        <f t="shared" si="6"/>
        <v>941</v>
      </c>
      <c r="F17" s="1047">
        <f t="shared" si="5"/>
        <v>3.0209637548556937E-2</v>
      </c>
      <c r="G17" s="1054">
        <f t="shared" si="7"/>
        <v>1.030209637548557</v>
      </c>
      <c r="H17" s="1020"/>
      <c r="I17" s="1021" t="s">
        <v>1100</v>
      </c>
      <c r="J17" s="1021" t="s">
        <v>1101</v>
      </c>
      <c r="K17" s="1059" t="s">
        <v>425</v>
      </c>
      <c r="N17" s="664"/>
    </row>
    <row r="18" spans="1:14" x14ac:dyDescent="0.3">
      <c r="A18" s="2052">
        <v>1997</v>
      </c>
      <c r="B18" s="1046">
        <v>1334</v>
      </c>
      <c r="C18" s="1041">
        <v>46617</v>
      </c>
      <c r="D18" s="1041">
        <v>47951</v>
      </c>
      <c r="E18" s="1046">
        <f t="shared" si="6"/>
        <v>1334</v>
      </c>
      <c r="F18" s="1047">
        <f t="shared" si="5"/>
        <v>2.7820066317699319E-2</v>
      </c>
      <c r="G18" s="1054">
        <f t="shared" si="7"/>
        <v>1.0278200663176993</v>
      </c>
      <c r="H18" s="1055" t="s">
        <v>425</v>
      </c>
      <c r="I18" s="1030">
        <v>3.4299999999999997E-2</v>
      </c>
      <c r="J18" s="1030">
        <v>5.21E-2</v>
      </c>
      <c r="K18" s="1031">
        <f>AVERAGE(I18:J18)</f>
        <v>4.3200000000000002E-2</v>
      </c>
    </row>
    <row r="19" spans="1:14" x14ac:dyDescent="0.3">
      <c r="A19" s="2052">
        <v>1998</v>
      </c>
      <c r="B19" s="1046">
        <v>390</v>
      </c>
      <c r="C19" s="1041">
        <v>13127</v>
      </c>
      <c r="D19" s="1041">
        <v>13517</v>
      </c>
      <c r="E19" s="1046">
        <f t="shared" si="6"/>
        <v>390</v>
      </c>
      <c r="F19" s="1047">
        <f t="shared" si="5"/>
        <v>2.885255604054154E-2</v>
      </c>
      <c r="G19" s="1054">
        <f t="shared" si="7"/>
        <v>1.0288525560405415</v>
      </c>
      <c r="H19" t="s">
        <v>1102</v>
      </c>
      <c r="I19" s="1022">
        <v>4.1159080487155322E-5</v>
      </c>
      <c r="J19" s="1022">
        <v>2.2566426548017144E-4</v>
      </c>
      <c r="K19" s="1022"/>
    </row>
    <row r="20" spans="1:14" x14ac:dyDescent="0.3">
      <c r="A20" s="2052">
        <v>1999</v>
      </c>
      <c r="B20" s="1046">
        <v>425</v>
      </c>
      <c r="C20" s="1041">
        <v>17817</v>
      </c>
      <c r="D20" s="1041">
        <v>18242</v>
      </c>
      <c r="E20" s="1046">
        <f t="shared" si="6"/>
        <v>425</v>
      </c>
      <c r="F20" s="1047">
        <f t="shared" si="5"/>
        <v>2.3297884003946934E-2</v>
      </c>
      <c r="G20" s="1054">
        <f t="shared" si="7"/>
        <v>1.0232978840039468</v>
      </c>
      <c r="H20" t="s">
        <v>1103</v>
      </c>
      <c r="I20">
        <v>8</v>
      </c>
      <c r="J20">
        <v>10</v>
      </c>
    </row>
    <row r="21" spans="1:14" x14ac:dyDescent="0.3">
      <c r="A21" s="2052">
        <v>2000</v>
      </c>
      <c r="B21" s="1046">
        <v>4134</v>
      </c>
      <c r="C21" s="1041">
        <v>93192</v>
      </c>
      <c r="D21" s="1041">
        <v>97326</v>
      </c>
      <c r="E21" s="1046">
        <f t="shared" si="6"/>
        <v>4134</v>
      </c>
      <c r="F21" s="1047">
        <f t="shared" si="5"/>
        <v>4.2475802971456755E-2</v>
      </c>
      <c r="G21" s="1054">
        <f t="shared" si="7"/>
        <v>1.0424758029714567</v>
      </c>
      <c r="H21" t="s">
        <v>1104</v>
      </c>
      <c r="I21" s="1022">
        <v>1.4494324704572689E-4</v>
      </c>
    </row>
    <row r="22" spans="1:14" x14ac:dyDescent="0.3">
      <c r="A22" s="2052">
        <v>2002</v>
      </c>
      <c r="B22" s="1046">
        <v>1590</v>
      </c>
      <c r="C22" s="1041">
        <v>49519</v>
      </c>
      <c r="D22" s="1041">
        <v>51109</v>
      </c>
      <c r="E22" s="1046">
        <f t="shared" si="6"/>
        <v>1590</v>
      </c>
      <c r="F22" s="1047">
        <f t="shared" si="5"/>
        <v>3.1109980629634701E-2</v>
      </c>
      <c r="G22" s="1054">
        <f t="shared" si="7"/>
        <v>1.0311099806296347</v>
      </c>
      <c r="H22" t="s">
        <v>1105</v>
      </c>
      <c r="I22" s="1022">
        <v>0</v>
      </c>
    </row>
    <row r="23" spans="1:14" ht="15" thickBot="1" x14ac:dyDescent="0.35">
      <c r="A23" s="1058" t="s">
        <v>1093</v>
      </c>
      <c r="B23" s="1042">
        <f>SUM(B15:B22)</f>
        <v>9647</v>
      </c>
      <c r="C23" s="1042">
        <f>SUM(C15:C22)</f>
        <v>271863</v>
      </c>
      <c r="D23" s="1042">
        <f>SUM(D15:D22)</f>
        <v>281510</v>
      </c>
      <c r="E23" s="1046">
        <f t="shared" si="6"/>
        <v>9647</v>
      </c>
      <c r="F23" s="1048">
        <f t="shared" si="5"/>
        <v>3.426876487513765E-2</v>
      </c>
      <c r="G23" s="2257">
        <f t="shared" si="7"/>
        <v>1.0342687648751376</v>
      </c>
      <c r="H23" t="s">
        <v>1106</v>
      </c>
      <c r="I23">
        <v>16</v>
      </c>
    </row>
    <row r="24" spans="1:14" x14ac:dyDescent="0.3">
      <c r="F24" s="1027">
        <f>AVERAGE(F15:F22)</f>
        <v>3.242017191468842E-2</v>
      </c>
      <c r="G24" s="2258">
        <f t="shared" si="7"/>
        <v>1.0324201719146884</v>
      </c>
      <c r="H24" t="s">
        <v>1107</v>
      </c>
      <c r="I24" s="1009">
        <v>-2.7736441285370628</v>
      </c>
    </row>
    <row r="25" spans="1:14" ht="15" thickBot="1" x14ac:dyDescent="0.35">
      <c r="A25" s="1052" t="s">
        <v>1108</v>
      </c>
      <c r="B25" s="1017"/>
      <c r="C25" s="1017"/>
      <c r="H25" s="1055" t="s">
        <v>1109</v>
      </c>
      <c r="I25" s="1056">
        <v>6.7790992074604249E-3</v>
      </c>
    </row>
    <row r="26" spans="1:14" ht="15" thickBot="1" x14ac:dyDescent="0.35">
      <c r="A26" s="984" t="s">
        <v>15</v>
      </c>
      <c r="B26" s="1234" t="s">
        <v>1110</v>
      </c>
      <c r="C26" s="1235" t="s">
        <v>1111</v>
      </c>
      <c r="D26" s="984" t="s">
        <v>1112</v>
      </c>
      <c r="E26" s="1236" t="s">
        <v>1113</v>
      </c>
      <c r="F26" s="1176" t="s">
        <v>1111</v>
      </c>
      <c r="H26" t="s">
        <v>1114</v>
      </c>
      <c r="I26" s="1009">
        <v>1.7458836762762506</v>
      </c>
    </row>
    <row r="27" spans="1:14" x14ac:dyDescent="0.3">
      <c r="A27" s="488">
        <v>1977</v>
      </c>
      <c r="B27" s="1227">
        <f t="shared" ref="B27:B43" si="8">$G$23</f>
        <v>1.0342687648751376</v>
      </c>
      <c r="C27" s="1233" t="s">
        <v>1115</v>
      </c>
      <c r="D27" s="1240">
        <v>-273.64789999999999</v>
      </c>
      <c r="E27" s="1241">
        <v>1.0435369999999999</v>
      </c>
      <c r="F27" s="1242" t="s">
        <v>1116</v>
      </c>
      <c r="G27" s="1243"/>
      <c r="H27" s="1244" t="s">
        <v>1117</v>
      </c>
      <c r="I27" s="1023">
        <v>1.355819841492085E-2</v>
      </c>
    </row>
    <row r="28" spans="1:14" ht="15" thickBot="1" x14ac:dyDescent="0.35">
      <c r="A28" s="854">
        <v>1978</v>
      </c>
      <c r="B28" s="1227">
        <f t="shared" si="8"/>
        <v>1.0342687648751376</v>
      </c>
      <c r="C28" s="1233" t="s">
        <v>1115</v>
      </c>
      <c r="D28" s="1240">
        <v>-273.64789999999999</v>
      </c>
      <c r="E28" s="1241">
        <v>1.0435369999999999</v>
      </c>
      <c r="F28" s="1242" t="s">
        <v>1116</v>
      </c>
      <c r="G28" s="1243"/>
      <c r="H28" s="1245" t="s">
        <v>1118</v>
      </c>
      <c r="I28" s="1025">
        <v>2.119905299221255</v>
      </c>
      <c r="J28" s="1024"/>
    </row>
    <row r="29" spans="1:14" x14ac:dyDescent="0.3">
      <c r="A29" s="854">
        <v>1979</v>
      </c>
      <c r="B29" s="1227">
        <f t="shared" si="8"/>
        <v>1.0342687648751376</v>
      </c>
      <c r="C29" s="1233" t="s">
        <v>1115</v>
      </c>
      <c r="D29" s="1240">
        <v>-273.64789999999999</v>
      </c>
      <c r="E29" s="1241">
        <v>1.0435369999999999</v>
      </c>
      <c r="F29" s="1242" t="s">
        <v>1116</v>
      </c>
      <c r="G29" s="1243"/>
      <c r="H29" s="1243"/>
    </row>
    <row r="30" spans="1:14" x14ac:dyDescent="0.3">
      <c r="A30" s="854">
        <v>1980</v>
      </c>
      <c r="B30" s="1227">
        <f t="shared" si="8"/>
        <v>1.0342687648751376</v>
      </c>
      <c r="C30" s="1233" t="s">
        <v>1115</v>
      </c>
      <c r="D30" s="1240">
        <v>-273.64789999999999</v>
      </c>
      <c r="E30" s="1241">
        <v>1.0435369999999999</v>
      </c>
      <c r="F30" s="1242" t="s">
        <v>1116</v>
      </c>
      <c r="G30" s="1246"/>
      <c r="H30" s="1246"/>
      <c r="I30" t="s">
        <v>1119</v>
      </c>
    </row>
    <row r="31" spans="1:14" x14ac:dyDescent="0.3">
      <c r="A31" s="854">
        <v>1981</v>
      </c>
      <c r="B31" s="1227">
        <f t="shared" si="8"/>
        <v>1.0342687648751376</v>
      </c>
      <c r="C31" s="1233" t="s">
        <v>1115</v>
      </c>
      <c r="D31" s="1240">
        <v>-273.64789999999999</v>
      </c>
      <c r="E31" s="1241">
        <v>1.0435369999999999</v>
      </c>
      <c r="F31" s="1242" t="s">
        <v>1116</v>
      </c>
      <c r="G31" s="1246"/>
      <c r="H31" s="1246"/>
      <c r="I31" t="s">
        <v>1120</v>
      </c>
    </row>
    <row r="32" spans="1:14" x14ac:dyDescent="0.3">
      <c r="A32" s="854">
        <v>1982</v>
      </c>
      <c r="B32" s="1227">
        <f t="shared" si="8"/>
        <v>1.0342687648751376</v>
      </c>
      <c r="C32" s="1233" t="s">
        <v>1115</v>
      </c>
      <c r="D32" s="1240">
        <v>-273.64789999999999</v>
      </c>
      <c r="E32" s="1241">
        <v>1.0435369999999999</v>
      </c>
      <c r="F32" s="1242" t="s">
        <v>1116</v>
      </c>
      <c r="G32" s="1246"/>
      <c r="H32" s="1246"/>
    </row>
    <row r="33" spans="1:8" x14ac:dyDescent="0.3">
      <c r="A33" s="854">
        <v>1983</v>
      </c>
      <c r="B33" s="1227">
        <f t="shared" si="8"/>
        <v>1.0342687648751376</v>
      </c>
      <c r="C33" s="1233" t="s">
        <v>1115</v>
      </c>
      <c r="D33" s="1240">
        <v>-273.64789999999999</v>
      </c>
      <c r="E33" s="1241">
        <v>1.0435369999999999</v>
      </c>
      <c r="F33" s="1242" t="s">
        <v>1116</v>
      </c>
      <c r="G33" s="1246"/>
      <c r="H33" s="1246"/>
    </row>
    <row r="34" spans="1:8" x14ac:dyDescent="0.3">
      <c r="A34" s="854">
        <v>1984</v>
      </c>
      <c r="B34" s="1227">
        <f t="shared" si="8"/>
        <v>1.0342687648751376</v>
      </c>
      <c r="C34" s="1233" t="s">
        <v>1115</v>
      </c>
      <c r="D34" s="1240">
        <v>-273.64789999999999</v>
      </c>
      <c r="E34" s="1241">
        <v>1.0435369999999999</v>
      </c>
      <c r="F34" s="1242" t="s">
        <v>1116</v>
      </c>
      <c r="G34" s="1246"/>
      <c r="H34" s="1246"/>
    </row>
    <row r="35" spans="1:8" x14ac:dyDescent="0.3">
      <c r="A35" s="854">
        <v>1985</v>
      </c>
      <c r="B35" s="1227">
        <f t="shared" si="8"/>
        <v>1.0342687648751376</v>
      </c>
      <c r="C35" s="1233" t="s">
        <v>1115</v>
      </c>
      <c r="D35" s="1240">
        <v>-273.64789999999999</v>
      </c>
      <c r="E35" s="1241">
        <v>1.0435369999999999</v>
      </c>
      <c r="F35" s="1242" t="s">
        <v>1116</v>
      </c>
      <c r="G35" s="1246"/>
      <c r="H35" s="1246"/>
    </row>
    <row r="36" spans="1:8" x14ac:dyDescent="0.3">
      <c r="A36" s="854">
        <v>1986</v>
      </c>
      <c r="B36" s="1227">
        <f t="shared" si="8"/>
        <v>1.0342687648751376</v>
      </c>
      <c r="C36" s="1233" t="s">
        <v>1115</v>
      </c>
      <c r="D36" s="1240">
        <v>-273.64789999999999</v>
      </c>
      <c r="E36" s="1241">
        <v>1.0435369999999999</v>
      </c>
      <c r="F36" s="1242" t="s">
        <v>1116</v>
      </c>
      <c r="G36" s="1246"/>
      <c r="H36" s="1246"/>
    </row>
    <row r="37" spans="1:8" x14ac:dyDescent="0.3">
      <c r="A37" s="854">
        <v>1987</v>
      </c>
      <c r="B37" s="1227">
        <f t="shared" si="8"/>
        <v>1.0342687648751376</v>
      </c>
      <c r="C37" s="1233" t="s">
        <v>1115</v>
      </c>
      <c r="D37" s="1240">
        <v>-273.64789999999999</v>
      </c>
      <c r="E37" s="1241">
        <v>1.0435369999999999</v>
      </c>
      <c r="F37" s="1242" t="s">
        <v>1116</v>
      </c>
      <c r="G37" s="1246"/>
      <c r="H37" s="1246"/>
    </row>
    <row r="38" spans="1:8" x14ac:dyDescent="0.3">
      <c r="A38" s="854">
        <v>1988</v>
      </c>
      <c r="B38" s="1227">
        <f t="shared" si="8"/>
        <v>1.0342687648751376</v>
      </c>
      <c r="C38" s="1233" t="s">
        <v>1115</v>
      </c>
      <c r="D38" s="1240">
        <v>-273.64789999999999</v>
      </c>
      <c r="E38" s="1241">
        <v>1.0435369999999999</v>
      </c>
      <c r="F38" s="1242" t="s">
        <v>1116</v>
      </c>
      <c r="G38" s="1246"/>
      <c r="H38" s="1246"/>
    </row>
    <row r="39" spans="1:8" x14ac:dyDescent="0.3">
      <c r="A39" s="854">
        <v>1989</v>
      </c>
      <c r="B39" s="1227">
        <f t="shared" si="8"/>
        <v>1.0342687648751376</v>
      </c>
      <c r="C39" s="1233" t="s">
        <v>1115</v>
      </c>
      <c r="D39" s="1240">
        <v>-273.64789999999999</v>
      </c>
      <c r="E39" s="1241">
        <v>1.0435369999999999</v>
      </c>
      <c r="F39" s="1242" t="s">
        <v>1116</v>
      </c>
      <c r="G39" s="1246"/>
      <c r="H39" s="1246"/>
    </row>
    <row r="40" spans="1:8" x14ac:dyDescent="0.3">
      <c r="A40" s="854">
        <v>1990</v>
      </c>
      <c r="B40" s="1227">
        <f t="shared" si="8"/>
        <v>1.0342687648751376</v>
      </c>
      <c r="C40" s="1233" t="s">
        <v>1115</v>
      </c>
      <c r="D40" s="1240">
        <v>-273.64789999999999</v>
      </c>
      <c r="E40" s="1241">
        <v>1.0435369999999999</v>
      </c>
      <c r="F40" s="1242" t="s">
        <v>1116</v>
      </c>
      <c r="G40" s="1246"/>
      <c r="H40" s="1246"/>
    </row>
    <row r="41" spans="1:8" x14ac:dyDescent="0.3">
      <c r="A41" s="854">
        <v>1991</v>
      </c>
      <c r="B41" s="1227">
        <f t="shared" si="8"/>
        <v>1.0342687648751376</v>
      </c>
      <c r="C41" s="1233" t="s">
        <v>1115</v>
      </c>
      <c r="D41" s="1240">
        <v>-273.64789999999999</v>
      </c>
      <c r="E41" s="1241">
        <v>1.0435369999999999</v>
      </c>
      <c r="F41" s="1242" t="s">
        <v>1116</v>
      </c>
      <c r="G41" s="1246"/>
      <c r="H41" s="1246"/>
    </row>
    <row r="42" spans="1:8" x14ac:dyDescent="0.3">
      <c r="A42" s="854">
        <v>1992</v>
      </c>
      <c r="B42" s="1227">
        <f t="shared" si="8"/>
        <v>1.0342687648751376</v>
      </c>
      <c r="C42" s="1233" t="s">
        <v>1115</v>
      </c>
      <c r="D42" s="1240">
        <v>-273.64789999999999</v>
      </c>
      <c r="E42" s="1241">
        <v>1.0435369999999999</v>
      </c>
      <c r="F42" s="1242" t="s">
        <v>1116</v>
      </c>
      <c r="G42" s="1246"/>
      <c r="H42" s="1246"/>
    </row>
    <row r="43" spans="1:8" x14ac:dyDescent="0.3">
      <c r="A43" s="854">
        <v>1993</v>
      </c>
      <c r="B43" s="1227">
        <f t="shared" si="8"/>
        <v>1.0342687648751376</v>
      </c>
      <c r="C43" s="1233" t="s">
        <v>1115</v>
      </c>
      <c r="D43" s="1240">
        <v>-273.64789999999999</v>
      </c>
      <c r="E43" s="1241">
        <v>1.0435369999999999</v>
      </c>
      <c r="F43" s="1242" t="s">
        <v>1116</v>
      </c>
      <c r="G43" s="1246"/>
      <c r="H43" s="1246"/>
    </row>
    <row r="44" spans="1:8" x14ac:dyDescent="0.3">
      <c r="A44" s="1057">
        <v>1994</v>
      </c>
      <c r="B44" s="1228">
        <f t="shared" ref="B44:B50" si="9">G15</f>
        <v>1.0361464119929991</v>
      </c>
      <c r="C44" s="1826" t="s">
        <v>1121</v>
      </c>
      <c r="D44" s="1240">
        <v>-273.64789999999999</v>
      </c>
      <c r="E44" s="1241">
        <v>1.0435369999999999</v>
      </c>
      <c r="F44" s="1242" t="s">
        <v>1116</v>
      </c>
      <c r="G44" s="1243"/>
      <c r="H44" s="1243"/>
    </row>
    <row r="45" spans="1:8" x14ac:dyDescent="0.3">
      <c r="A45" s="1057">
        <v>1995</v>
      </c>
      <c r="B45" s="1228">
        <f t="shared" si="9"/>
        <v>1.0394490358126722</v>
      </c>
      <c r="C45" s="1826" t="s">
        <v>1122</v>
      </c>
      <c r="D45" s="1240">
        <v>-273.64789999999999</v>
      </c>
      <c r="E45" s="1241">
        <v>1.0435369999999999</v>
      </c>
      <c r="F45" s="1242" t="s">
        <v>1116</v>
      </c>
      <c r="G45" s="1243"/>
      <c r="H45" s="1243"/>
    </row>
    <row r="46" spans="1:8" x14ac:dyDescent="0.3">
      <c r="A46" s="1057">
        <v>1996</v>
      </c>
      <c r="B46" s="1228">
        <f t="shared" si="9"/>
        <v>1.030209637548557</v>
      </c>
      <c r="C46" s="1826" t="s">
        <v>1123</v>
      </c>
      <c r="D46" s="1240">
        <v>-273.64789999999999</v>
      </c>
      <c r="E46" s="1241">
        <v>1.0435369999999999</v>
      </c>
      <c r="F46" s="1242" t="s">
        <v>1116</v>
      </c>
      <c r="G46" s="1243"/>
      <c r="H46" s="1243"/>
    </row>
    <row r="47" spans="1:8" x14ac:dyDescent="0.3">
      <c r="A47" s="1057">
        <v>1997</v>
      </c>
      <c r="B47" s="1228">
        <f t="shared" si="9"/>
        <v>1.0278200663176993</v>
      </c>
      <c r="C47" s="1826" t="s">
        <v>1124</v>
      </c>
      <c r="D47" s="1240">
        <v>-273.64789999999999</v>
      </c>
      <c r="E47" s="1241">
        <v>1.0435369999999999</v>
      </c>
      <c r="F47" s="1242" t="s">
        <v>1116</v>
      </c>
      <c r="G47" s="1243"/>
      <c r="H47" s="1243"/>
    </row>
    <row r="48" spans="1:8" x14ac:dyDescent="0.3">
      <c r="A48" s="1057">
        <v>1998</v>
      </c>
      <c r="B48" s="1228">
        <f t="shared" si="9"/>
        <v>1.0288525560405415</v>
      </c>
      <c r="C48" s="1826" t="s">
        <v>1125</v>
      </c>
      <c r="D48" s="1240">
        <v>-273.64789999999999</v>
      </c>
      <c r="E48" s="1241">
        <v>1.0435369999999999</v>
      </c>
      <c r="F48" s="1242" t="s">
        <v>1116</v>
      </c>
      <c r="G48" s="1243"/>
      <c r="H48" s="1243"/>
    </row>
    <row r="49" spans="1:8" x14ac:dyDescent="0.3">
      <c r="A49" s="1057">
        <v>1999</v>
      </c>
      <c r="B49" s="1228">
        <f t="shared" si="9"/>
        <v>1.0232978840039468</v>
      </c>
      <c r="C49" s="1826" t="s">
        <v>1126</v>
      </c>
      <c r="D49" s="1240">
        <v>-273.64789999999999</v>
      </c>
      <c r="E49" s="1241">
        <v>1.0435369999999999</v>
      </c>
      <c r="F49" s="1242" t="s">
        <v>1116</v>
      </c>
      <c r="G49" s="1243"/>
      <c r="H49" s="1243"/>
    </row>
    <row r="50" spans="1:8" x14ac:dyDescent="0.3">
      <c r="A50" s="1057">
        <v>2000</v>
      </c>
      <c r="B50" s="1228">
        <f t="shared" si="9"/>
        <v>1.0424758029714567</v>
      </c>
      <c r="C50" s="1826" t="s">
        <v>1127</v>
      </c>
      <c r="D50" s="1240">
        <v>-273.64789999999999</v>
      </c>
      <c r="E50" s="1241">
        <v>1.0435369999999999</v>
      </c>
      <c r="F50" s="1242" t="s">
        <v>1116</v>
      </c>
      <c r="G50" s="1243"/>
      <c r="H50" s="1243"/>
    </row>
    <row r="51" spans="1:8" x14ac:dyDescent="0.3">
      <c r="A51" s="854">
        <v>2001</v>
      </c>
      <c r="B51" s="1228">
        <f>AVERAGE($G$23,$J$12)</f>
        <v>1.0431852097427887</v>
      </c>
      <c r="C51" s="1231" t="s">
        <v>1128</v>
      </c>
      <c r="D51" s="1240">
        <v>-273.64789999999999</v>
      </c>
      <c r="E51" s="1241">
        <v>1.0435369999999999</v>
      </c>
      <c r="F51" s="1242" t="s">
        <v>1116</v>
      </c>
      <c r="G51" s="1243"/>
      <c r="H51" s="1243"/>
    </row>
    <row r="52" spans="1:8" x14ac:dyDescent="0.3">
      <c r="A52" s="1057">
        <v>2002</v>
      </c>
      <c r="B52" s="1228">
        <f>G22</f>
        <v>1.0311099806296347</v>
      </c>
      <c r="C52" s="1826" t="s">
        <v>1129</v>
      </c>
      <c r="D52" s="1240">
        <v>-273.64789999999999</v>
      </c>
      <c r="E52" s="1241">
        <v>1.0435369999999999</v>
      </c>
      <c r="F52" s="1242" t="s">
        <v>1116</v>
      </c>
      <c r="G52" s="1243"/>
      <c r="H52" s="1243"/>
    </row>
    <row r="53" spans="1:8" x14ac:dyDescent="0.3">
      <c r="A53" s="854">
        <v>2003</v>
      </c>
      <c r="B53" s="1228">
        <f t="shared" ref="B53:B62" si="10">AVERAGE($G$23,$J$12)</f>
        <v>1.0431852097427887</v>
      </c>
      <c r="C53" s="1231" t="s">
        <v>1128</v>
      </c>
      <c r="D53" s="1240">
        <v>-273.64789999999999</v>
      </c>
      <c r="E53" s="1241">
        <v>1.0435369999999999</v>
      </c>
      <c r="F53" s="1242" t="s">
        <v>1116</v>
      </c>
      <c r="G53" s="1243"/>
      <c r="H53" s="1243"/>
    </row>
    <row r="54" spans="1:8" x14ac:dyDescent="0.3">
      <c r="A54" s="854">
        <v>2004</v>
      </c>
      <c r="B54" s="1228">
        <f t="shared" si="10"/>
        <v>1.0431852097427887</v>
      </c>
      <c r="C54" s="1231" t="s">
        <v>1128</v>
      </c>
      <c r="D54" s="1240">
        <v>-273.64789999999999</v>
      </c>
      <c r="E54" s="1241">
        <v>1.0435369999999999</v>
      </c>
      <c r="F54" s="1242" t="s">
        <v>1116</v>
      </c>
      <c r="G54" s="1243"/>
      <c r="H54" s="1243"/>
    </row>
    <row r="55" spans="1:8" x14ac:dyDescent="0.3">
      <c r="A55" s="854">
        <v>2005</v>
      </c>
      <c r="B55" s="1228">
        <f t="shared" si="10"/>
        <v>1.0431852097427887</v>
      </c>
      <c r="C55" s="1231" t="s">
        <v>1128</v>
      </c>
      <c r="D55" s="1240">
        <v>-273.64789999999999</v>
      </c>
      <c r="E55" s="1241">
        <v>1.0435369999999999</v>
      </c>
      <c r="F55" s="1242" t="s">
        <v>1116</v>
      </c>
      <c r="G55" s="1243"/>
      <c r="H55" s="1243"/>
    </row>
    <row r="56" spans="1:8" x14ac:dyDescent="0.3">
      <c r="A56" s="854">
        <v>2006</v>
      </c>
      <c r="B56" s="1228">
        <f t="shared" si="10"/>
        <v>1.0431852097427887</v>
      </c>
      <c r="C56" s="1231" t="s">
        <v>1128</v>
      </c>
      <c r="D56" s="1240">
        <v>-273.64789999999999</v>
      </c>
      <c r="E56" s="1241">
        <v>1.0435369999999999</v>
      </c>
      <c r="F56" s="1242" t="s">
        <v>1116</v>
      </c>
      <c r="G56" s="1243"/>
      <c r="H56" s="1243"/>
    </row>
    <row r="57" spans="1:8" x14ac:dyDescent="0.3">
      <c r="A57" s="854">
        <v>2007</v>
      </c>
      <c r="B57" s="1228">
        <f t="shared" si="10"/>
        <v>1.0431852097427887</v>
      </c>
      <c r="C57" s="1231" t="s">
        <v>1128</v>
      </c>
      <c r="D57" s="1240">
        <v>-273.64789999999999</v>
      </c>
      <c r="E57" s="1241">
        <v>1.0435369999999999</v>
      </c>
      <c r="F57" s="1242" t="s">
        <v>1116</v>
      </c>
      <c r="G57" s="1243"/>
      <c r="H57" s="1243"/>
    </row>
    <row r="58" spans="1:8" x14ac:dyDescent="0.3">
      <c r="A58" s="854">
        <v>2008</v>
      </c>
      <c r="B58" s="1228">
        <f t="shared" si="10"/>
        <v>1.0431852097427887</v>
      </c>
      <c r="C58" s="1231" t="s">
        <v>1128</v>
      </c>
      <c r="D58" s="1237">
        <v>-2550.8090000000002</v>
      </c>
      <c r="E58" s="1849">
        <v>1.063053</v>
      </c>
      <c r="F58" s="1238" t="s">
        <v>1130</v>
      </c>
      <c r="G58" s="1239"/>
      <c r="H58" s="1239"/>
    </row>
    <row r="59" spans="1:8" x14ac:dyDescent="0.3">
      <c r="A59" s="854">
        <v>2009</v>
      </c>
      <c r="B59" s="1228">
        <f t="shared" si="10"/>
        <v>1.0431852097427887</v>
      </c>
      <c r="C59" s="1231" t="s">
        <v>1128</v>
      </c>
      <c r="D59" s="1237">
        <v>-2550.8090000000002</v>
      </c>
      <c r="E59" s="1849">
        <v>1.063053</v>
      </c>
      <c r="F59" s="1238" t="s">
        <v>1130</v>
      </c>
      <c r="G59" s="1239"/>
      <c r="H59" s="1239"/>
    </row>
    <row r="60" spans="1:8" x14ac:dyDescent="0.3">
      <c r="A60" s="854">
        <v>2010</v>
      </c>
      <c r="B60" s="1228">
        <f t="shared" si="10"/>
        <v>1.0431852097427887</v>
      </c>
      <c r="C60" s="1231" t="s">
        <v>1128</v>
      </c>
      <c r="D60" s="1237">
        <v>-2550.8090000000002</v>
      </c>
      <c r="E60" s="1849">
        <v>1.063053</v>
      </c>
      <c r="F60" s="1238" t="s">
        <v>1130</v>
      </c>
      <c r="G60" s="1239"/>
      <c r="H60" s="1239"/>
    </row>
    <row r="61" spans="1:8" x14ac:dyDescent="0.3">
      <c r="A61" s="854">
        <v>2011</v>
      </c>
      <c r="B61" s="1228">
        <f t="shared" si="10"/>
        <v>1.0431852097427887</v>
      </c>
      <c r="C61" s="1231" t="s">
        <v>1128</v>
      </c>
      <c r="D61" s="1237">
        <v>-2550.8090000000002</v>
      </c>
      <c r="E61" s="1849">
        <v>1.063053</v>
      </c>
      <c r="F61" s="1238" t="s">
        <v>1130</v>
      </c>
      <c r="G61" s="1239"/>
      <c r="H61" s="1239"/>
    </row>
    <row r="62" spans="1:8" x14ac:dyDescent="0.3">
      <c r="A62" s="854">
        <v>2012</v>
      </c>
      <c r="B62" s="1228">
        <f t="shared" si="10"/>
        <v>1.0431852097427887</v>
      </c>
      <c r="C62" s="1231" t="s">
        <v>1128</v>
      </c>
      <c r="D62" s="1237">
        <v>-2550.8090000000002</v>
      </c>
      <c r="E62" s="1849">
        <v>1.063053</v>
      </c>
      <c r="F62" s="1238" t="s">
        <v>1130</v>
      </c>
      <c r="G62" s="1239"/>
      <c r="H62" s="1239"/>
    </row>
    <row r="63" spans="1:8" x14ac:dyDescent="0.3">
      <c r="A63" s="1057">
        <v>2013</v>
      </c>
      <c r="B63" s="1228">
        <f>J2</f>
        <v>1.0621987791864953</v>
      </c>
      <c r="C63" s="1826" t="s">
        <v>1131</v>
      </c>
      <c r="D63" s="1237">
        <v>-2550.8090000000002</v>
      </c>
      <c r="E63" s="1849">
        <v>1.063053</v>
      </c>
      <c r="F63" s="1238" t="s">
        <v>1130</v>
      </c>
      <c r="G63" s="1239"/>
      <c r="H63" s="1239"/>
    </row>
    <row r="64" spans="1:8" x14ac:dyDescent="0.3">
      <c r="A64" s="1057">
        <v>2014</v>
      </c>
      <c r="B64" s="1228">
        <f t="shared" ref="B64:B72" si="11">J3</f>
        <v>1.0638278735881874</v>
      </c>
      <c r="C64" s="1826" t="s">
        <v>1132</v>
      </c>
      <c r="D64" s="1237">
        <v>-2550.8090000000002</v>
      </c>
      <c r="E64" s="1849">
        <v>1.063053</v>
      </c>
      <c r="F64" s="1238" t="s">
        <v>1130</v>
      </c>
      <c r="G64" s="1239"/>
      <c r="H64" s="1239"/>
    </row>
    <row r="65" spans="1:8" x14ac:dyDescent="0.3">
      <c r="A65" s="1057">
        <v>2015</v>
      </c>
      <c r="B65" s="1228">
        <f t="shared" si="11"/>
        <v>1.0632736317677876</v>
      </c>
      <c r="C65" s="1826" t="s">
        <v>1133</v>
      </c>
      <c r="D65" s="1237">
        <v>-2550.8090000000002</v>
      </c>
      <c r="E65" s="1849">
        <v>1.063053</v>
      </c>
      <c r="F65" s="1238" t="s">
        <v>1130</v>
      </c>
      <c r="G65" s="1239"/>
      <c r="H65" s="1239"/>
    </row>
    <row r="66" spans="1:8" x14ac:dyDescent="0.3">
      <c r="A66" s="1057">
        <v>2016</v>
      </c>
      <c r="B66" s="1228">
        <f t="shared" si="11"/>
        <v>1.0429454539357117</v>
      </c>
      <c r="C66" s="1826" t="s">
        <v>1134</v>
      </c>
      <c r="D66" s="1237">
        <v>-2550.8090000000002</v>
      </c>
      <c r="E66" s="1849">
        <v>1.063053</v>
      </c>
      <c r="F66" s="1238" t="s">
        <v>1130</v>
      </c>
      <c r="G66" s="1239"/>
      <c r="H66" s="1239"/>
    </row>
    <row r="67" spans="1:8" x14ac:dyDescent="0.3">
      <c r="A67" s="1057">
        <v>2017</v>
      </c>
      <c r="B67" s="1228">
        <f t="shared" si="11"/>
        <v>1.0261130565282641</v>
      </c>
      <c r="C67" s="1826" t="s">
        <v>1135</v>
      </c>
      <c r="D67" s="1237">
        <v>-2550.8090000000002</v>
      </c>
      <c r="E67" s="1849">
        <v>1.063053</v>
      </c>
      <c r="F67" s="1238" t="s">
        <v>1130</v>
      </c>
      <c r="G67" s="1239"/>
      <c r="H67" s="1239"/>
    </row>
    <row r="68" spans="1:8" x14ac:dyDescent="0.3">
      <c r="A68" s="1057">
        <v>2018</v>
      </c>
      <c r="B68" s="1228">
        <f t="shared" si="11"/>
        <v>1.0221801665404997</v>
      </c>
      <c r="C68" s="1826" t="s">
        <v>1136</v>
      </c>
      <c r="D68" s="1237">
        <v>-2550.8090000000002</v>
      </c>
      <c r="E68" s="1849">
        <v>1.063053</v>
      </c>
      <c r="F68" s="1238" t="s">
        <v>1130</v>
      </c>
      <c r="G68" s="1239"/>
      <c r="H68" s="1239"/>
    </row>
    <row r="69" spans="1:8" x14ac:dyDescent="0.3">
      <c r="A69" s="1057">
        <v>2019</v>
      </c>
      <c r="B69" s="1228">
        <f t="shared" si="11"/>
        <v>1.0487786478371732</v>
      </c>
      <c r="C69" s="1826" t="s">
        <v>1137</v>
      </c>
      <c r="D69" s="1237">
        <v>-2550.8090000000002</v>
      </c>
      <c r="E69" s="1849">
        <v>1.063053</v>
      </c>
      <c r="F69" s="1238" t="s">
        <v>1130</v>
      </c>
      <c r="G69" s="1239"/>
      <c r="H69" s="1239"/>
    </row>
    <row r="70" spans="1:8" x14ac:dyDescent="0.3">
      <c r="A70" s="1057">
        <v>2020</v>
      </c>
      <c r="B70" s="1228">
        <f t="shared" si="11"/>
        <v>1.0442337542475983</v>
      </c>
      <c r="C70" s="1826" t="s">
        <v>1138</v>
      </c>
      <c r="D70" s="1237">
        <v>-2550.8090000000002</v>
      </c>
      <c r="E70" s="1849">
        <v>1.063053</v>
      </c>
      <c r="F70" s="1238" t="s">
        <v>1130</v>
      </c>
      <c r="G70" s="1239"/>
      <c r="H70" s="1239"/>
    </row>
    <row r="71" spans="1:8" x14ac:dyDescent="0.3">
      <c r="A71" s="1057">
        <v>2021</v>
      </c>
      <c r="B71" s="1228">
        <f t="shared" si="11"/>
        <v>1.0606508875739644</v>
      </c>
      <c r="C71" s="1826" t="s">
        <v>1139</v>
      </c>
      <c r="D71" s="1237">
        <v>-2550.8090000000002</v>
      </c>
      <c r="E71" s="1849">
        <v>1.063053</v>
      </c>
      <c r="F71" s="1238" t="s">
        <v>1130</v>
      </c>
      <c r="G71" s="1239"/>
      <c r="H71" s="1239"/>
    </row>
    <row r="72" spans="1:8" x14ac:dyDescent="0.3">
      <c r="A72" s="1057">
        <v>2022</v>
      </c>
      <c r="B72" s="1228">
        <f t="shared" si="11"/>
        <v>1.0483942936915247</v>
      </c>
      <c r="C72" s="1826" t="s">
        <v>1140</v>
      </c>
      <c r="D72" s="1237">
        <v>-2550.8090000000002</v>
      </c>
      <c r="E72" s="1849">
        <v>1.063053</v>
      </c>
      <c r="F72" s="1238" t="s">
        <v>1130</v>
      </c>
      <c r="G72" s="1239"/>
      <c r="H72" s="1239"/>
    </row>
    <row r="73" spans="1:8" x14ac:dyDescent="0.3">
      <c r="A73" s="854">
        <v>2023</v>
      </c>
      <c r="B73" s="1228"/>
      <c r="C73" s="1232"/>
      <c r="D73" s="1237">
        <v>-2550.8090000000002</v>
      </c>
      <c r="E73" s="1849">
        <v>1.063053</v>
      </c>
      <c r="F73" s="1238" t="s">
        <v>1130</v>
      </c>
      <c r="G73" s="1239"/>
      <c r="H73" s="1239"/>
    </row>
    <row r="74" spans="1:8" x14ac:dyDescent="0.3">
      <c r="A74" s="854">
        <v>2024</v>
      </c>
      <c r="B74" s="1228"/>
      <c r="C74" s="1232"/>
      <c r="D74" s="1237">
        <v>-2550.8090000000002</v>
      </c>
      <c r="E74" s="1849">
        <v>1.063053</v>
      </c>
      <c r="F74" s="1238" t="s">
        <v>1130</v>
      </c>
      <c r="G74" s="1239"/>
      <c r="H74" s="1239"/>
    </row>
    <row r="75" spans="1:8" ht="15" thickBot="1" x14ac:dyDescent="0.35">
      <c r="A75" s="854">
        <v>2025</v>
      </c>
      <c r="B75" s="1230"/>
      <c r="C75" s="1229"/>
      <c r="D75" s="1237"/>
      <c r="E75" s="1026"/>
    </row>
    <row r="81" spans="2:6" x14ac:dyDescent="0.3">
      <c r="C81" s="664" t="s">
        <v>1141</v>
      </c>
    </row>
    <row r="82" spans="2:6" ht="15" thickBot="1" x14ac:dyDescent="0.35">
      <c r="B82" s="2259"/>
      <c r="C82" s="2260" t="s">
        <v>1142</v>
      </c>
      <c r="D82" s="2260" t="s">
        <v>1143</v>
      </c>
      <c r="E82" s="2260" t="s">
        <v>1144</v>
      </c>
      <c r="F82" s="2260" t="s">
        <v>417</v>
      </c>
    </row>
    <row r="83" spans="2:6" ht="15" thickBot="1" x14ac:dyDescent="0.35">
      <c r="B83" s="2261">
        <v>11</v>
      </c>
      <c r="C83" s="2262">
        <v>1994</v>
      </c>
      <c r="D83" s="2264">
        <v>12666</v>
      </c>
      <c r="E83" s="2264">
        <v>13141</v>
      </c>
      <c r="F83" s="2264">
        <f>E83-D83</f>
        <v>475</v>
      </c>
    </row>
    <row r="84" spans="2:6" ht="15" thickBot="1" x14ac:dyDescent="0.35">
      <c r="B84" s="2261">
        <v>12</v>
      </c>
      <c r="C84" s="2262">
        <v>1995</v>
      </c>
      <c r="D84" s="2264">
        <v>8717</v>
      </c>
      <c r="E84" s="2264">
        <v>9075</v>
      </c>
      <c r="F84" s="2264">
        <f t="shared" ref="F84:F100" si="12">E84-D84</f>
        <v>358</v>
      </c>
    </row>
    <row r="85" spans="2:6" ht="15" thickBot="1" x14ac:dyDescent="0.35">
      <c r="B85" s="2261">
        <v>13</v>
      </c>
      <c r="C85" s="2262">
        <v>1996</v>
      </c>
      <c r="D85" s="2264">
        <v>30208</v>
      </c>
      <c r="E85" s="2264">
        <v>31149</v>
      </c>
      <c r="F85" s="2264">
        <f t="shared" si="12"/>
        <v>941</v>
      </c>
    </row>
    <row r="86" spans="2:6" ht="15" thickBot="1" x14ac:dyDescent="0.35">
      <c r="B86" s="2261">
        <v>14</v>
      </c>
      <c r="C86" s="2262">
        <v>1997</v>
      </c>
      <c r="D86" s="2264">
        <v>46617</v>
      </c>
      <c r="E86" s="2264">
        <v>47951</v>
      </c>
      <c r="F86" s="2264">
        <f>E86-D86</f>
        <v>1334</v>
      </c>
    </row>
    <row r="87" spans="2:6" ht="15" thickBot="1" x14ac:dyDescent="0.35">
      <c r="B87" s="2261">
        <v>15</v>
      </c>
      <c r="C87" s="2262">
        <v>1998</v>
      </c>
      <c r="D87" s="2264">
        <v>13127</v>
      </c>
      <c r="E87" s="2264">
        <v>13517</v>
      </c>
      <c r="F87" s="2264">
        <f t="shared" si="12"/>
        <v>390</v>
      </c>
    </row>
    <row r="88" spans="2:6" ht="15" thickBot="1" x14ac:dyDescent="0.35">
      <c r="B88" s="2261">
        <v>16</v>
      </c>
      <c r="C88" s="2262">
        <v>1999</v>
      </c>
      <c r="D88" s="2264">
        <v>17817</v>
      </c>
      <c r="E88" s="2264">
        <v>18242</v>
      </c>
      <c r="F88" s="2264">
        <f t="shared" si="12"/>
        <v>425</v>
      </c>
    </row>
    <row r="89" spans="2:6" ht="15" thickBot="1" x14ac:dyDescent="0.35">
      <c r="B89" s="2261">
        <v>17</v>
      </c>
      <c r="C89" s="2262">
        <v>2000</v>
      </c>
      <c r="D89" s="2264">
        <v>93192</v>
      </c>
      <c r="E89" s="2264">
        <v>97326</v>
      </c>
      <c r="F89" s="2264">
        <f>E89-D89</f>
        <v>4134</v>
      </c>
    </row>
    <row r="90" spans="2:6" ht="15" thickBot="1" x14ac:dyDescent="0.35">
      <c r="B90" s="2261">
        <v>18</v>
      </c>
      <c r="C90" s="2262">
        <v>2002</v>
      </c>
      <c r="D90" s="2264">
        <v>49519</v>
      </c>
      <c r="E90" s="2264">
        <v>51109</v>
      </c>
      <c r="F90" s="2264">
        <f t="shared" si="12"/>
        <v>1590</v>
      </c>
    </row>
    <row r="91" spans="2:6" ht="15" thickBot="1" x14ac:dyDescent="0.35">
      <c r="B91" s="2261">
        <v>1</v>
      </c>
      <c r="C91" s="2262">
        <v>2013</v>
      </c>
      <c r="D91" s="2264">
        <v>185438</v>
      </c>
      <c r="E91" s="2264">
        <v>197737</v>
      </c>
      <c r="F91" s="2264">
        <f t="shared" si="12"/>
        <v>12299</v>
      </c>
    </row>
    <row r="92" spans="2:6" ht="15" thickBot="1" x14ac:dyDescent="0.35">
      <c r="B92" s="2261">
        <v>2</v>
      </c>
      <c r="C92" s="2262">
        <v>2014</v>
      </c>
      <c r="D92" s="2264">
        <v>614113</v>
      </c>
      <c r="E92" s="2264">
        <v>655983</v>
      </c>
      <c r="F92" s="2264">
        <f>E92-D92</f>
        <v>41870</v>
      </c>
    </row>
    <row r="93" spans="2:6" ht="15" thickBot="1" x14ac:dyDescent="0.35">
      <c r="B93" s="2261">
        <v>3</v>
      </c>
      <c r="C93" s="2262">
        <v>2015</v>
      </c>
      <c r="D93" s="2264">
        <v>510662</v>
      </c>
      <c r="E93" s="2264">
        <v>545156</v>
      </c>
      <c r="F93" s="2264">
        <f t="shared" si="12"/>
        <v>34494</v>
      </c>
    </row>
    <row r="94" spans="2:6" ht="15" thickBot="1" x14ac:dyDescent="0.35">
      <c r="B94" s="2261">
        <v>4</v>
      </c>
      <c r="C94" s="2262">
        <v>2016</v>
      </c>
      <c r="D94" s="2264">
        <v>342459</v>
      </c>
      <c r="E94" s="2264">
        <v>357826</v>
      </c>
      <c r="F94" s="2264">
        <f t="shared" si="12"/>
        <v>15367</v>
      </c>
    </row>
    <row r="95" spans="2:6" ht="15" thickBot="1" x14ac:dyDescent="0.35">
      <c r="B95" s="2261">
        <v>5</v>
      </c>
      <c r="C95" s="2262">
        <v>2017</v>
      </c>
      <c r="D95" s="2264">
        <v>87606</v>
      </c>
      <c r="E95" s="2264">
        <v>89955</v>
      </c>
      <c r="F95" s="2264">
        <f>E95-D95</f>
        <v>2349</v>
      </c>
    </row>
    <row r="96" spans="2:6" ht="15" thickBot="1" x14ac:dyDescent="0.35">
      <c r="B96" s="2261">
        <v>6</v>
      </c>
      <c r="C96" s="2262">
        <v>2018</v>
      </c>
      <c r="D96" s="2264">
        <v>193755</v>
      </c>
      <c r="E96" s="2264">
        <v>198150</v>
      </c>
      <c r="F96" s="2264">
        <f t="shared" si="12"/>
        <v>4395</v>
      </c>
    </row>
    <row r="97" spans="2:9" ht="15" thickBot="1" x14ac:dyDescent="0.35">
      <c r="B97" s="2261">
        <v>7</v>
      </c>
      <c r="C97" s="2262">
        <v>2019</v>
      </c>
      <c r="D97" s="2264">
        <v>63046</v>
      </c>
      <c r="E97" s="2264">
        <v>66279</v>
      </c>
      <c r="F97" s="2264">
        <f t="shared" si="12"/>
        <v>3233</v>
      </c>
    </row>
    <row r="98" spans="2:9" ht="15" thickBot="1" x14ac:dyDescent="0.35">
      <c r="B98" s="2261">
        <v>8</v>
      </c>
      <c r="C98" s="2262">
        <v>2020</v>
      </c>
      <c r="D98" s="2264">
        <v>341739</v>
      </c>
      <c r="E98" s="2264">
        <v>357555</v>
      </c>
      <c r="F98" s="2264">
        <f>E98-D98</f>
        <v>15816</v>
      </c>
    </row>
    <row r="99" spans="2:9" ht="15" thickBot="1" x14ac:dyDescent="0.35">
      <c r="B99" s="2261">
        <v>9</v>
      </c>
      <c r="C99" s="2262">
        <v>2021</v>
      </c>
      <c r="D99" s="2264">
        <v>151765</v>
      </c>
      <c r="E99" s="2264">
        <v>161564</v>
      </c>
      <c r="F99" s="2264">
        <f t="shared" si="12"/>
        <v>9799</v>
      </c>
    </row>
    <row r="100" spans="2:9" ht="15" thickBot="1" x14ac:dyDescent="0.35">
      <c r="B100" s="2261">
        <v>10</v>
      </c>
      <c r="C100" s="2262">
        <v>2022</v>
      </c>
      <c r="D100" s="2264">
        <v>663253</v>
      </c>
      <c r="E100" s="2264">
        <v>696983</v>
      </c>
      <c r="F100" s="2264">
        <f t="shared" si="12"/>
        <v>33730</v>
      </c>
      <c r="I100">
        <f>SQRT(0.94)</f>
        <v>0.96953597148326576</v>
      </c>
    </row>
    <row r="101" spans="2:9" ht="28.8" x14ac:dyDescent="0.3">
      <c r="B101" s="2263" t="s">
        <v>1145</v>
      </c>
      <c r="C101"/>
      <c r="D101"/>
      <c r="E101"/>
      <c r="F101"/>
    </row>
  </sheetData>
  <phoneticPr fontId="58" type="noConversion"/>
  <conditionalFormatting sqref="B27:B75">
    <cfRule type="colorScale" priority="1">
      <colorScale>
        <cfvo type="min"/>
        <cfvo type="max"/>
        <color rgb="FFFCFCFF"/>
        <color rgb="FFF8696B"/>
      </colorScale>
    </cfRule>
  </conditionalFormatting>
  <pageMargins left="0.7" right="0.7" top="0.75" bottom="0.75" header="0.3" footer="0.3"/>
  <drawing r:id="rId1"/>
  <legacy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A89747-E790-4A4D-8889-F2D6A38C645C}">
  <sheetPr codeName="Sheet35"/>
  <dimension ref="A1:J48"/>
  <sheetViews>
    <sheetView workbookViewId="0">
      <pane xSplit="1" ySplit="1" topLeftCell="B2" activePane="bottomRight" state="frozen"/>
      <selection pane="topRight" activeCell="C15" sqref="C15"/>
      <selection pane="bottomLeft" activeCell="C15" sqref="C15"/>
      <selection pane="bottomRight" activeCell="C15" sqref="C15"/>
    </sheetView>
  </sheetViews>
  <sheetFormatPr defaultRowHeight="14.4" x14ac:dyDescent="0.3"/>
  <cols>
    <col min="1" max="1" width="9.5546875" customWidth="1"/>
    <col min="2" max="2" width="10.6640625" customWidth="1"/>
    <col min="3" max="3" width="9.5546875" customWidth="1"/>
    <col min="4" max="4" width="11.33203125" bestFit="1" customWidth="1"/>
    <col min="5" max="6" width="9.44140625" customWidth="1"/>
    <col min="7" max="7" width="9.88671875" bestFit="1" customWidth="1"/>
  </cols>
  <sheetData>
    <row r="1" spans="1:10" s="1" customFormat="1" ht="93.6" customHeight="1" thickBot="1" x14ac:dyDescent="0.35">
      <c r="A1" s="1289" t="str">
        <f>'Sockeye Returns Data'!A1</f>
        <v>Return Year</v>
      </c>
      <c r="B1" s="1767" t="str">
        <f>'Sockeye Returns Data'!C1</f>
        <v>Total Sox (Mouth)  [24-hour]</v>
      </c>
      <c r="C1" s="1767" t="str">
        <f>'Sockeye Returns Data'!E1</f>
        <v>Total Sox (Bonn)  [24-hour]</v>
      </c>
      <c r="D1" s="1767" t="str">
        <f>'Sockeye Returns Data'!AD1</f>
        <v>Estimated Okanagan Sockeye Returns</v>
      </c>
      <c r="E1" s="950" t="str">
        <f>'Sockeye Returns Data'!BW1</f>
        <v>Estimated Osoyoos Sockeye Returns (N-O)</v>
      </c>
      <c r="F1" s="950" t="str">
        <f>'Sockeye Returns Data'!BX1</f>
        <v>Estimated Skaha Sockeye Returns (H-O&amp;N-O)</v>
      </c>
      <c r="G1" s="950" t="str">
        <f>'Sockeye Returns Data'!AW1</f>
        <v xml:space="preserve">Ok Sox @Wells (incl. Harvest) </v>
      </c>
      <c r="H1" s="950" t="s">
        <v>1146</v>
      </c>
      <c r="I1" s="1768" t="s">
        <v>1147</v>
      </c>
      <c r="J1" s="1769" t="s">
        <v>1148</v>
      </c>
    </row>
    <row r="2" spans="1:10" x14ac:dyDescent="0.3">
      <c r="A2" s="489">
        <f>'Sockeye Returns Data'!A2</f>
        <v>1977</v>
      </c>
      <c r="B2" s="1764">
        <f>'Sockeye Returns Data'!C2</f>
        <v>103901.607273</v>
      </c>
      <c r="C2" s="1765">
        <f>'Sockeye Returns Data'!E2</f>
        <v>103901.607273</v>
      </c>
      <c r="D2" s="733">
        <f>'Sockeye Returns Data'!AD2</f>
        <v>33101.954327359999</v>
      </c>
      <c r="E2" s="1765">
        <f>'Sockeye Returns Data'!BW2</f>
        <v>0</v>
      </c>
      <c r="F2" s="1765">
        <f>'Sockeye Returns Data'!BX2</f>
        <v>0</v>
      </c>
      <c r="G2" s="1765">
        <f>'Sockeye Returns Data'!AW2</f>
        <v>24873.435999999998</v>
      </c>
      <c r="H2" s="735">
        <f>D2-G2</f>
        <v>8228.5183273600014</v>
      </c>
      <c r="I2" s="1766">
        <f>IF(G2/D2&gt;1,1,G2/D2)</f>
        <v>0.75141895714118534</v>
      </c>
      <c r="J2" s="1766">
        <f>G2/((C2-Total_Sockeye__Snake)*OK_Stock_Comp_______Best)</f>
        <v>0.75141895714118534</v>
      </c>
    </row>
    <row r="3" spans="1:10" x14ac:dyDescent="0.3">
      <c r="A3" s="669">
        <f>'Sockeye Returns Data'!A3</f>
        <v>1978</v>
      </c>
      <c r="B3" s="1762">
        <f>'Sockeye Returns Data'!C3</f>
        <v>18965.000231999999</v>
      </c>
      <c r="C3" s="1761">
        <f>'Sockeye Returns Data'!E3</f>
        <v>18965.000231999999</v>
      </c>
      <c r="D3" s="726">
        <f>'Sockeye Returns Data'!AD3</f>
        <v>11870.46014616</v>
      </c>
      <c r="E3" s="1761">
        <f>'Sockeye Returns Data'!BW3</f>
        <v>0</v>
      </c>
      <c r="F3" s="1761">
        <f>'Sockeye Returns Data'!BX3</f>
        <v>0</v>
      </c>
      <c r="G3" s="1761">
        <f>'Sockeye Returns Data'!AW3</f>
        <v>8653.0079999999998</v>
      </c>
      <c r="H3" s="728">
        <f t="shared" ref="H3:H47" si="0">D3-G3</f>
        <v>3217.4521461599998</v>
      </c>
      <c r="I3" s="1763">
        <f t="shared" ref="I3:I47" si="1">IF(G3/D3&gt;1,1,G3/D3)</f>
        <v>0.72895303917929244</v>
      </c>
      <c r="J3" s="1763">
        <f>IF(G3/((C3-'Sockeye Returns Data'!F3)*'Sockeye Returns Data'!U3)&gt;1,1,G3/((C3-'Sockeye Returns Data'!F3)*'Sockeye Returns Data'!U3))</f>
        <v>0.72895303917929244</v>
      </c>
    </row>
    <row r="4" spans="1:10" x14ac:dyDescent="0.3">
      <c r="A4" s="669">
        <f>'Sockeye Returns Data'!A4</f>
        <v>1979</v>
      </c>
      <c r="B4" s="1762">
        <f>'Sockeye Returns Data'!C4</f>
        <v>54645.617335999996</v>
      </c>
      <c r="C4" s="1761">
        <f>'Sockeye Returns Data'!E4</f>
        <v>54645.617335999996</v>
      </c>
      <c r="D4" s="726">
        <f>'Sockeye Returns Data'!AD4</f>
        <v>34957.195095039999</v>
      </c>
      <c r="E4" s="1761">
        <f>'Sockeye Returns Data'!BW4</f>
        <v>0</v>
      </c>
      <c r="F4" s="1761">
        <f>'Sockeye Returns Data'!BX4</f>
        <v>0</v>
      </c>
      <c r="G4" s="1761">
        <f>'Sockeye Returns Data'!AW4</f>
        <v>30173.459999999995</v>
      </c>
      <c r="H4" s="728">
        <f t="shared" si="0"/>
        <v>4783.7350950400032</v>
      </c>
      <c r="I4" s="1763">
        <f t="shared" si="1"/>
        <v>0.86315449274364819</v>
      </c>
      <c r="J4" s="1763">
        <f>IF(G4/((C4-'Sockeye Returns Data'!F4)*'Sockeye Returns Data'!U4)&gt;1,1,G4/((C4-'Sockeye Returns Data'!F4)*'Sockeye Returns Data'!U4))</f>
        <v>0.86315449274364819</v>
      </c>
    </row>
    <row r="5" spans="1:10" x14ac:dyDescent="0.3">
      <c r="A5" s="669">
        <f>'Sockeye Returns Data'!A5</f>
        <v>1980</v>
      </c>
      <c r="B5" s="1762">
        <f>'Sockeye Returns Data'!C5</f>
        <v>61175.897733999991</v>
      </c>
      <c r="C5" s="1761">
        <f>'Sockeye Returns Data'!E5</f>
        <v>61171.897733999991</v>
      </c>
      <c r="D5" s="726">
        <f>'Sockeye Returns Data'!AD5</f>
        <v>39084.094549759997</v>
      </c>
      <c r="E5" s="1761">
        <f>'Sockeye Returns Data'!BW5</f>
        <v>0</v>
      </c>
      <c r="F5" s="1761">
        <f>'Sockeye Returns Data'!BX5</f>
        <v>0</v>
      </c>
      <c r="G5" s="1761">
        <f>'Sockeye Returns Data'!AW5</f>
        <v>30487.675999999999</v>
      </c>
      <c r="H5" s="728">
        <f t="shared" si="0"/>
        <v>8596.4185497599974</v>
      </c>
      <c r="I5" s="1763">
        <f t="shared" si="1"/>
        <v>0.78005327617823028</v>
      </c>
      <c r="J5" s="1763">
        <f>IF(G5/((C5-'Sockeye Returns Data'!F5)*'Sockeye Returns Data'!U5)&gt;1,1,G5/((C5-'Sockeye Returns Data'!F5)*'Sockeye Returns Data'!U5))</f>
        <v>0.78010437285112266</v>
      </c>
    </row>
    <row r="6" spans="1:10" x14ac:dyDescent="0.3">
      <c r="A6" s="669">
        <f>'Sockeye Returns Data'!A6</f>
        <v>1981</v>
      </c>
      <c r="B6" s="1762">
        <f>'Sockeye Returns Data'!C6</f>
        <v>58203.034968999993</v>
      </c>
      <c r="C6" s="1761">
        <f>'Sockeye Returns Data'!E6</f>
        <v>58203.034968999993</v>
      </c>
      <c r="D6" s="726">
        <f>'Sockeye Returns Data'!AD6</f>
        <v>42315.935527369991</v>
      </c>
      <c r="E6" s="1761">
        <f>'Sockeye Returns Data'!BW6</f>
        <v>0</v>
      </c>
      <c r="F6" s="1761">
        <f>'Sockeye Returns Data'!BX6</f>
        <v>0</v>
      </c>
      <c r="G6" s="1761">
        <f>'Sockeye Returns Data'!AW6</f>
        <v>33060.997999999992</v>
      </c>
      <c r="H6" s="728">
        <f t="shared" si="0"/>
        <v>9254.9375273699989</v>
      </c>
      <c r="I6" s="1763">
        <f t="shared" si="1"/>
        <v>0.78128954465903522</v>
      </c>
      <c r="J6" s="1763">
        <f>IF(G6/((C6-'Sockeye Returns Data'!F6)*'Sockeye Returns Data'!U6)&gt;1,1,G6/((C6-'Sockeye Returns Data'!F6)*'Sockeye Returns Data'!U6))</f>
        <v>0.78128954465903522</v>
      </c>
    </row>
    <row r="7" spans="1:10" x14ac:dyDescent="0.3">
      <c r="A7" s="669">
        <f>'Sockeye Returns Data'!A7</f>
        <v>1982</v>
      </c>
      <c r="B7" s="1762">
        <f>'Sockeye Returns Data'!C7</f>
        <v>52231.736702999995</v>
      </c>
      <c r="C7" s="1761">
        <f>'Sockeye Returns Data'!E7</f>
        <v>52131.736702999995</v>
      </c>
      <c r="D7" s="726">
        <f>'Sockeye Returns Data'!AD7</f>
        <v>27026.863085559999</v>
      </c>
      <c r="E7" s="1761">
        <f>'Sockeye Returns Data'!BW7</f>
        <v>0</v>
      </c>
      <c r="F7" s="1761">
        <f>'Sockeye Returns Data'!BX7</f>
        <v>0</v>
      </c>
      <c r="G7" s="1761">
        <f>'Sockeye Returns Data'!AW7</f>
        <v>21916.659999999996</v>
      </c>
      <c r="H7" s="728">
        <f t="shared" si="0"/>
        <v>5110.2030855600024</v>
      </c>
      <c r="I7" s="1763">
        <f t="shared" si="1"/>
        <v>0.81092133891445584</v>
      </c>
      <c r="J7" s="1763">
        <f>IF(G7/((C7-'Sockeye Returns Data'!F7)*'Sockeye Returns Data'!U7)&gt;1,1,G7/((C7-'Sockeye Returns Data'!F7)*'Sockeye Returns Data'!U7))</f>
        <v>0.81248456870694086</v>
      </c>
    </row>
    <row r="8" spans="1:10" x14ac:dyDescent="0.3">
      <c r="A8" s="669">
        <f>'Sockeye Returns Data'!A8</f>
        <v>1983</v>
      </c>
      <c r="B8" s="1762">
        <f>'Sockeye Returns Data'!C8</f>
        <v>104712.996099</v>
      </c>
      <c r="C8" s="1761">
        <f>'Sockeye Returns Data'!E8</f>
        <v>104629.996099</v>
      </c>
      <c r="D8" s="726">
        <f>'Sockeye Returns Data'!AD8</f>
        <v>38654.638556630001</v>
      </c>
      <c r="E8" s="1761">
        <f>'Sockeye Returns Data'!BW8</f>
        <v>0</v>
      </c>
      <c r="F8" s="1761">
        <f>'Sockeye Returns Data'!BX8</f>
        <v>0</v>
      </c>
      <c r="G8" s="1761">
        <f>'Sockeye Returns Data'!AW8</f>
        <v>32850.229999999996</v>
      </c>
      <c r="H8" s="728">
        <f t="shared" si="0"/>
        <v>5804.4085566300055</v>
      </c>
      <c r="I8" s="1763">
        <f t="shared" si="1"/>
        <v>0.84983927483563448</v>
      </c>
      <c r="J8" s="1763">
        <f>IF(G8/((C8-'Sockeye Returns Data'!F8)*'Sockeye Returns Data'!U8)&gt;1,1,G8/((C8-'Sockeye Returns Data'!F8)*'Sockeye Returns Data'!U8))</f>
        <v>0.8505149845602924</v>
      </c>
    </row>
    <row r="9" spans="1:10" x14ac:dyDescent="0.3">
      <c r="A9" s="669">
        <f>'Sockeye Returns Data'!A9</f>
        <v>1984</v>
      </c>
      <c r="B9" s="1762">
        <f>'Sockeye Returns Data'!C9</f>
        <v>168257.70376499998</v>
      </c>
      <c r="C9" s="1761">
        <f>'Sockeye Returns Data'!E9</f>
        <v>158912.70376499998</v>
      </c>
      <c r="D9" s="726">
        <f>'Sockeye Returns Data'!AD9</f>
        <v>141211.31116259997</v>
      </c>
      <c r="E9" s="1761">
        <f>'Sockeye Returns Data'!BW9</f>
        <v>0</v>
      </c>
      <c r="F9" s="1761">
        <f>'Sockeye Returns Data'!BX9</f>
        <v>0</v>
      </c>
      <c r="G9" s="1761">
        <f>'Sockeye Returns Data'!AW9</f>
        <v>112430.568</v>
      </c>
      <c r="H9" s="728">
        <f t="shared" si="0"/>
        <v>28780.743162599974</v>
      </c>
      <c r="I9" s="1763">
        <f t="shared" si="1"/>
        <v>0.79618670115271473</v>
      </c>
      <c r="J9" s="1763">
        <f>IF(G9/((C9-'Sockeye Returns Data'!F9)*'Sockeye Returns Data'!U9)&gt;1,1,G9/((C9-'Sockeye Returns Data'!F9)*'Sockeye Returns Data'!U9))</f>
        <v>0.84305109487639129</v>
      </c>
    </row>
    <row r="10" spans="1:10" x14ac:dyDescent="0.3">
      <c r="A10" s="669">
        <f>'Sockeye Returns Data'!A10</f>
        <v>1985</v>
      </c>
      <c r="B10" s="1762">
        <f>'Sockeye Returns Data'!C10</f>
        <v>205521</v>
      </c>
      <c r="C10" s="1761">
        <f>'Sockeye Returns Data'!E10</f>
        <v>173308</v>
      </c>
      <c r="D10" s="726">
        <f>'Sockeye Returns Data'!AD10</f>
        <v>121223</v>
      </c>
      <c r="E10" s="1761">
        <f>'Sockeye Returns Data'!BW10</f>
        <v>0</v>
      </c>
      <c r="F10" s="1761">
        <f>'Sockeye Returns Data'!BX10</f>
        <v>0</v>
      </c>
      <c r="G10" s="1761">
        <f>'Sockeye Returns Data'!AW10</f>
        <v>89465.258000000002</v>
      </c>
      <c r="H10" s="728">
        <f t="shared" si="0"/>
        <v>31757.741999999998</v>
      </c>
      <c r="I10" s="1763">
        <f t="shared" si="1"/>
        <v>0.73802214101284414</v>
      </c>
      <c r="J10" s="1763">
        <f>IF(G10/((C10-'Sockeye Returns Data'!F10)*'Sockeye Returns Data'!U10)&gt;1,1,G10/((C10-'Sockeye Returns Data'!F10)*'Sockeye Returns Data'!U10))</f>
        <v>0.87524909528178862</v>
      </c>
    </row>
    <row r="11" spans="1:10" x14ac:dyDescent="0.3">
      <c r="A11" s="669">
        <f>'Sockeye Returns Data'!A11</f>
        <v>1986</v>
      </c>
      <c r="B11" s="1762">
        <f>'Sockeye Returns Data'!C11</f>
        <v>62220</v>
      </c>
      <c r="C11" s="1761">
        <f>'Sockeye Returns Data'!E11</f>
        <v>60380</v>
      </c>
      <c r="D11" s="726">
        <f>'Sockeye Returns Data'!AD11</f>
        <v>49135</v>
      </c>
      <c r="E11" s="1761">
        <f>'Sockeye Returns Data'!BW11</f>
        <v>0</v>
      </c>
      <c r="F11" s="1761">
        <f>'Sockeye Returns Data'!BX11</f>
        <v>0</v>
      </c>
      <c r="G11" s="1761">
        <f>'Sockeye Returns Data'!AW11</f>
        <v>44650.895999999993</v>
      </c>
      <c r="H11" s="728">
        <f t="shared" si="0"/>
        <v>4484.1040000000066</v>
      </c>
      <c r="I11" s="1763">
        <f t="shared" si="1"/>
        <v>0.90873910654319723</v>
      </c>
      <c r="J11" s="1763">
        <f>IF(G11/((C11-'Sockeye Returns Data'!F11)*'Sockeye Returns Data'!U11)&gt;1,1,G11/((C11-'Sockeye Returns Data'!F11)*'Sockeye Returns Data'!U11))</f>
        <v>0.9364457803530275</v>
      </c>
    </row>
    <row r="12" spans="1:10" x14ac:dyDescent="0.3">
      <c r="A12" s="669">
        <f>'Sockeye Returns Data'!A12</f>
        <v>1987</v>
      </c>
      <c r="B12" s="1762">
        <f>'Sockeye Returns Data'!C12</f>
        <v>150366</v>
      </c>
      <c r="C12" s="1761">
        <f>'Sockeye Returns Data'!E12</f>
        <v>121813</v>
      </c>
      <c r="D12" s="726">
        <f>'Sockeye Returns Data'!AD12</f>
        <v>99205</v>
      </c>
      <c r="E12" s="1761">
        <f>'Sockeye Returns Data'!BW12</f>
        <v>0</v>
      </c>
      <c r="F12" s="1761">
        <f>'Sockeye Returns Data'!BX12</f>
        <v>0</v>
      </c>
      <c r="G12" s="1761">
        <f>'Sockeye Returns Data'!AW12</f>
        <v>71525.440000000002</v>
      </c>
      <c r="H12" s="728">
        <f t="shared" si="0"/>
        <v>27679.559999999998</v>
      </c>
      <c r="I12" s="1763">
        <f t="shared" si="1"/>
        <v>0.72098624061287231</v>
      </c>
      <c r="J12" s="1763">
        <f>IF(G12/((C12-'Sockeye Returns Data'!F12)*'Sockeye Returns Data'!U12)&gt;1,1,G12/((C12-'Sockeye Returns Data'!F12)*'Sockeye Returns Data'!U12))</f>
        <v>0.89005961651701571</v>
      </c>
    </row>
    <row r="13" spans="1:10" x14ac:dyDescent="0.3">
      <c r="A13" s="669">
        <f>'Sockeye Returns Data'!A13</f>
        <v>1988</v>
      </c>
      <c r="B13" s="1762">
        <f>'Sockeye Returns Data'!C13</f>
        <v>100543</v>
      </c>
      <c r="C13" s="1761">
        <f>'Sockeye Returns Data'!E13</f>
        <v>82911</v>
      </c>
      <c r="D13" s="726">
        <f>'Sockeye Returns Data'!AD13</f>
        <v>78388</v>
      </c>
      <c r="E13" s="1761">
        <f>'Sockeye Returns Data'!BW13</f>
        <v>0</v>
      </c>
      <c r="F13" s="1761">
        <f>'Sockeye Returns Data'!BX13</f>
        <v>0</v>
      </c>
      <c r="G13" s="1761">
        <f>'Sockeye Returns Data'!AW13</f>
        <v>62635.296000000002</v>
      </c>
      <c r="H13" s="728">
        <f t="shared" si="0"/>
        <v>15752.703999999998</v>
      </c>
      <c r="I13" s="1763">
        <f t="shared" si="1"/>
        <v>0.79904189416747462</v>
      </c>
      <c r="J13" s="1763">
        <f>IF(G13/((C13-'Sockeye Returns Data'!F13)*'Sockeye Returns Data'!U13)&gt;1,1,G13/((C13-'Sockeye Returns Data'!F13)*'Sockeye Returns Data'!U13))</f>
        <v>0.96905439551156736</v>
      </c>
    </row>
    <row r="14" spans="1:10" x14ac:dyDescent="0.3">
      <c r="A14" s="669">
        <f>'Sockeye Returns Data'!A14</f>
        <v>1989</v>
      </c>
      <c r="B14" s="1762">
        <f>'Sockeye Returns Data'!C14</f>
        <v>43470</v>
      </c>
      <c r="C14" s="1761">
        <f>'Sockeye Returns Data'!E14</f>
        <v>43434</v>
      </c>
      <c r="D14" s="726">
        <f>'Sockeye Returns Data'!AD14</f>
        <v>18256</v>
      </c>
      <c r="E14" s="1761">
        <f>'Sockeye Returns Data'!BW14</f>
        <v>0</v>
      </c>
      <c r="F14" s="1761">
        <f>'Sockeye Returns Data'!BX14</f>
        <v>0</v>
      </c>
      <c r="G14" s="1761">
        <f>'Sockeye Returns Data'!AW14</f>
        <v>18982.791999999998</v>
      </c>
      <c r="H14" s="728">
        <f t="shared" si="0"/>
        <v>-726.79199999999764</v>
      </c>
      <c r="I14" s="1763">
        <f t="shared" si="1"/>
        <v>1</v>
      </c>
      <c r="J14" s="1763">
        <f>IF(G14/((C14-'Sockeye Returns Data'!F14)*'Sockeye Returns Data'!U14)&gt;1,1,G14/((C14-'Sockeye Returns Data'!F14)*'Sockeye Returns Data'!U14))</f>
        <v>1</v>
      </c>
    </row>
    <row r="15" spans="1:10" x14ac:dyDescent="0.3">
      <c r="A15" s="669">
        <f>'Sockeye Returns Data'!A15</f>
        <v>1990</v>
      </c>
      <c r="B15" s="1762">
        <f>'Sockeye Returns Data'!C15</f>
        <v>51639</v>
      </c>
      <c r="C15" s="1761">
        <f>'Sockeye Returns Data'!E15</f>
        <v>51466</v>
      </c>
      <c r="D15" s="726">
        <f>'Sockeye Returns Data'!AD15</f>
        <v>12393</v>
      </c>
      <c r="E15" s="1761">
        <f>'Sockeye Returns Data'!BW15</f>
        <v>0</v>
      </c>
      <c r="F15" s="1761">
        <f>'Sockeye Returns Data'!BX15</f>
        <v>0</v>
      </c>
      <c r="G15" s="1761">
        <f>'Sockeye Returns Data'!AW15</f>
        <v>9265.2279999999992</v>
      </c>
      <c r="H15" s="728">
        <f t="shared" si="0"/>
        <v>3127.7720000000008</v>
      </c>
      <c r="I15" s="1763">
        <f t="shared" si="1"/>
        <v>0.74761784878560467</v>
      </c>
      <c r="J15" s="1763">
        <f>IF(G15/((C15-'Sockeye Returns Data'!F15)*'Sockeye Returns Data'!U15)&gt;1,1,G15/((C15-'Sockeye Returns Data'!F15)*'Sockeye Returns Data'!U15))</f>
        <v>0.7501237086693221</v>
      </c>
    </row>
    <row r="16" spans="1:10" x14ac:dyDescent="0.3">
      <c r="A16" s="669">
        <f>'Sockeye Returns Data'!A16</f>
        <v>1991</v>
      </c>
      <c r="B16" s="1762">
        <f>'Sockeye Returns Data'!C16</f>
        <v>79540</v>
      </c>
      <c r="C16" s="1761">
        <f>'Sockeye Returns Data'!E16</f>
        <v>79537</v>
      </c>
      <c r="D16" s="726">
        <f>'Sockeye Returns Data'!AD16</f>
        <v>39765</v>
      </c>
      <c r="E16" s="1761">
        <f>'Sockeye Returns Data'!BW16</f>
        <v>0</v>
      </c>
      <c r="F16" s="1761">
        <f>'Sockeye Returns Data'!BX16</f>
        <v>0</v>
      </c>
      <c r="G16" s="1761">
        <f>'Sockeye Returns Data'!AW16</f>
        <v>32754.179999999997</v>
      </c>
      <c r="H16" s="728">
        <f t="shared" si="0"/>
        <v>7010.8200000000033</v>
      </c>
      <c r="I16" s="1763">
        <f t="shared" si="1"/>
        <v>0.82369370049038093</v>
      </c>
      <c r="J16" s="1763">
        <f>IF(G16/((C16-'Sockeye Returns Data'!F16)*'Sockeye Returns Data'!U16)&gt;1,1,G16/((C16-'Sockeye Returns Data'!F16)*'Sockeye Returns Data'!U16))</f>
        <v>0.82372477271869926</v>
      </c>
    </row>
    <row r="17" spans="1:10" x14ac:dyDescent="0.3">
      <c r="A17" s="669">
        <f>'Sockeye Returns Data'!A17</f>
        <v>1992</v>
      </c>
      <c r="B17" s="1762">
        <f>'Sockeye Returns Data'!C17</f>
        <v>88427</v>
      </c>
      <c r="C17" s="1761">
        <f>'Sockeye Returns Data'!E17</f>
        <v>88419</v>
      </c>
      <c r="D17" s="726">
        <f>'Sockeye Returns Data'!AD17</f>
        <v>60990</v>
      </c>
      <c r="E17" s="1761">
        <f>'Sockeye Returns Data'!BW17</f>
        <v>0</v>
      </c>
      <c r="F17" s="1761">
        <f>'Sockeye Returns Data'!BX17</f>
        <v>0</v>
      </c>
      <c r="G17" s="1761">
        <f>'Sockeye Returns Data'!AW17</f>
        <v>48996.181999999993</v>
      </c>
      <c r="H17" s="728">
        <f t="shared" si="0"/>
        <v>11993.818000000007</v>
      </c>
      <c r="I17" s="1763">
        <f t="shared" si="1"/>
        <v>0.80334779472044582</v>
      </c>
      <c r="J17" s="1763">
        <f>IF(G17/((C17-'Sockeye Returns Data'!F17)*'Sockeye Returns Data'!U17)&gt;1,1,G17/((C17-'Sockeye Returns Data'!F17)*'Sockeye Returns Data'!U17))</f>
        <v>0.80341418605505355</v>
      </c>
    </row>
    <row r="18" spans="1:10" x14ac:dyDescent="0.3">
      <c r="A18" s="669">
        <f>'Sockeye Returns Data'!A18</f>
        <v>1993</v>
      </c>
      <c r="B18" s="1762">
        <f>'Sockeye Returns Data'!C18</f>
        <v>83459</v>
      </c>
      <c r="C18" s="1761">
        <f>'Sockeye Returns Data'!E18</f>
        <v>83395</v>
      </c>
      <c r="D18" s="726">
        <f>'Sockeye Returns Data'!AD18</f>
        <v>40052</v>
      </c>
      <c r="E18" s="1761">
        <f>'Sockeye Returns Data'!BW18</f>
        <v>0</v>
      </c>
      <c r="F18" s="1761">
        <f>'Sockeye Returns Data'!BX18</f>
        <v>0</v>
      </c>
      <c r="G18" s="1761">
        <f>'Sockeye Returns Data'!AW18</f>
        <v>33934.667999999998</v>
      </c>
      <c r="H18" s="728">
        <f t="shared" si="0"/>
        <v>6117.3320000000022</v>
      </c>
      <c r="I18" s="1763">
        <f t="shared" si="1"/>
        <v>0.84726525516828122</v>
      </c>
      <c r="J18" s="1763">
        <f>IF(G18/((C18-'Sockeye Returns Data'!F18)*'Sockeye Returns Data'!U18)&gt;1,1,G18/((C18-'Sockeye Returns Data'!F18)*'Sockeye Returns Data'!U18))</f>
        <v>0.8479223886683378</v>
      </c>
    </row>
    <row r="19" spans="1:10" x14ac:dyDescent="0.3">
      <c r="A19" s="669">
        <f>'Sockeye Returns Data'!A19</f>
        <v>1994</v>
      </c>
      <c r="B19" s="1762">
        <f>'Sockeye Returns Data'!C19</f>
        <v>12957</v>
      </c>
      <c r="C19" s="1761">
        <f>'Sockeye Returns Data'!E19</f>
        <v>12956</v>
      </c>
      <c r="D19" s="726">
        <f>'Sockeye Returns Data'!AD19</f>
        <v>2202</v>
      </c>
      <c r="E19" s="1761">
        <f>'Sockeye Returns Data'!BW19</f>
        <v>2202</v>
      </c>
      <c r="F19" s="1761">
        <f>'Sockeye Returns Data'!BX19</f>
        <v>0</v>
      </c>
      <c r="G19" s="1761">
        <f>'Sockeye Returns Data'!AW19</f>
        <v>1966.1519999999998</v>
      </c>
      <c r="H19" s="728">
        <f t="shared" si="0"/>
        <v>235.84800000000018</v>
      </c>
      <c r="I19" s="1763">
        <f t="shared" si="1"/>
        <v>0.89289373297002717</v>
      </c>
      <c r="J19" s="1763">
        <f>IF(G19/((C19-'Sockeye Returns Data'!F19)*'Sockeye Returns Data'!U19)&gt;1,1,G19/((C19-'Sockeye Returns Data'!F19)*'Sockeye Returns Data'!U19))</f>
        <v>0.89302756543896211</v>
      </c>
    </row>
    <row r="20" spans="1:10" x14ac:dyDescent="0.3">
      <c r="A20" s="669">
        <f>'Sockeye Returns Data'!A20</f>
        <v>1995</v>
      </c>
      <c r="B20" s="1762">
        <f>'Sockeye Returns Data'!C20</f>
        <v>8883</v>
      </c>
      <c r="C20" s="1761">
        <f>'Sockeye Returns Data'!E20</f>
        <v>8882</v>
      </c>
      <c r="D20" s="726">
        <f>'Sockeye Returns Data'!AD20</f>
        <v>5238</v>
      </c>
      <c r="E20" s="1761">
        <f>'Sockeye Returns Data'!BW20</f>
        <v>5238</v>
      </c>
      <c r="F20" s="1761">
        <f>'Sockeye Returns Data'!BX20</f>
        <v>0</v>
      </c>
      <c r="G20" s="1761">
        <f>'Sockeye Returns Data'!AW20</f>
        <v>5800.2939999999999</v>
      </c>
      <c r="H20" s="728">
        <f t="shared" si="0"/>
        <v>-562.29399999999987</v>
      </c>
      <c r="I20" s="1763">
        <f t="shared" si="1"/>
        <v>1</v>
      </c>
      <c r="J20" s="1763">
        <f>IF(G20/((C20-'Sockeye Returns Data'!F20)*'Sockeye Returns Data'!U20)&gt;1,1,G20/((C20-'Sockeye Returns Data'!F20)*'Sockeye Returns Data'!U20))</f>
        <v>1</v>
      </c>
    </row>
    <row r="21" spans="1:10" x14ac:dyDescent="0.3">
      <c r="A21" s="669">
        <f>'Sockeye Returns Data'!A21</f>
        <v>1996</v>
      </c>
      <c r="B21" s="1762">
        <f>'Sockeye Returns Data'!C21</f>
        <v>31300</v>
      </c>
      <c r="C21" s="1761">
        <f>'Sockeye Returns Data'!E21</f>
        <v>31275</v>
      </c>
      <c r="D21" s="726">
        <f>'Sockeye Returns Data'!AD21</f>
        <v>23160</v>
      </c>
      <c r="E21" s="1761">
        <f>'Sockeye Returns Data'!BW21</f>
        <v>23160</v>
      </c>
      <c r="F21" s="1761">
        <f>'Sockeye Returns Data'!BX21</f>
        <v>0</v>
      </c>
      <c r="G21" s="1761">
        <f>'Sockeye Returns Data'!AW21</f>
        <v>21083.892</v>
      </c>
      <c r="H21" s="728">
        <f t="shared" si="0"/>
        <v>2076.1080000000002</v>
      </c>
      <c r="I21" s="1763">
        <f t="shared" si="1"/>
        <v>0.91035803108808289</v>
      </c>
      <c r="J21" s="1763">
        <f>IF(G21/((C21-'Sockeye Returns Data'!F21)*'Sockeye Returns Data'!U21)&gt;1,1,G21/((C21-'Sockeye Returns Data'!F21)*'Sockeye Returns Data'!U21))</f>
        <v>0.91109445977059178</v>
      </c>
    </row>
    <row r="22" spans="1:10" x14ac:dyDescent="0.3">
      <c r="A22" s="669">
        <f>'Sockeye Returns Data'!A22</f>
        <v>1997</v>
      </c>
      <c r="B22" s="1762">
        <f>'Sockeye Returns Data'!C22</f>
        <v>48793</v>
      </c>
      <c r="C22" s="1761">
        <f>'Sockeye Returns Data'!E22</f>
        <v>48781</v>
      </c>
      <c r="D22" s="726">
        <f>'Sockeye Returns Data'!AD22</f>
        <v>36095</v>
      </c>
      <c r="E22" s="1761">
        <f>'Sockeye Returns Data'!BW22</f>
        <v>36095</v>
      </c>
      <c r="F22" s="1761">
        <f>'Sockeye Returns Data'!BX22</f>
        <v>0</v>
      </c>
      <c r="G22" s="1761">
        <f>'Sockeye Returns Data'!AW22</f>
        <v>29385.011999999999</v>
      </c>
      <c r="H22" s="728">
        <f t="shared" si="0"/>
        <v>6709.9880000000012</v>
      </c>
      <c r="I22" s="1763">
        <f t="shared" si="1"/>
        <v>0.81410200858844717</v>
      </c>
      <c r="J22" s="1763">
        <f>IF(G22/((C22-'Sockeye Returns Data'!F22)*'Sockeye Returns Data'!U22)&gt;1,1,G22/((C22-'Sockeye Returns Data'!F22)*'Sockeye Returns Data'!U22))</f>
        <v>0.81430279248796633</v>
      </c>
    </row>
    <row r="23" spans="1:10" x14ac:dyDescent="0.3">
      <c r="A23" s="669">
        <f>'Sockeye Returns Data'!A23</f>
        <v>1998</v>
      </c>
      <c r="B23" s="1762">
        <f>'Sockeye Returns Data'!C23</f>
        <v>13522</v>
      </c>
      <c r="C23" s="1761">
        <f>'Sockeye Returns Data'!E23</f>
        <v>13520</v>
      </c>
      <c r="D23" s="726">
        <f>'Sockeye Returns Data'!AD23</f>
        <v>7705</v>
      </c>
      <c r="E23" s="1761">
        <f>'Sockeye Returns Data'!BW23</f>
        <v>7705</v>
      </c>
      <c r="F23" s="1761">
        <f>'Sockeye Returns Data'!BX23</f>
        <v>0</v>
      </c>
      <c r="G23" s="1761">
        <f>'Sockeye Returns Data'!AW23</f>
        <v>4908.25</v>
      </c>
      <c r="H23" s="728">
        <f t="shared" si="0"/>
        <v>2796.75</v>
      </c>
      <c r="I23" s="1763">
        <f t="shared" si="1"/>
        <v>0.63702141466580142</v>
      </c>
      <c r="J23" s="1763">
        <f>IF(G23/((C23-'Sockeye Returns Data'!F23)*'Sockeye Returns Data'!U23)&gt;1,1,G23/((C23-'Sockeye Returns Data'!F23)*'Sockeye Returns Data'!U23))</f>
        <v>0.63709417817998693</v>
      </c>
    </row>
    <row r="24" spans="1:10" x14ac:dyDescent="0.3">
      <c r="A24" s="669">
        <f>'Sockeye Returns Data'!A24</f>
        <v>1999</v>
      </c>
      <c r="B24" s="1762">
        <f>'Sockeye Returns Data'!C24</f>
        <v>18383</v>
      </c>
      <c r="C24" s="1761">
        <f>'Sockeye Returns Data'!E24</f>
        <v>18382</v>
      </c>
      <c r="D24" s="726">
        <f>'Sockeye Returns Data'!AD24</f>
        <v>16715</v>
      </c>
      <c r="E24" s="1761">
        <f>'Sockeye Returns Data'!BW24</f>
        <v>16715</v>
      </c>
      <c r="F24" s="1761">
        <f>'Sockeye Returns Data'!BX24</f>
        <v>0</v>
      </c>
      <c r="G24" s="1761">
        <f>'Sockeye Returns Data'!AW24</f>
        <v>13028.64</v>
      </c>
      <c r="H24" s="728">
        <f t="shared" si="0"/>
        <v>3686.3600000000006</v>
      </c>
      <c r="I24" s="1763">
        <f t="shared" si="1"/>
        <v>0.77945797188154353</v>
      </c>
      <c r="J24" s="1763">
        <f>IF(G24/((C24-'Sockeye Returns Data'!F24)*'Sockeye Returns Data'!U24)&gt;1,1,G24/((C24-'Sockeye Returns Data'!F24)*'Sockeye Returns Data'!U24))</f>
        <v>0.77950600605361853</v>
      </c>
    </row>
    <row r="25" spans="1:10" x14ac:dyDescent="0.3">
      <c r="A25" s="669">
        <f>'Sockeye Returns Data'!A25</f>
        <v>2000</v>
      </c>
      <c r="B25" s="1762">
        <f>'Sockeye Returns Data'!C25</f>
        <v>97557</v>
      </c>
      <c r="C25" s="1761">
        <f>'Sockeye Returns Data'!E25</f>
        <v>97191</v>
      </c>
      <c r="D25" s="726">
        <f>'Sockeye Returns Data'!AD25</f>
        <v>73866</v>
      </c>
      <c r="E25" s="1761">
        <f>'Sockeye Returns Data'!BW25</f>
        <v>73866</v>
      </c>
      <c r="F25" s="1761">
        <f>'Sockeye Returns Data'!BX25</f>
        <v>0</v>
      </c>
      <c r="G25" s="1761">
        <f>'Sockeye Returns Data'!AW25</f>
        <v>62155.6</v>
      </c>
      <c r="H25" s="728">
        <f t="shared" si="0"/>
        <v>11710.400000000001</v>
      </c>
      <c r="I25" s="1763">
        <f t="shared" si="1"/>
        <v>0.84146427314325944</v>
      </c>
      <c r="J25" s="1763">
        <f>IF(G25/((C25-'Sockeye Returns Data'!F25)*'Sockeye Returns Data'!U25)&gt;1,1,G25/((C25-'Sockeye Returns Data'!F25)*'Sockeye Returns Data'!U25))</f>
        <v>0.8446459030686625</v>
      </c>
    </row>
    <row r="26" spans="1:10" x14ac:dyDescent="0.3">
      <c r="A26" s="669">
        <f>'Sockeye Returns Data'!A26</f>
        <v>2001</v>
      </c>
      <c r="B26" s="1762">
        <f>'Sockeye Returns Data'!C26</f>
        <v>121355</v>
      </c>
      <c r="C26" s="1761">
        <f>'Sockeye Returns Data'!E26</f>
        <v>119664</v>
      </c>
      <c r="D26" s="726">
        <f>'Sockeye Returns Data'!AD26</f>
        <v>83707</v>
      </c>
      <c r="E26" s="1761">
        <f>'Sockeye Returns Data'!BW26</f>
        <v>83707</v>
      </c>
      <c r="F26" s="1761">
        <f>'Sockeye Returns Data'!BX26</f>
        <v>0</v>
      </c>
      <c r="G26" s="1761">
        <f>'Sockeye Returns Data'!AW26</f>
        <v>79523</v>
      </c>
      <c r="H26" s="728">
        <f t="shared" si="0"/>
        <v>4184</v>
      </c>
      <c r="I26" s="1763">
        <f t="shared" si="1"/>
        <v>0.95001612768346733</v>
      </c>
      <c r="J26" s="1763">
        <f>IF(G26/((C26-'Sockeye Returns Data'!F26)*'Sockeye Returns Data'!U26)&gt;1,1,G26/((C26-'Sockeye Returns Data'!F26)*'Sockeye Returns Data'!U26))</f>
        <v>0.96344954262709648</v>
      </c>
    </row>
    <row r="27" spans="1:10" x14ac:dyDescent="0.3">
      <c r="A27" s="669">
        <f>'Sockeye Returns Data'!A27</f>
        <v>2002</v>
      </c>
      <c r="B27" s="1762">
        <f>'Sockeye Returns Data'!C27</f>
        <v>51515</v>
      </c>
      <c r="C27" s="1761">
        <f>'Sockeye Returns Data'!E27</f>
        <v>51496</v>
      </c>
      <c r="D27" s="726">
        <f>'Sockeye Returns Data'!AD27</f>
        <v>14406</v>
      </c>
      <c r="E27" s="1761">
        <f>'Sockeye Returns Data'!BW27</f>
        <v>14406</v>
      </c>
      <c r="F27" s="1761">
        <f>'Sockeye Returns Data'!BX27</f>
        <v>0</v>
      </c>
      <c r="G27" s="1761">
        <f>'Sockeye Returns Data'!AW27</f>
        <v>11376.92</v>
      </c>
      <c r="H27" s="728">
        <f t="shared" si="0"/>
        <v>3029.08</v>
      </c>
      <c r="I27" s="1763">
        <f t="shared" si="1"/>
        <v>0.78973483270859368</v>
      </c>
      <c r="J27" s="1763">
        <f>IF(G27/((C27-'Sockeye Returns Data'!F27)*'Sockeye Returns Data'!U27)&gt;1,1,G27/((C27-'Sockeye Returns Data'!F27)*'Sockeye Returns Data'!U27))</f>
        <v>0.79001122147412395</v>
      </c>
    </row>
    <row r="28" spans="1:10" x14ac:dyDescent="0.3">
      <c r="A28" s="669">
        <f>'Sockeye Returns Data'!A28</f>
        <v>2003</v>
      </c>
      <c r="B28" s="1762">
        <f>'Sockeye Returns Data'!C28</f>
        <v>40728</v>
      </c>
      <c r="C28" s="1761">
        <f>'Sockeye Returns Data'!E28</f>
        <v>40728</v>
      </c>
      <c r="D28" s="726">
        <f>'Sockeye Returns Data'!AD28</f>
        <v>34992</v>
      </c>
      <c r="E28" s="1761">
        <f>'Sockeye Returns Data'!BW28</f>
        <v>34992</v>
      </c>
      <c r="F28" s="1761">
        <f>'Sockeye Returns Data'!BX28</f>
        <v>0</v>
      </c>
      <c r="G28" s="1761">
        <f>'Sockeye Returns Data'!AW28</f>
        <v>30311.4</v>
      </c>
      <c r="H28" s="728">
        <f t="shared" si="0"/>
        <v>4680.5999999999985</v>
      </c>
      <c r="I28" s="1763">
        <f t="shared" si="1"/>
        <v>0.86623799725651585</v>
      </c>
      <c r="J28" s="1763">
        <f>IF(G28/((C28-'Sockeye Returns Data'!F28)*'Sockeye Returns Data'!U28)&gt;1,1,G28/((C28-'Sockeye Returns Data'!F28)*'Sockeye Returns Data'!U28))</f>
        <v>0.86624591902989512</v>
      </c>
    </row>
    <row r="29" spans="1:10" x14ac:dyDescent="0.3">
      <c r="A29" s="669">
        <f>'Sockeye Returns Data'!A29</f>
        <v>2004</v>
      </c>
      <c r="B29" s="1762">
        <f>'Sockeye Returns Data'!C29</f>
        <v>129057</v>
      </c>
      <c r="C29" s="1761">
        <f>'Sockeye Returns Data'!E29</f>
        <v>128385</v>
      </c>
      <c r="D29" s="726">
        <f>'Sockeye Returns Data'!AD29</f>
        <v>91547</v>
      </c>
      <c r="E29" s="1761">
        <f>'Sockeye Returns Data'!BW29</f>
        <v>91547</v>
      </c>
      <c r="F29" s="1761">
        <f>'Sockeye Returns Data'!BX29</f>
        <v>0</v>
      </c>
      <c r="G29" s="1761">
        <f>'Sockeye Returns Data'!AW29</f>
        <v>81118.070000000007</v>
      </c>
      <c r="H29" s="728">
        <f t="shared" si="0"/>
        <v>10428.929999999993</v>
      </c>
      <c r="I29" s="1763">
        <f t="shared" si="1"/>
        <v>0.88608113865009241</v>
      </c>
      <c r="J29" s="1763">
        <f>IF(G29/((C29-'Sockeye Returns Data'!F29)*'Sockeye Returns Data'!U29)&gt;1,1,G29/((C29-'Sockeye Returns Data'!F29)*'Sockeye Returns Data'!U29))</f>
        <v>0.89072639741243986</v>
      </c>
    </row>
    <row r="30" spans="1:10" x14ac:dyDescent="0.3">
      <c r="A30" s="669">
        <f>'Sockeye Returns Data'!A30</f>
        <v>2005</v>
      </c>
      <c r="B30" s="1762">
        <f>'Sockeye Returns Data'!C30</f>
        <v>75878</v>
      </c>
      <c r="C30" s="1761">
        <f>'Sockeye Returns Data'!E30</f>
        <v>75874</v>
      </c>
      <c r="D30" s="726">
        <f>'Sockeye Returns Data'!AD30</f>
        <v>59170</v>
      </c>
      <c r="E30" s="1761">
        <f>'Sockeye Returns Data'!BW30</f>
        <v>59170</v>
      </c>
      <c r="F30" s="1761">
        <f>'Sockeye Returns Data'!BX30</f>
        <v>0</v>
      </c>
      <c r="G30" s="1761">
        <f>'Sockeye Returns Data'!AW30</f>
        <v>57716.480000000003</v>
      </c>
      <c r="H30" s="728">
        <f t="shared" si="0"/>
        <v>1453.5199999999968</v>
      </c>
      <c r="I30" s="1763">
        <f t="shared" si="1"/>
        <v>0.97543484874091602</v>
      </c>
      <c r="J30" s="1763">
        <f>IF(G30/((C30-'Sockeye Returns Data'!F30)*'Sockeye Returns Data'!U30)&gt;1,1,G30/((C30-'Sockeye Returns Data'!F30)*'Sockeye Returns Data'!U30))</f>
        <v>0.97548595583003339</v>
      </c>
    </row>
    <row r="31" spans="1:10" x14ac:dyDescent="0.3">
      <c r="A31" s="669">
        <f>'Sockeye Returns Data'!A31</f>
        <v>2006</v>
      </c>
      <c r="B31" s="1762">
        <f>'Sockeye Returns Data'!C31</f>
        <v>38407</v>
      </c>
      <c r="C31" s="1761">
        <f>'Sockeye Returns Data'!E31</f>
        <v>38406</v>
      </c>
      <c r="D31" s="726">
        <f>'Sockeye Returns Data'!AD31</f>
        <v>27616</v>
      </c>
      <c r="E31" s="1761">
        <f>'Sockeye Returns Data'!BW31</f>
        <v>27616</v>
      </c>
      <c r="F31" s="1761">
        <f>'Sockeye Returns Data'!BX31</f>
        <v>0</v>
      </c>
      <c r="G31" s="1761">
        <f>'Sockeye Returns Data'!AW31</f>
        <v>23224.12</v>
      </c>
      <c r="H31" s="728">
        <f t="shared" si="0"/>
        <v>4391.880000000001</v>
      </c>
      <c r="I31" s="1763">
        <f t="shared" si="1"/>
        <v>0.8409661066048667</v>
      </c>
      <c r="J31" s="1763">
        <f>IF(G31/((C31-'Sockeye Returns Data'!F31)*'Sockeye Returns Data'!U31)&gt;1,1,G31/((C31-'Sockeye Returns Data'!F31)*'Sockeye Returns Data'!U31))</f>
        <v>0.84097828763452542</v>
      </c>
    </row>
    <row r="32" spans="1:10" x14ac:dyDescent="0.3">
      <c r="A32" s="669">
        <f>'Sockeye Returns Data'!A32</f>
        <v>2007</v>
      </c>
      <c r="B32" s="1762">
        <f>'Sockeye Returns Data'!C32</f>
        <v>25164</v>
      </c>
      <c r="C32" s="1761">
        <f>'Sockeye Returns Data'!E32</f>
        <v>25164</v>
      </c>
      <c r="D32" s="726">
        <f>'Sockeye Returns Data'!AD32</f>
        <v>22344</v>
      </c>
      <c r="E32" s="1761">
        <f>'Sockeye Returns Data'!BW32</f>
        <v>19662.388732394367</v>
      </c>
      <c r="F32" s="1761">
        <f>'Sockeye Returns Data'!BX32</f>
        <v>2681.6112676056337</v>
      </c>
      <c r="G32" s="1761">
        <f>'Sockeye Returns Data'!AW32</f>
        <v>23531.46</v>
      </c>
      <c r="H32" s="728">
        <f t="shared" si="0"/>
        <v>-1187.4599999999991</v>
      </c>
      <c r="I32" s="1763">
        <f t="shared" si="1"/>
        <v>1</v>
      </c>
      <c r="J32" s="1763">
        <f>IF(G32/((C32-'Sockeye Returns Data'!F32)*'Sockeye Returns Data'!U32)&gt;1,1,G32/((C32-'Sockeye Returns Data'!F32)*'Sockeye Returns Data'!U32))</f>
        <v>1</v>
      </c>
    </row>
    <row r="33" spans="1:10" x14ac:dyDescent="0.3">
      <c r="A33" s="669">
        <f>'Sockeye Returns Data'!A33</f>
        <v>2008</v>
      </c>
      <c r="B33" s="1762">
        <f>'Sockeye Returns Data'!C33</f>
        <v>225383</v>
      </c>
      <c r="C33" s="1761">
        <f>'Sockeye Returns Data'!E33</f>
        <v>224525</v>
      </c>
      <c r="D33" s="726">
        <f>'Sockeye Returns Data'!AD33</f>
        <v>190819</v>
      </c>
      <c r="E33" s="1761">
        <f>'Sockeye Returns Data'!BW33</f>
        <v>178797.7576709826</v>
      </c>
      <c r="F33" s="1761">
        <f>'Sockeye Returns Data'!BX33</f>
        <v>12021.242329017421</v>
      </c>
      <c r="G33" s="1761">
        <f>'Sockeye Returns Data'!AW33</f>
        <v>173028.2</v>
      </c>
      <c r="H33" s="728">
        <f t="shared" si="0"/>
        <v>17790.799999999988</v>
      </c>
      <c r="I33" s="1763">
        <f t="shared" si="1"/>
        <v>0.90676609771563632</v>
      </c>
      <c r="J33" s="1763">
        <f>IF(G33/((C33-'Sockeye Returns Data'!F33)*'Sockeye Returns Data'!U33)&gt;1,1,G33/((C33-'Sockeye Returns Data'!F33)*'Sockeye Returns Data'!U33))</f>
        <v>0.91024476595923776</v>
      </c>
    </row>
    <row r="34" spans="1:10" x14ac:dyDescent="0.3">
      <c r="A34" s="669">
        <f>'Sockeye Returns Data'!A34</f>
        <v>2009</v>
      </c>
      <c r="B34" s="1762">
        <f>'Sockeye Returns Data'!C34</f>
        <v>187614</v>
      </c>
      <c r="C34" s="1761">
        <f>'Sockeye Returns Data'!E34</f>
        <v>186485</v>
      </c>
      <c r="D34" s="726">
        <f>'Sockeye Returns Data'!AD34</f>
        <v>154546</v>
      </c>
      <c r="E34" s="1761">
        <f>'Sockeye Returns Data'!BW34</f>
        <v>133812.08702041057</v>
      </c>
      <c r="F34" s="1761">
        <f>'Sockeye Returns Data'!BX34</f>
        <v>20733.912979589437</v>
      </c>
      <c r="G34" s="1761">
        <f>'Sockeye Returns Data'!AW34</f>
        <v>143056.89000000001</v>
      </c>
      <c r="H34" s="728">
        <f t="shared" si="0"/>
        <v>11489.109999999986</v>
      </c>
      <c r="I34" s="1763">
        <f t="shared" si="1"/>
        <v>0.9256589623801329</v>
      </c>
      <c r="J34" s="1763">
        <f>IF(G34/((C34-'Sockeye Returns Data'!F34)*'Sockeye Returns Data'!U34)&gt;1,1,G34/((C34-'Sockeye Returns Data'!F34)*'Sockeye Returns Data'!U34))</f>
        <v>0.93130581666052892</v>
      </c>
    </row>
    <row r="35" spans="1:10" x14ac:dyDescent="0.3">
      <c r="A35" s="669">
        <f>'Sockeye Returns Data'!A35</f>
        <v>2010</v>
      </c>
      <c r="B35" s="1762">
        <f>'Sockeye Returns Data'!C35</f>
        <v>409950</v>
      </c>
      <c r="C35" s="1761">
        <f>'Sockeye Returns Data'!E35</f>
        <v>408346</v>
      </c>
      <c r="D35" s="726">
        <f>'Sockeye Returns Data'!AD35</f>
        <v>355037</v>
      </c>
      <c r="E35" s="1761">
        <f>'Sockeye Returns Data'!BW35</f>
        <v>339944.98455698858</v>
      </c>
      <c r="F35" s="1761">
        <f>'Sockeye Returns Data'!BX35</f>
        <v>15092.015443011389</v>
      </c>
      <c r="G35" s="1761">
        <f>'Sockeye Returns Data'!AW35</f>
        <v>315144.38</v>
      </c>
      <c r="H35" s="728">
        <f t="shared" si="0"/>
        <v>39892.619999999995</v>
      </c>
      <c r="I35" s="1763">
        <f t="shared" si="1"/>
        <v>0.88763813349031229</v>
      </c>
      <c r="J35" s="1763">
        <f>IF(G35/((C35-'Sockeye Returns Data'!F35)*'Sockeye Returns Data'!U35)&gt;1,1,G35/((C35-'Sockeye Returns Data'!F35)*'Sockeye Returns Data'!U35))</f>
        <v>0.89113969652073233</v>
      </c>
    </row>
    <row r="36" spans="1:10" x14ac:dyDescent="0.3">
      <c r="A36" s="669">
        <f>'Sockeye Returns Data'!A36</f>
        <v>2011</v>
      </c>
      <c r="B36" s="1762">
        <f>'Sockeye Returns Data'!C36</f>
        <v>196529</v>
      </c>
      <c r="C36" s="1761">
        <f>'Sockeye Returns Data'!E36</f>
        <v>194960</v>
      </c>
      <c r="D36" s="726">
        <f>'Sockeye Returns Data'!AD36</f>
        <v>171572</v>
      </c>
      <c r="E36" s="1761">
        <f>'Sockeye Returns Data'!BW36</f>
        <v>56956.489206796672</v>
      </c>
      <c r="F36" s="1761">
        <f>'Sockeye Returns Data'!BX36</f>
        <v>114615.51079320333</v>
      </c>
      <c r="G36" s="1761">
        <f>'Sockeye Returns Data'!AW36</f>
        <v>125350.39999999999</v>
      </c>
      <c r="H36" s="728">
        <f t="shared" si="0"/>
        <v>46221.600000000006</v>
      </c>
      <c r="I36" s="1763">
        <f t="shared" si="1"/>
        <v>0.73059939850325228</v>
      </c>
      <c r="J36" s="1763">
        <f>IF(G36/((C36-'Sockeye Returns Data'!F36)*'Sockeye Returns Data'!U36)&gt;1,1,G36/((C36-'Sockeye Returns Data'!F36)*'Sockeye Returns Data'!U36))</f>
        <v>0.73652726417218473</v>
      </c>
    </row>
    <row r="37" spans="1:10" x14ac:dyDescent="0.3">
      <c r="A37" s="669">
        <f>'Sockeye Returns Data'!A37</f>
        <v>2012</v>
      </c>
      <c r="B37" s="1762">
        <f>'Sockeye Returns Data'!C37</f>
        <v>550232</v>
      </c>
      <c r="C37" s="1761">
        <f>'Sockeye Returns Data'!E37</f>
        <v>545637</v>
      </c>
      <c r="D37" s="726">
        <f>'Sockeye Returns Data'!AD37</f>
        <v>461765</v>
      </c>
      <c r="E37" s="1761">
        <f>'Sockeye Returns Data'!BW37</f>
        <v>401558.28786681773</v>
      </c>
      <c r="F37" s="1761">
        <f>'Sockeye Returns Data'!BX37</f>
        <v>60206.7121331823</v>
      </c>
      <c r="G37" s="1761">
        <f>'Sockeye Returns Data'!AW37</f>
        <v>367851.64</v>
      </c>
      <c r="H37" s="728">
        <f t="shared" si="0"/>
        <v>93913.359999999986</v>
      </c>
      <c r="I37" s="1763">
        <f t="shared" si="1"/>
        <v>0.79662087858542763</v>
      </c>
      <c r="J37" s="1763">
        <f>IF(G37/((C37-'Sockeye Returns Data'!F37)*'Sockeye Returns Data'!U37)&gt;1,1,G37/((C37-'Sockeye Returns Data'!F37)*'Sockeye Returns Data'!U37))</f>
        <v>0.80333615051156904</v>
      </c>
    </row>
    <row r="38" spans="1:10" x14ac:dyDescent="0.3">
      <c r="A38" s="669">
        <f>'Sockeye Returns Data'!A38</f>
        <v>2013</v>
      </c>
      <c r="B38" s="1762">
        <f>'Sockeye Returns Data'!C38</f>
        <v>195327</v>
      </c>
      <c r="C38" s="1761">
        <f>'Sockeye Returns Data'!E38</f>
        <v>194651</v>
      </c>
      <c r="D38" s="726">
        <f>'Sockeye Returns Data'!AD38</f>
        <v>159339</v>
      </c>
      <c r="E38" s="1761">
        <f>'Sockeye Returns Data'!BW38</f>
        <v>104583.98942719486</v>
      </c>
      <c r="F38" s="1761">
        <f>'Sockeye Returns Data'!BX38</f>
        <v>54755.010572805135</v>
      </c>
      <c r="G38" s="1761">
        <f>'Sockeye Returns Data'!AW38</f>
        <v>137509.94</v>
      </c>
      <c r="H38" s="728">
        <f t="shared" si="0"/>
        <v>21829.059999999998</v>
      </c>
      <c r="I38" s="1763">
        <f t="shared" si="1"/>
        <v>0.86300240368020387</v>
      </c>
      <c r="J38" s="1763">
        <f>IF(G38/((C38-'Sockeye Returns Data'!F38)*'Sockeye Returns Data'!U38)&gt;1,1,G38/((C38-'Sockeye Returns Data'!F38)*'Sockeye Returns Data'!U38))</f>
        <v>0.8660145051667415</v>
      </c>
    </row>
    <row r="39" spans="1:10" x14ac:dyDescent="0.3">
      <c r="A39" s="669">
        <f>'Sockeye Returns Data'!A39</f>
        <v>2014</v>
      </c>
      <c r="B39" s="1762">
        <f>'Sockeye Returns Data'!C39</f>
        <v>651702</v>
      </c>
      <c r="C39" s="1761">
        <f>'Sockeye Returns Data'!E39</f>
        <v>650354</v>
      </c>
      <c r="D39" s="726">
        <f>'Sockeye Returns Data'!AD39</f>
        <v>538819</v>
      </c>
      <c r="E39" s="1761">
        <f>'Sockeye Returns Data'!BW39</f>
        <v>391663.6338020282</v>
      </c>
      <c r="F39" s="1761">
        <f>'Sockeye Returns Data'!BX39</f>
        <v>147155.36619797183</v>
      </c>
      <c r="G39" s="1761">
        <f>'Sockeye Returns Data'!AW39</f>
        <v>522809.63</v>
      </c>
      <c r="H39" s="728">
        <f t="shared" si="0"/>
        <v>16009.369999999995</v>
      </c>
      <c r="I39" s="1763">
        <f t="shared" si="1"/>
        <v>0.97028803735577251</v>
      </c>
      <c r="J39" s="1763">
        <f>IF(G39/((C39-'Sockeye Returns Data'!F39)*'Sockeye Returns Data'!U39)&gt;1,1,G39/((C39-'Sockeye Returns Data'!F39)*'Sockeye Returns Data'!U39))</f>
        <v>0.97230777854398409</v>
      </c>
    </row>
    <row r="40" spans="1:10" x14ac:dyDescent="0.3">
      <c r="A40" s="669">
        <f>'Sockeye Returns Data'!A40</f>
        <v>2015</v>
      </c>
      <c r="B40" s="1762">
        <f>'Sockeye Returns Data'!C40</f>
        <v>542103</v>
      </c>
      <c r="C40" s="1761">
        <f>'Sockeye Returns Data'!E40</f>
        <v>540357</v>
      </c>
      <c r="D40" s="726">
        <f>'Sockeye Returns Data'!AD40</f>
        <v>437687</v>
      </c>
      <c r="E40" s="1761">
        <f>'Sockeye Returns Data'!BW40</f>
        <v>180919.31652446877</v>
      </c>
      <c r="F40" s="1761">
        <f>'Sockeye Returns Data'!BX40</f>
        <v>256767.68347553123</v>
      </c>
      <c r="G40" s="1761">
        <f>'Sockeye Returns Data'!AW40</f>
        <v>213501.95860171798</v>
      </c>
      <c r="H40" s="728">
        <f t="shared" si="0"/>
        <v>224185.04139828202</v>
      </c>
      <c r="I40" s="1763">
        <f t="shared" si="1"/>
        <v>0.48779597886553172</v>
      </c>
      <c r="J40" s="1763">
        <f>IF(G40/((C40-'Sockeye Returns Data'!F40)*'Sockeye Returns Data'!U40)&gt;1,1,G40/((C40-'Sockeye Returns Data'!F40)*'Sockeye Returns Data'!U40))</f>
        <v>0.48937755276637657</v>
      </c>
    </row>
    <row r="41" spans="1:10" x14ac:dyDescent="0.3">
      <c r="A41" s="669">
        <f>'Sockeye Returns Data'!A41</f>
        <v>2016</v>
      </c>
      <c r="B41" s="1762">
        <f>'Sockeye Returns Data'!C41</f>
        <v>363350</v>
      </c>
      <c r="C41" s="1761">
        <f>'Sockeye Returns Data'!E41</f>
        <v>361543</v>
      </c>
      <c r="D41" s="726">
        <f>'Sockeye Returns Data'!AD41</f>
        <v>275427</v>
      </c>
      <c r="E41" s="1761">
        <f>'Sockeye Returns Data'!BW41</f>
        <v>162368.05036650912</v>
      </c>
      <c r="F41" s="1761">
        <f>'Sockeye Returns Data'!BX41</f>
        <v>111873.78138264046</v>
      </c>
      <c r="G41" s="1761">
        <f>'Sockeye Returns Data'!AW41</f>
        <v>230206.96</v>
      </c>
      <c r="H41" s="728">
        <f t="shared" si="0"/>
        <v>45220.040000000008</v>
      </c>
      <c r="I41" s="1763">
        <f t="shared" si="1"/>
        <v>0.83581842012584096</v>
      </c>
      <c r="J41" s="1763">
        <f>IF(G41/((C41-'Sockeye Returns Data'!F41)*'Sockeye Returns Data'!U41)&gt;1,1,G41/((C41-'Sockeye Returns Data'!F41)*'Sockeye Returns Data'!U41))</f>
        <v>0.8400066964973143</v>
      </c>
    </row>
    <row r="42" spans="1:10" x14ac:dyDescent="0.3">
      <c r="A42" s="669">
        <f>'Sockeye Returns Data'!A42</f>
        <v>2017</v>
      </c>
      <c r="B42" s="1762">
        <f>'Sockeye Returns Data'!C42</f>
        <v>91242</v>
      </c>
      <c r="C42" s="1761">
        <f>'Sockeye Returns Data'!E42</f>
        <v>90672</v>
      </c>
      <c r="D42" s="726">
        <f>'Sockeye Returns Data'!AD42</f>
        <v>58111</v>
      </c>
      <c r="E42" s="1761">
        <f>'Sockeye Returns Data'!BW42</f>
        <v>15714.374307684035</v>
      </c>
      <c r="F42" s="1761">
        <f>'Sockeye Returns Data'!BX42</f>
        <v>42396.625692315967</v>
      </c>
      <c r="G42" s="1761">
        <f>'Sockeye Returns Data'!AW42</f>
        <v>45339.64</v>
      </c>
      <c r="H42" s="728">
        <f t="shared" si="0"/>
        <v>12771.36</v>
      </c>
      <c r="I42" s="1763">
        <f t="shared" si="1"/>
        <v>0.78022474230352257</v>
      </c>
      <c r="J42" s="1763">
        <f>IF(G42/((C42-'Sockeye Returns Data'!F42)*'Sockeye Returns Data'!U42)&gt;1,1,G42/((C42-'Sockeye Returns Data'!F42)*'Sockeye Returns Data'!U42))</f>
        <v>0.78515746220685378</v>
      </c>
    </row>
    <row r="43" spans="1:10" x14ac:dyDescent="0.3">
      <c r="A43" s="669">
        <f>'Sockeye Returns Data'!A43</f>
        <v>2018</v>
      </c>
      <c r="B43" s="1762">
        <f>'Sockeye Returns Data'!C43</f>
        <v>203637</v>
      </c>
      <c r="C43" s="1761">
        <f>'Sockeye Returns Data'!E43</f>
        <v>203486</v>
      </c>
      <c r="D43" s="726">
        <f>'Sockeye Returns Data'!AD43</f>
        <v>187073</v>
      </c>
      <c r="E43" s="1761">
        <f>'Sockeye Returns Data'!BW43</f>
        <v>78967.627382958686</v>
      </c>
      <c r="F43" s="1761">
        <f>'Sockeye Returns Data'!BX43</f>
        <v>107909.42316944095</v>
      </c>
      <c r="G43" s="1761">
        <f>'Sockeye Returns Data'!AW43</f>
        <v>163078.96</v>
      </c>
      <c r="H43" s="728">
        <f t="shared" si="0"/>
        <v>23994.040000000008</v>
      </c>
      <c r="I43" s="1763">
        <f t="shared" si="1"/>
        <v>0.87173969519920025</v>
      </c>
      <c r="J43" s="1763">
        <f>IF(G43/((C43-'Sockeye Returns Data'!F43)*'Sockeye Returns Data'!U43)&gt;1,1,G43/((C43-'Sockeye Returns Data'!F43)*'Sockeye Returns Data'!U43))</f>
        <v>0.87238846163146022</v>
      </c>
    </row>
    <row r="44" spans="1:10" x14ac:dyDescent="0.3">
      <c r="A44" s="669">
        <f>'Sockeye Returns Data'!A44</f>
        <v>2019</v>
      </c>
      <c r="B44" s="1762">
        <f>'Sockeye Returns Data'!C44</f>
        <v>64511</v>
      </c>
      <c r="C44" s="1761">
        <f>'Sockeye Returns Data'!E44</f>
        <v>64470</v>
      </c>
      <c r="D44" s="726">
        <f>'Sockeye Returns Data'!AD44</f>
        <v>54550</v>
      </c>
      <c r="E44" s="1761">
        <f>'Sockeye Returns Data'!BW44</f>
        <v>27808.12446155211</v>
      </c>
      <c r="F44" s="1761">
        <f>'Sockeye Returns Data'!BX44</f>
        <v>25264.300600963616</v>
      </c>
      <c r="G44" s="1761">
        <f>'Sockeye Returns Data'!AW44</f>
        <v>50819.1</v>
      </c>
      <c r="H44" s="728">
        <f t="shared" si="0"/>
        <v>3730.9000000000015</v>
      </c>
      <c r="I44" s="1763">
        <f t="shared" si="1"/>
        <v>0.93160586617781849</v>
      </c>
      <c r="J44" s="1763">
        <f>IF(G44/((C44-'Sockeye Returns Data'!F44)*'Sockeye Returns Data'!U44)&gt;1,1,G44/((C44-'Sockeye Returns Data'!F44)*'Sockeye Returns Data'!U44))</f>
        <v>0.93220825556386111</v>
      </c>
    </row>
    <row r="45" spans="1:10" x14ac:dyDescent="0.3">
      <c r="A45" s="669">
        <f>'Sockeye Returns Data'!A45</f>
        <v>2020</v>
      </c>
      <c r="B45" s="1762">
        <f>'Sockeye Returns Data'!C45</f>
        <v>364015</v>
      </c>
      <c r="C45" s="1761">
        <f>'Sockeye Returns Data'!E45</f>
        <v>360736</v>
      </c>
      <c r="D45" s="726">
        <f>'Sockeye Returns Data'!AD45</f>
        <v>308775</v>
      </c>
      <c r="E45" s="1761">
        <f>'Sockeye Returns Data'!BW45</f>
        <v>159970.04156710723</v>
      </c>
      <c r="F45" s="1761">
        <f>'Sockeye Returns Data'!BX45</f>
        <v>144557.96617889882</v>
      </c>
      <c r="G45" s="1761">
        <f>'Sockeye Returns Data'!AW45</f>
        <v>246614.95</v>
      </c>
      <c r="H45" s="728">
        <f t="shared" si="0"/>
        <v>62160.049999999988</v>
      </c>
      <c r="I45" s="1763">
        <f t="shared" si="1"/>
        <v>0.79868820338434143</v>
      </c>
      <c r="J45" s="1763">
        <f>IF(G45/((C45-'Sockeye Returns Data'!F45)*'Sockeye Returns Data'!U45)&gt;1,1,G45/((C45-'Sockeye Returns Data'!F45)*'Sockeye Returns Data'!U45))</f>
        <v>0.80596255213846557</v>
      </c>
    </row>
    <row r="46" spans="1:10" x14ac:dyDescent="0.3">
      <c r="A46" s="669">
        <f>'Sockeye Returns Data'!A46</f>
        <v>2021</v>
      </c>
      <c r="B46" s="1762">
        <f>'Sockeye Returns Data'!C46</f>
        <v>159340</v>
      </c>
      <c r="C46" s="1761">
        <f>'Sockeye Returns Data'!E46</f>
        <v>158783</v>
      </c>
      <c r="D46" s="726">
        <f>'Sockeye Returns Data'!AD46</f>
        <v>114039</v>
      </c>
      <c r="E46" s="1761">
        <f>'Sockeye Returns Data'!BW46</f>
        <v>55371.464605909532</v>
      </c>
      <c r="F46" s="1761">
        <f>'Sockeye Returns Data'!BX46</f>
        <v>55262.001124478731</v>
      </c>
      <c r="G46" s="1761">
        <f>'Sockeye Returns Data'!AW46</f>
        <v>85778.44</v>
      </c>
      <c r="H46" s="728">
        <f t="shared" si="0"/>
        <v>28260.559999999998</v>
      </c>
      <c r="I46" s="1763">
        <f t="shared" si="1"/>
        <v>0.75218512964862905</v>
      </c>
      <c r="J46" s="1763">
        <f>IF(G46/((C46-'Sockeye Returns Data'!F46)*'Sockeye Returns Data'!U46)&gt;1,1,G46/((C46-'Sockeye Returns Data'!F46)*'Sockeye Returns Data'!U46))</f>
        <v>0.75483727672144407</v>
      </c>
    </row>
    <row r="47" spans="1:10" ht="15" thickBot="1" x14ac:dyDescent="0.35">
      <c r="A47" s="1770">
        <f>'Sockeye Returns Data'!A47</f>
        <v>2022</v>
      </c>
      <c r="B47" s="1771">
        <f>'Sockeye Returns Data'!C47</f>
        <v>704203</v>
      </c>
      <c r="C47" s="1772">
        <f>'Sockeye Returns Data'!E47</f>
        <v>702522</v>
      </c>
      <c r="D47" s="1773">
        <f>'Sockeye Returns Data'!AD47</f>
        <v>554480</v>
      </c>
      <c r="E47" s="1772">
        <f>'Sockeye Returns Data'!BW47</f>
        <v>394603.40725664911</v>
      </c>
      <c r="F47" s="1772">
        <f>'Sockeye Returns Data'!BX47</f>
        <v>161466.79861383999</v>
      </c>
      <c r="G47" s="1772">
        <f>'Sockeye Returns Data'!AW47</f>
        <v>511876.87</v>
      </c>
      <c r="H47" s="1774">
        <f t="shared" si="0"/>
        <v>42603.130000000005</v>
      </c>
      <c r="I47" s="1775">
        <f t="shared" si="1"/>
        <v>0.92316561462992353</v>
      </c>
      <c r="J47" s="1775">
        <f>IF(G47/((C47-'Sockeye Returns Data'!F47)*'Sockeye Returns Data'!U47)&gt;1,1,G47/((C47-'Sockeye Returns Data'!F47)*'Sockeye Returns Data'!U47))</f>
        <v>0.92538115214418193</v>
      </c>
    </row>
    <row r="48" spans="1:10" ht="15" thickBot="1" x14ac:dyDescent="0.35">
      <c r="A48" s="2653" t="s">
        <v>1149</v>
      </c>
      <c r="B48" s="2654"/>
      <c r="C48" s="2654"/>
      <c r="D48" s="2654"/>
      <c r="E48" s="2654"/>
      <c r="F48" s="2654"/>
      <c r="G48" s="2654"/>
      <c r="H48" s="2654"/>
      <c r="I48" s="1776">
        <f>AVERAGE(I2:I47)</f>
        <v>0.83469775331157547</v>
      </c>
      <c r="J48" s="1777">
        <f>AVERAGE(J2:J47)</f>
        <v>0.84847236118925151</v>
      </c>
    </row>
  </sheetData>
  <mergeCells count="1">
    <mergeCell ref="A48:H48"/>
  </mergeCells>
  <conditionalFormatting sqref="I2:J47">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57848D-DAC4-4E60-B8D1-8602F8C85C0E}">
  <sheetPr>
    <tabColor theme="4" tint="0.59999389629810485"/>
  </sheetPr>
  <dimension ref="A1:H24"/>
  <sheetViews>
    <sheetView workbookViewId="0">
      <pane xSplit="1" ySplit="1" topLeftCell="B2" activePane="bottomRight" state="frozen"/>
      <selection pane="topRight" activeCell="C15" sqref="C15"/>
      <selection pane="bottomLeft" activeCell="C15" sqref="C15"/>
      <selection pane="bottomRight" activeCell="C15" sqref="C15"/>
    </sheetView>
  </sheetViews>
  <sheetFormatPr defaultRowHeight="14.4" x14ac:dyDescent="0.3"/>
  <cols>
    <col min="1" max="1" width="9.6640625" bestFit="1" customWidth="1"/>
    <col min="2" max="2" width="11.88671875" bestFit="1" customWidth="1"/>
    <col min="3" max="3" width="11.109375" bestFit="1" customWidth="1"/>
    <col min="4" max="4" width="11.33203125" bestFit="1" customWidth="1"/>
    <col min="5" max="5" width="10.44140625" bestFit="1" customWidth="1"/>
    <col min="6" max="6" width="9.6640625" bestFit="1" customWidth="1"/>
    <col min="8" max="8" width="9" bestFit="1" customWidth="1"/>
  </cols>
  <sheetData>
    <row r="1" spans="1:8" x14ac:dyDescent="0.3">
      <c r="A1" s="1822" t="s">
        <v>1150</v>
      </c>
      <c r="B1" s="1823" t="s">
        <v>1151</v>
      </c>
      <c r="C1" s="1823" t="s">
        <v>1152</v>
      </c>
      <c r="D1" s="1823" t="s">
        <v>1153</v>
      </c>
      <c r="E1" s="1823" t="s">
        <v>1</v>
      </c>
      <c r="F1" s="1823" t="s">
        <v>1154</v>
      </c>
      <c r="G1" s="1823" t="s">
        <v>1155</v>
      </c>
      <c r="H1" s="1823" t="s">
        <v>1156</v>
      </c>
    </row>
    <row r="2" spans="1:8" x14ac:dyDescent="0.3">
      <c r="A2" s="1012">
        <v>1998</v>
      </c>
      <c r="B2" s="1824">
        <v>66973</v>
      </c>
      <c r="C2" s="1824">
        <v>76947</v>
      </c>
      <c r="D2" s="1824">
        <v>67140</v>
      </c>
      <c r="E2" s="1824">
        <v>1209167</v>
      </c>
      <c r="F2" s="1825">
        <v>5.5E-2</v>
      </c>
      <c r="G2" s="1825">
        <v>6.4000000000000001E-2</v>
      </c>
      <c r="H2" s="1825">
        <v>5.6000000000000001E-2</v>
      </c>
    </row>
    <row r="3" spans="1:8" x14ac:dyDescent="0.3">
      <c r="A3" s="1012">
        <v>1999</v>
      </c>
      <c r="B3" s="1824">
        <v>93367</v>
      </c>
      <c r="C3" s="1824">
        <v>84033</v>
      </c>
      <c r="D3" s="1824">
        <v>92948</v>
      </c>
      <c r="E3" s="1824">
        <v>3099743</v>
      </c>
      <c r="F3" s="1825">
        <v>0.03</v>
      </c>
      <c r="G3" s="1825">
        <v>2.7E-2</v>
      </c>
      <c r="H3" s="1825">
        <v>0.03</v>
      </c>
    </row>
    <row r="4" spans="1:8" x14ac:dyDescent="0.3">
      <c r="A4" s="1012">
        <v>2000</v>
      </c>
      <c r="B4" s="1824">
        <v>13752</v>
      </c>
      <c r="C4" s="1824">
        <v>14593</v>
      </c>
      <c r="D4" s="1824">
        <v>14552</v>
      </c>
      <c r="E4" s="1824">
        <v>281333</v>
      </c>
      <c r="F4" s="1825">
        <v>4.9000000000000002E-2</v>
      </c>
      <c r="G4" s="1825">
        <v>5.1999999999999998E-2</v>
      </c>
      <c r="H4" s="1825">
        <v>5.1999999999999998E-2</v>
      </c>
    </row>
    <row r="5" spans="1:8" x14ac:dyDescent="0.3">
      <c r="A5" s="1012">
        <v>2001</v>
      </c>
      <c r="B5" s="1824">
        <v>17901</v>
      </c>
      <c r="C5" s="1824">
        <v>32305</v>
      </c>
      <c r="D5" s="1824">
        <v>31167</v>
      </c>
      <c r="E5" s="1824">
        <v>1446600</v>
      </c>
      <c r="F5" s="1825">
        <v>1.2E-2</v>
      </c>
      <c r="G5" s="1825">
        <v>2.1999999999999999E-2</v>
      </c>
      <c r="H5" s="1825">
        <v>2.1999999999999999E-2</v>
      </c>
    </row>
    <row r="6" spans="1:8" x14ac:dyDescent="0.3">
      <c r="A6" s="1012">
        <v>2002</v>
      </c>
      <c r="B6" s="1824">
        <v>109060</v>
      </c>
      <c r="C6" s="1824">
        <v>91074</v>
      </c>
      <c r="D6" s="1824">
        <v>91074</v>
      </c>
      <c r="E6" s="1824">
        <v>2927009</v>
      </c>
      <c r="F6" s="1825">
        <v>3.6999999999999998E-2</v>
      </c>
      <c r="G6" s="1825">
        <v>3.1E-2</v>
      </c>
      <c r="H6" s="1825">
        <v>3.1E-2</v>
      </c>
    </row>
    <row r="7" spans="1:8" x14ac:dyDescent="0.3">
      <c r="A7" s="1012">
        <v>2003</v>
      </c>
      <c r="B7" s="1824">
        <v>60981</v>
      </c>
      <c r="C7" s="1824">
        <v>62695</v>
      </c>
      <c r="D7" s="1824">
        <v>62695</v>
      </c>
      <c r="E7" s="1824">
        <v>2080978</v>
      </c>
      <c r="F7" s="1825">
        <v>2.9000000000000001E-2</v>
      </c>
      <c r="G7" s="1825">
        <v>0.03</v>
      </c>
      <c r="H7" s="1825">
        <v>0.03</v>
      </c>
    </row>
    <row r="8" spans="1:8" x14ac:dyDescent="0.3">
      <c r="A8" s="1012">
        <v>2004</v>
      </c>
      <c r="B8" s="1824">
        <v>27291</v>
      </c>
      <c r="C8" s="1824">
        <v>28000</v>
      </c>
      <c r="D8" s="1824">
        <v>28000</v>
      </c>
      <c r="E8" s="1824">
        <v>627855</v>
      </c>
      <c r="F8" s="1825">
        <v>4.2999999999999997E-2</v>
      </c>
      <c r="G8" s="1825">
        <v>4.4999999999999998E-2</v>
      </c>
      <c r="H8" s="1825">
        <v>4.4999999999999998E-2</v>
      </c>
    </row>
    <row r="9" spans="1:8" x14ac:dyDescent="0.3">
      <c r="A9" s="1012">
        <v>2005</v>
      </c>
      <c r="B9" s="1824">
        <v>12556</v>
      </c>
      <c r="C9" s="1824">
        <v>13709</v>
      </c>
      <c r="D9" s="1824">
        <v>13709</v>
      </c>
      <c r="E9" s="1824">
        <v>735805</v>
      </c>
      <c r="F9" s="1825">
        <v>1.7000000000000001E-2</v>
      </c>
      <c r="G9" s="1825">
        <v>1.9E-2</v>
      </c>
      <c r="H9" s="1825">
        <v>1.9E-2</v>
      </c>
    </row>
    <row r="10" spans="1:8" x14ac:dyDescent="0.3">
      <c r="A10" s="1012">
        <v>2006</v>
      </c>
      <c r="B10" s="1824">
        <v>174713</v>
      </c>
      <c r="C10" s="1824">
        <v>185084</v>
      </c>
      <c r="D10" s="1824">
        <v>185084</v>
      </c>
      <c r="E10" s="1824">
        <v>1783500</v>
      </c>
      <c r="F10" s="1825">
        <v>9.8000000000000004E-2</v>
      </c>
      <c r="G10" s="1825">
        <v>0.104</v>
      </c>
      <c r="H10" s="1825">
        <v>0.104</v>
      </c>
    </row>
    <row r="11" spans="1:8" x14ac:dyDescent="0.3">
      <c r="A11" s="1012">
        <v>2007</v>
      </c>
      <c r="B11" s="1824">
        <v>132470</v>
      </c>
      <c r="C11" s="1824">
        <v>154865</v>
      </c>
      <c r="D11" s="1824">
        <v>154865</v>
      </c>
      <c r="E11" s="1824">
        <v>2026709</v>
      </c>
      <c r="F11" s="1825">
        <v>6.5000000000000002E-2</v>
      </c>
      <c r="G11" s="1825">
        <v>7.5999999999999998E-2</v>
      </c>
      <c r="H11" s="1825">
        <v>7.5999999999999998E-2</v>
      </c>
    </row>
    <row r="12" spans="1:8" x14ac:dyDescent="0.3">
      <c r="A12" s="1012">
        <v>2008</v>
      </c>
      <c r="B12" s="1824">
        <v>354925</v>
      </c>
      <c r="C12" s="1824">
        <v>313000</v>
      </c>
      <c r="D12" s="1824">
        <v>313000</v>
      </c>
      <c r="E12" s="1824">
        <v>2133694</v>
      </c>
      <c r="F12" s="1825">
        <v>0.16600000000000001</v>
      </c>
      <c r="G12" s="1825">
        <v>0.14699999999999999</v>
      </c>
      <c r="H12" s="1825">
        <v>0.14699999999999999</v>
      </c>
    </row>
    <row r="13" spans="1:8" x14ac:dyDescent="0.3">
      <c r="A13" s="1012">
        <v>2009</v>
      </c>
      <c r="B13" s="1824">
        <v>52555</v>
      </c>
      <c r="C13" s="1824">
        <v>63175</v>
      </c>
      <c r="D13" s="1824">
        <v>63175</v>
      </c>
      <c r="E13" s="1824">
        <v>875327</v>
      </c>
      <c r="F13" s="1825">
        <v>0.06</v>
      </c>
      <c r="G13" s="1825">
        <v>7.1999999999999995E-2</v>
      </c>
      <c r="H13" s="1825">
        <v>7.1999999999999995E-2</v>
      </c>
    </row>
    <row r="14" spans="1:8" x14ac:dyDescent="0.3">
      <c r="A14" s="1012">
        <v>2010</v>
      </c>
      <c r="B14" s="1824">
        <v>415454</v>
      </c>
      <c r="C14" s="1824">
        <v>407984</v>
      </c>
      <c r="D14" s="1824">
        <v>407984</v>
      </c>
      <c r="E14" s="1824">
        <v>7488306</v>
      </c>
      <c r="F14" s="1825">
        <v>5.5E-2</v>
      </c>
      <c r="G14" s="1825">
        <v>5.3999999999999999E-2</v>
      </c>
      <c r="H14" s="1825">
        <v>5.3999999999999999E-2</v>
      </c>
    </row>
    <row r="15" spans="1:8" x14ac:dyDescent="0.3">
      <c r="A15" s="1012">
        <v>2011</v>
      </c>
      <c r="B15" s="1824">
        <v>74985</v>
      </c>
      <c r="C15" s="1824">
        <v>92188</v>
      </c>
      <c r="D15" s="1824">
        <v>92188</v>
      </c>
      <c r="E15" s="1824">
        <v>812440</v>
      </c>
      <c r="F15" s="1825">
        <v>9.1999999999999998E-2</v>
      </c>
      <c r="G15" s="1825">
        <v>0.113</v>
      </c>
      <c r="H15" s="1825">
        <v>0.113</v>
      </c>
    </row>
    <row r="16" spans="1:8" x14ac:dyDescent="0.3">
      <c r="A16" s="1012">
        <v>2012</v>
      </c>
      <c r="B16" s="1824">
        <v>346044</v>
      </c>
      <c r="C16" s="1824">
        <v>380167</v>
      </c>
      <c r="D16" s="1824">
        <v>380167</v>
      </c>
      <c r="E16" s="1824">
        <v>4435800</v>
      </c>
      <c r="F16" s="1825">
        <v>7.8E-2</v>
      </c>
      <c r="G16" s="1825">
        <v>8.5999999999999993E-2</v>
      </c>
      <c r="H16" s="1825">
        <v>8.5999999999999993E-2</v>
      </c>
    </row>
    <row r="17" spans="1:8" x14ac:dyDescent="0.3">
      <c r="A17" s="1012">
        <v>2013</v>
      </c>
      <c r="B17" s="1824">
        <v>249738</v>
      </c>
      <c r="C17" s="1824">
        <v>202285</v>
      </c>
      <c r="D17" s="1824">
        <v>202285</v>
      </c>
      <c r="E17" s="1824">
        <v>2603607</v>
      </c>
      <c r="F17" s="1825">
        <v>9.6000000000000002E-2</v>
      </c>
      <c r="G17" s="1825">
        <v>7.8E-2</v>
      </c>
      <c r="H17" s="1825">
        <v>7.8E-2</v>
      </c>
    </row>
    <row r="18" spans="1:8" x14ac:dyDescent="0.3">
      <c r="A18" s="1012">
        <v>2014</v>
      </c>
      <c r="B18" s="1824">
        <v>164417</v>
      </c>
      <c r="C18" s="1824">
        <v>161042</v>
      </c>
      <c r="D18" s="1824">
        <v>161042</v>
      </c>
      <c r="E18" s="1824">
        <v>4938991</v>
      </c>
      <c r="F18" s="1825">
        <v>3.3000000000000002E-2</v>
      </c>
      <c r="G18" s="1825">
        <v>3.3000000000000002E-2</v>
      </c>
      <c r="H18" s="1825">
        <v>3.3000000000000002E-2</v>
      </c>
    </row>
    <row r="19" spans="1:8" x14ac:dyDescent="0.3">
      <c r="A19" s="1012">
        <v>2015</v>
      </c>
      <c r="B19" s="1824">
        <v>10953</v>
      </c>
      <c r="C19" s="1824">
        <v>15044</v>
      </c>
      <c r="D19" s="1824">
        <v>15044</v>
      </c>
      <c r="E19" s="1824">
        <v>2209546</v>
      </c>
      <c r="F19" s="1825">
        <v>5.0000000000000001E-3</v>
      </c>
      <c r="G19" s="1825">
        <v>7.0000000000000001E-3</v>
      </c>
      <c r="H19" s="1825">
        <v>7.0000000000000001E-3</v>
      </c>
    </row>
    <row r="20" spans="1:8" x14ac:dyDescent="0.3">
      <c r="A20" s="1012">
        <v>2016</v>
      </c>
      <c r="B20" s="1824">
        <v>87885</v>
      </c>
      <c r="C20" s="1824">
        <v>88046</v>
      </c>
      <c r="D20" s="1824">
        <v>87648</v>
      </c>
      <c r="E20" s="1824">
        <v>7383151</v>
      </c>
      <c r="F20" s="1825">
        <v>1.2E-2</v>
      </c>
      <c r="G20" s="1825">
        <v>1.2E-2</v>
      </c>
      <c r="H20" s="1825">
        <v>1.2E-2</v>
      </c>
    </row>
    <row r="21" spans="1:8" x14ac:dyDescent="0.3">
      <c r="A21" s="1012">
        <v>2017</v>
      </c>
      <c r="B21" s="1824">
        <v>8515</v>
      </c>
      <c r="C21" s="1824">
        <v>17794</v>
      </c>
      <c r="D21" s="1824">
        <v>17794</v>
      </c>
      <c r="E21" s="1824">
        <v>1885712</v>
      </c>
      <c r="F21" s="1825">
        <v>5.0000000000000001E-3</v>
      </c>
      <c r="G21" s="1825">
        <v>8.9999999999999993E-3</v>
      </c>
      <c r="H21" s="1825">
        <v>8.9999999999999993E-3</v>
      </c>
    </row>
    <row r="22" spans="1:8" x14ac:dyDescent="0.3">
      <c r="A22" s="1012">
        <v>2018</v>
      </c>
      <c r="B22" s="1824">
        <v>185015</v>
      </c>
      <c r="C22" s="1824">
        <v>168418</v>
      </c>
      <c r="D22" s="1824">
        <v>168418</v>
      </c>
      <c r="E22" s="1824">
        <v>4122796</v>
      </c>
      <c r="F22" s="1825">
        <v>4.4999999999999998E-2</v>
      </c>
      <c r="G22" s="1825">
        <v>4.1000000000000002E-2</v>
      </c>
      <c r="H22" s="1825">
        <v>4.1000000000000002E-2</v>
      </c>
    </row>
    <row r="23" spans="1:8" x14ac:dyDescent="0.3">
      <c r="A23" s="1012">
        <v>2019</v>
      </c>
      <c r="B23" s="1824">
        <v>35679</v>
      </c>
      <c r="C23" s="1824">
        <v>44248</v>
      </c>
      <c r="D23" s="1824">
        <v>44248</v>
      </c>
      <c r="E23" s="1824">
        <v>1556054</v>
      </c>
      <c r="F23" s="1825">
        <v>2.3E-2</v>
      </c>
      <c r="G23" s="1825">
        <v>2.8000000000000001E-2</v>
      </c>
      <c r="H23" s="1825">
        <v>2.8000000000000001E-2</v>
      </c>
    </row>
    <row r="24" spans="1:8" x14ac:dyDescent="0.3">
      <c r="A24" s="1012">
        <v>2020</v>
      </c>
      <c r="B24" s="1824">
        <v>15970</v>
      </c>
      <c r="C24" s="1824">
        <v>11230</v>
      </c>
      <c r="D24" s="1824">
        <v>11230</v>
      </c>
      <c r="E24" s="1824">
        <v>2540161</v>
      </c>
      <c r="F24" s="1825">
        <v>6.0000000000000001E-3</v>
      </c>
      <c r="G24" s="1825">
        <v>4.0000000000000001E-3</v>
      </c>
      <c r="H24" s="1825">
        <v>4.0000000000000001E-3</v>
      </c>
    </row>
  </sheetData>
  <pageMargins left="0.7" right="0.7" top="0.75" bottom="0.75" header="0.3" footer="0.3"/>
  <legacy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1F8A8E-F762-4621-A766-02DEB0F71A51}">
  <sheetPr codeName="Sheet36"/>
  <dimension ref="A1:N13"/>
  <sheetViews>
    <sheetView workbookViewId="0">
      <selection activeCell="C15" sqref="C15"/>
    </sheetView>
  </sheetViews>
  <sheetFormatPr defaultRowHeight="14.4" x14ac:dyDescent="0.3"/>
  <cols>
    <col min="5" max="5" width="10.6640625" customWidth="1"/>
    <col min="6" max="6" width="11.44140625" customWidth="1"/>
  </cols>
  <sheetData>
    <row r="1" spans="1:14" ht="29.4" thickBot="1" x14ac:dyDescent="0.35">
      <c r="A1" s="1744" t="s">
        <v>1157</v>
      </c>
      <c r="B1" s="1745" t="s">
        <v>1158</v>
      </c>
      <c r="C1" s="1746" t="s">
        <v>1159</v>
      </c>
      <c r="D1" s="1746" t="s">
        <v>1160</v>
      </c>
      <c r="E1" s="1746" t="s">
        <v>1161</v>
      </c>
      <c r="F1" s="1746" t="s">
        <v>1162</v>
      </c>
      <c r="G1" s="1746" t="s">
        <v>1163</v>
      </c>
      <c r="H1" s="1746" t="s">
        <v>1164</v>
      </c>
      <c r="I1" s="1746" t="s">
        <v>1165</v>
      </c>
      <c r="J1" s="1746" t="s">
        <v>1166</v>
      </c>
      <c r="K1" s="1746" t="s">
        <v>1167</v>
      </c>
      <c r="L1" s="1746" t="s">
        <v>1168</v>
      </c>
      <c r="M1" s="1746" t="s">
        <v>1169</v>
      </c>
      <c r="N1" s="1746" t="s">
        <v>1170</v>
      </c>
    </row>
    <row r="2" spans="1:14" ht="15.6" thickBot="1" x14ac:dyDescent="0.35">
      <c r="A2" s="1747" t="s">
        <v>1171</v>
      </c>
      <c r="B2" s="1748">
        <v>2006</v>
      </c>
      <c r="C2" s="1748">
        <v>496</v>
      </c>
      <c r="D2" s="1748">
        <v>0</v>
      </c>
      <c r="E2" s="1748">
        <v>322</v>
      </c>
      <c r="F2" s="1748">
        <v>175</v>
      </c>
      <c r="G2" s="1748">
        <v>19397</v>
      </c>
      <c r="H2" s="1748">
        <v>0</v>
      </c>
      <c r="I2" s="1748">
        <v>0</v>
      </c>
      <c r="J2" s="1748">
        <v>0</v>
      </c>
      <c r="K2" s="1748">
        <v>0</v>
      </c>
      <c r="L2" s="1748">
        <v>0</v>
      </c>
      <c r="M2" s="1748">
        <v>0</v>
      </c>
      <c r="N2" s="1748">
        <v>0</v>
      </c>
    </row>
    <row r="3" spans="1:14" ht="15.6" thickBot="1" x14ac:dyDescent="0.35">
      <c r="A3" s="1749" t="s">
        <v>1171</v>
      </c>
      <c r="B3" s="1750">
        <v>2007</v>
      </c>
      <c r="C3" s="1750">
        <v>454</v>
      </c>
      <c r="D3" s="1750">
        <v>0</v>
      </c>
      <c r="E3" s="1750">
        <v>218</v>
      </c>
      <c r="F3" s="1750">
        <v>46</v>
      </c>
      <c r="G3" s="1750">
        <v>17708</v>
      </c>
      <c r="H3" s="1750">
        <v>0</v>
      </c>
      <c r="I3" s="1750">
        <v>0</v>
      </c>
      <c r="J3" s="1750">
        <v>0</v>
      </c>
      <c r="K3" s="1750">
        <v>0</v>
      </c>
      <c r="L3" s="1750">
        <v>0</v>
      </c>
      <c r="M3" s="1750">
        <v>0</v>
      </c>
      <c r="N3" s="1750">
        <v>0</v>
      </c>
    </row>
    <row r="4" spans="1:14" ht="15.6" thickBot="1" x14ac:dyDescent="0.35">
      <c r="A4" s="1747" t="s">
        <v>1171</v>
      </c>
      <c r="B4" s="1748">
        <v>2008</v>
      </c>
      <c r="C4" s="1748">
        <v>328</v>
      </c>
      <c r="D4" s="1748">
        <v>0</v>
      </c>
      <c r="E4" s="1748">
        <v>173</v>
      </c>
      <c r="F4" s="1748">
        <v>50</v>
      </c>
      <c r="G4" s="1748">
        <v>77533</v>
      </c>
      <c r="H4" s="1748">
        <v>0</v>
      </c>
      <c r="I4" s="1748">
        <v>0</v>
      </c>
      <c r="J4" s="1748">
        <v>0</v>
      </c>
      <c r="K4" s="1748">
        <v>0</v>
      </c>
      <c r="L4" s="1748">
        <v>0</v>
      </c>
      <c r="M4" s="1748">
        <v>0</v>
      </c>
      <c r="N4" s="1748">
        <v>0</v>
      </c>
    </row>
    <row r="5" spans="1:14" ht="15.6" thickBot="1" x14ac:dyDescent="0.35">
      <c r="A5" s="1749" t="s">
        <v>1171</v>
      </c>
      <c r="B5" s="1750">
        <v>2009</v>
      </c>
      <c r="C5" s="1750">
        <v>128</v>
      </c>
      <c r="D5" s="1750">
        <v>0</v>
      </c>
      <c r="E5" s="1750">
        <v>444</v>
      </c>
      <c r="F5" s="1750">
        <v>69</v>
      </c>
      <c r="G5" s="1750">
        <v>60970</v>
      </c>
      <c r="H5" s="1750">
        <v>0</v>
      </c>
      <c r="I5" s="1750">
        <v>0</v>
      </c>
      <c r="J5" s="1750">
        <v>0</v>
      </c>
      <c r="K5" s="1750">
        <v>0</v>
      </c>
      <c r="L5" s="1750">
        <v>0</v>
      </c>
      <c r="M5" s="1750">
        <v>0</v>
      </c>
      <c r="N5" s="1750">
        <v>0</v>
      </c>
    </row>
    <row r="6" spans="1:14" ht="15.6" thickBot="1" x14ac:dyDescent="0.35">
      <c r="A6" s="1747" t="s">
        <v>1171</v>
      </c>
      <c r="B6" s="1748">
        <v>2010</v>
      </c>
      <c r="C6" s="1748">
        <v>245</v>
      </c>
      <c r="D6" s="1748">
        <v>0</v>
      </c>
      <c r="E6" s="1748">
        <v>450</v>
      </c>
      <c r="F6" s="1748">
        <v>127</v>
      </c>
      <c r="G6" s="1748">
        <v>208303</v>
      </c>
      <c r="H6" s="1748">
        <v>0</v>
      </c>
      <c r="I6" s="1748">
        <v>0</v>
      </c>
      <c r="J6" s="1748">
        <v>0</v>
      </c>
      <c r="K6" s="1748">
        <v>0</v>
      </c>
      <c r="L6" s="1748">
        <v>0</v>
      </c>
      <c r="M6" s="1748">
        <v>0</v>
      </c>
      <c r="N6" s="1748">
        <v>0</v>
      </c>
    </row>
    <row r="7" spans="1:14" ht="15.6" thickBot="1" x14ac:dyDescent="0.35">
      <c r="A7" s="1749" t="s">
        <v>1171</v>
      </c>
      <c r="B7" s="1750">
        <v>2011</v>
      </c>
      <c r="C7" s="1750">
        <v>917</v>
      </c>
      <c r="D7" s="1750">
        <v>492</v>
      </c>
      <c r="E7" s="1750">
        <v>282</v>
      </c>
      <c r="F7" s="1750">
        <v>72</v>
      </c>
      <c r="G7" s="1750">
        <v>2005</v>
      </c>
      <c r="H7" s="1750">
        <v>0</v>
      </c>
      <c r="I7" s="1750">
        <v>0</v>
      </c>
      <c r="J7" s="1750">
        <v>0</v>
      </c>
      <c r="K7" s="1750">
        <v>0</v>
      </c>
      <c r="L7" s="1750">
        <v>0</v>
      </c>
      <c r="M7" s="1750">
        <v>0</v>
      </c>
      <c r="N7" s="1750">
        <v>0</v>
      </c>
    </row>
    <row r="8" spans="1:14" ht="15.6" thickBot="1" x14ac:dyDescent="0.35">
      <c r="A8" s="1747" t="s">
        <v>1171</v>
      </c>
      <c r="B8" s="1748">
        <v>2012</v>
      </c>
      <c r="C8" s="1748">
        <v>616</v>
      </c>
      <c r="D8" s="1748">
        <v>210</v>
      </c>
      <c r="E8" s="1748">
        <v>209</v>
      </c>
      <c r="F8" s="1748">
        <v>49</v>
      </c>
      <c r="G8" s="1748">
        <v>17219</v>
      </c>
      <c r="H8" s="1748">
        <v>16</v>
      </c>
      <c r="I8" s="1748">
        <v>0</v>
      </c>
      <c r="J8" s="1748">
        <v>0</v>
      </c>
      <c r="K8" s="1748">
        <v>0</v>
      </c>
      <c r="L8" s="1748">
        <v>0</v>
      </c>
      <c r="M8" s="1748">
        <v>0</v>
      </c>
      <c r="N8" s="1748">
        <v>0</v>
      </c>
    </row>
    <row r="9" spans="1:14" ht="15.6" thickBot="1" x14ac:dyDescent="0.35">
      <c r="A9" s="1749" t="s">
        <v>1171</v>
      </c>
      <c r="B9" s="1750">
        <v>2013</v>
      </c>
      <c r="C9" s="1750">
        <v>2025</v>
      </c>
      <c r="D9" s="1750">
        <v>255</v>
      </c>
      <c r="E9" s="1750">
        <v>230</v>
      </c>
      <c r="F9" s="1750">
        <v>76</v>
      </c>
      <c r="G9" s="1750">
        <v>16670</v>
      </c>
      <c r="H9" s="1750">
        <v>1</v>
      </c>
      <c r="I9" s="1750">
        <v>0</v>
      </c>
      <c r="J9" s="1750">
        <v>0</v>
      </c>
      <c r="K9" s="1750">
        <v>0</v>
      </c>
      <c r="L9" s="1750">
        <v>2</v>
      </c>
      <c r="M9" s="1750">
        <v>0</v>
      </c>
      <c r="N9" s="1750">
        <v>0</v>
      </c>
    </row>
    <row r="10" spans="1:14" ht="15.6" thickBot="1" x14ac:dyDescent="0.35">
      <c r="A10" s="1747" t="s">
        <v>1171</v>
      </c>
      <c r="B10" s="1748">
        <v>2014</v>
      </c>
      <c r="C10" s="1748">
        <v>1614</v>
      </c>
      <c r="D10" s="1748">
        <v>362</v>
      </c>
      <c r="E10" s="1748">
        <v>21</v>
      </c>
      <c r="F10" s="1748">
        <v>15</v>
      </c>
      <c r="G10" s="1748">
        <v>325277</v>
      </c>
      <c r="H10" s="1748">
        <v>80</v>
      </c>
      <c r="I10" s="1748">
        <v>0</v>
      </c>
      <c r="J10" s="1748">
        <v>0</v>
      </c>
      <c r="K10" s="1748">
        <v>0</v>
      </c>
      <c r="L10" s="1748">
        <v>0</v>
      </c>
      <c r="M10" s="1748">
        <v>0</v>
      </c>
      <c r="N10" s="1748">
        <v>0</v>
      </c>
    </row>
    <row r="11" spans="1:14" ht="15.6" thickBot="1" x14ac:dyDescent="0.35">
      <c r="A11" s="1749" t="s">
        <v>1171</v>
      </c>
      <c r="B11" s="1750">
        <v>2015</v>
      </c>
      <c r="C11" s="1750">
        <v>1185</v>
      </c>
      <c r="D11" s="1750">
        <v>22</v>
      </c>
      <c r="E11" s="1750">
        <v>267</v>
      </c>
      <c r="F11" s="1750">
        <v>183</v>
      </c>
      <c r="G11" s="1750">
        <v>37624</v>
      </c>
      <c r="H11" s="1750">
        <v>8</v>
      </c>
      <c r="I11" s="1750">
        <v>0</v>
      </c>
      <c r="J11" s="1750">
        <v>0</v>
      </c>
      <c r="K11" s="1750">
        <v>0</v>
      </c>
      <c r="L11" s="1750">
        <v>0</v>
      </c>
      <c r="M11" s="1750">
        <v>0</v>
      </c>
      <c r="N11" s="1750">
        <v>0</v>
      </c>
    </row>
    <row r="12" spans="1:14" ht="15.6" thickBot="1" x14ac:dyDescent="0.35">
      <c r="A12" s="1747" t="s">
        <v>1171</v>
      </c>
      <c r="B12" s="1748">
        <v>2016</v>
      </c>
      <c r="C12" s="1748">
        <v>1644</v>
      </c>
      <c r="D12" s="1748">
        <v>179</v>
      </c>
      <c r="E12" s="1748">
        <v>8</v>
      </c>
      <c r="F12" s="1748">
        <v>6</v>
      </c>
      <c r="G12" s="1748">
        <v>179868</v>
      </c>
      <c r="H12" s="1748">
        <v>0</v>
      </c>
      <c r="I12" s="1748">
        <v>0</v>
      </c>
      <c r="J12" s="1748">
        <v>0</v>
      </c>
      <c r="K12" s="1748">
        <v>0</v>
      </c>
      <c r="L12" s="1748">
        <v>0</v>
      </c>
      <c r="M12" s="1748">
        <v>0</v>
      </c>
      <c r="N12" s="1748">
        <v>0</v>
      </c>
    </row>
    <row r="13" spans="1:14" ht="15.6" thickBot="1" x14ac:dyDescent="0.35">
      <c r="A13" s="1749" t="s">
        <v>1171</v>
      </c>
      <c r="B13" s="1750">
        <v>2017</v>
      </c>
      <c r="C13" s="1750">
        <v>585</v>
      </c>
      <c r="D13" s="1750">
        <v>155</v>
      </c>
      <c r="E13" s="1750">
        <v>0</v>
      </c>
      <c r="F13" s="1750">
        <v>0</v>
      </c>
      <c r="G13" s="1750">
        <v>6692</v>
      </c>
      <c r="H13" s="1750">
        <v>3</v>
      </c>
      <c r="I13" s="1750">
        <v>0</v>
      </c>
      <c r="J13" s="1750">
        <v>0</v>
      </c>
      <c r="K13" s="1750">
        <v>0</v>
      </c>
      <c r="L13" s="1750">
        <v>0</v>
      </c>
      <c r="M13" s="1750">
        <v>0</v>
      </c>
      <c r="N13" s="1750">
        <v>0</v>
      </c>
    </row>
  </sheetData>
  <hyperlinks>
    <hyperlink ref="C1" r:id="rId1" display="https://www.cbr.washington.edu/dart/wrapper?outputFormat=inventory&amp;report=adult_inventory_years&amp;proj=ZOS&amp;nab=fc" xr:uid="{82B467F0-F980-4B6B-B961-CA810AE3366A}"/>
    <hyperlink ref="D1" r:id="rId2" display="https://www.cbr.washington.edu/dart/wrapper?outputFormat=inventory&amp;report=adult_inventory_years&amp;proj=ZOS&amp;nab=fcj" xr:uid="{05CFEF69-4776-464A-AF21-6BCE3C0E7CCA}"/>
    <hyperlink ref="E1" r:id="rId3" display="https://www.cbr.washington.edu/dart/wrapper?outputFormat=inventory&amp;report=adult_inventory_years&amp;proj=ZOS&amp;nab=fs" xr:uid="{84500D5D-E091-4335-9522-74F0CBF23AB6}"/>
    <hyperlink ref="F1" r:id="rId4" display="https://www.cbr.washington.edu/dart/wrapper?outputFormat=inventory&amp;report=adult_inventory_years&amp;proj=ZOS&amp;nab=fsw" xr:uid="{6E2B183C-C99A-48AD-991B-91E80CCB4715}"/>
    <hyperlink ref="G1" r:id="rId5" display="https://www.cbr.washington.edu/dart/wrapper?outputFormat=inventory&amp;report=adult_inventory_years&amp;proj=ZOS&amp;nab=fb" xr:uid="{54A36238-AD74-4F34-B8C9-DCBE92829D85}"/>
    <hyperlink ref="H1" r:id="rId6" display="https://www.cbr.washington.edu/dart/wrapper?outputFormat=inventory&amp;report=adult_inventory_years&amp;proj=ZOS&amp;nab=fk" xr:uid="{ED59A7E1-8A72-4048-BC54-4E26DFE61B26}"/>
    <hyperlink ref="I1" r:id="rId7" display="https://www.cbr.washington.edu/dart/wrapper?outputFormat=inventory&amp;report=adult_inventory_years&amp;proj=ZOS&amp;nab=fkj" xr:uid="{8FBC496E-2C80-4C2B-ABC8-4AC5036E5336}"/>
    <hyperlink ref="J1" r:id="rId8" display="https://www.cbr.washington.edu/dart/wrapper?outputFormat=inventory&amp;report=adult_inventory_years&amp;proj=ZOS&amp;nab=fa" xr:uid="{31739BCB-8740-4A77-A2DE-829A304624A5}"/>
    <hyperlink ref="K1" r:id="rId9" display="https://www.cbr.washington.edu/dart/wrapper?outputFormat=inventory&amp;report=adult_inventory_years&amp;proj=ZOS&amp;nab=fl" xr:uid="{ECEF6F5C-716D-4254-A6BC-70B8E6E6D6CE}"/>
    <hyperlink ref="L1" r:id="rId10" display="https://www.cbr.washington.edu/dart/wrapper?outputFormat=inventory&amp;report=adult_inventory_years&amp;proj=ZOS&amp;nab=ft" xr:uid="{47CDD125-38BB-4000-AF18-9BFFA4EA714B}"/>
    <hyperlink ref="M1" r:id="rId11" display="https://www.cbr.washington.edu/dart/wrapper?outputFormat=inventory&amp;report=adult_inventory_years&amp;proj=ZOS&amp;nab=fe" xr:uid="{58297B47-448B-4116-9FFB-087385B4DA54}"/>
    <hyperlink ref="N1" r:id="rId12" display="https://www.cbr.washington.edu/dart/wrapper?outputFormat=inventory&amp;report=adult_inventory_years&amp;proj=ZOS&amp;nab=fp" xr:uid="{503C23F3-1F20-4B84-B084-260FD19D1316}"/>
  </hyperlinks>
  <pageMargins left="0.7" right="0.7" top="0.75" bottom="0.75" header="0.3" footer="0.3"/>
  <drawing r:id="rId13"/>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4E93D9-FCC9-4068-AF00-A0EC984D5386}">
  <sheetPr codeName="Sheet25">
    <tabColor rgb="FFFF9999"/>
  </sheetPr>
  <dimension ref="A1:BN71"/>
  <sheetViews>
    <sheetView zoomScaleNormal="100" workbookViewId="0">
      <pane xSplit="2" ySplit="3" topLeftCell="C4" activePane="bottomRight" state="frozen"/>
      <selection pane="topRight" activeCell="C15" sqref="C15"/>
      <selection pane="bottomLeft" activeCell="C15" sqref="C15"/>
      <selection pane="bottomRight" activeCell="J3" sqref="J3"/>
    </sheetView>
  </sheetViews>
  <sheetFormatPr defaultRowHeight="14.4" x14ac:dyDescent="0.3"/>
  <cols>
    <col min="1" max="1" width="19.33203125" customWidth="1"/>
    <col min="2" max="2" width="8.44140625" customWidth="1"/>
    <col min="3" max="4" width="9.33203125" style="316" bestFit="1" customWidth="1"/>
    <col min="5" max="5" width="7.6640625" style="316" customWidth="1"/>
    <col min="6" max="6" width="8.44140625" style="316" bestFit="1" customWidth="1"/>
    <col min="7" max="7" width="7.5546875" style="316" bestFit="1" customWidth="1"/>
    <col min="8" max="8" width="6.6640625" style="316" customWidth="1"/>
    <col min="9" max="9" width="6.5546875" style="316" bestFit="1" customWidth="1"/>
    <col min="10" max="10" width="6.33203125" style="316" bestFit="1" customWidth="1"/>
    <col min="11" max="11" width="9.33203125" style="316" bestFit="1" customWidth="1"/>
    <col min="12" max="12" width="94.44140625" style="316" bestFit="1" customWidth="1"/>
    <col min="13" max="13" width="2.33203125" bestFit="1" customWidth="1"/>
    <col min="14" max="14" width="4" bestFit="1" customWidth="1"/>
    <col min="15" max="15" width="3.44140625" bestFit="1" customWidth="1"/>
    <col min="16" max="16" width="2.33203125" bestFit="1" customWidth="1"/>
    <col min="17" max="17" width="4" bestFit="1" customWidth="1"/>
    <col min="18" max="18" width="3.44140625" bestFit="1" customWidth="1"/>
    <col min="19" max="19" width="2.33203125" bestFit="1" customWidth="1"/>
    <col min="20" max="20" width="4" bestFit="1" customWidth="1"/>
    <col min="21" max="21" width="3.44140625" bestFit="1" customWidth="1"/>
    <col min="22" max="22" width="2.33203125" bestFit="1" customWidth="1"/>
    <col min="23" max="23" width="4" bestFit="1" customWidth="1"/>
    <col min="24" max="24" width="3.44140625" bestFit="1" customWidth="1"/>
    <col min="25" max="25" width="2.33203125" bestFit="1" customWidth="1"/>
    <col min="26" max="26" width="4" bestFit="1" customWidth="1"/>
    <col min="27" max="27" width="3.44140625" bestFit="1" customWidth="1"/>
    <col min="28" max="28" width="1" bestFit="1" customWidth="1"/>
    <col min="29" max="29" width="4" bestFit="1" customWidth="1"/>
    <col min="30" max="30" width="3.44140625" bestFit="1" customWidth="1"/>
    <col min="31" max="31" width="2.33203125" bestFit="1" customWidth="1"/>
    <col min="32" max="32" width="4" bestFit="1" customWidth="1"/>
    <col min="33" max="33" width="3.44140625" bestFit="1" customWidth="1"/>
    <col min="34" max="34" width="1" bestFit="1" customWidth="1"/>
    <col min="35" max="35" width="4" bestFit="1" customWidth="1"/>
    <col min="36" max="36" width="3.44140625" bestFit="1" customWidth="1"/>
    <col min="37" max="37" width="5.33203125" bestFit="1" customWidth="1"/>
    <col min="38" max="38" width="8" bestFit="1" customWidth="1"/>
    <col min="39" max="39" width="9.109375" bestFit="1" customWidth="1"/>
    <col min="40" max="40" width="12.5546875" bestFit="1" customWidth="1"/>
    <col min="41" max="41" width="8.5546875" bestFit="1" customWidth="1"/>
    <col min="42" max="42" width="5" bestFit="1" customWidth="1"/>
    <col min="43" max="43" width="11" bestFit="1" customWidth="1"/>
    <col min="44" max="44" width="14.33203125" bestFit="1" customWidth="1"/>
    <col min="45" max="45" width="11.33203125" bestFit="1" customWidth="1"/>
    <col min="46" max="47" width="8.5546875" bestFit="1" customWidth="1"/>
    <col min="48" max="48" width="120.5546875" bestFit="1" customWidth="1"/>
    <col min="49" max="49" width="255.6640625" bestFit="1" customWidth="1"/>
    <col min="50" max="50" width="19.6640625" bestFit="1" customWidth="1"/>
    <col min="51" max="57" width="6.6640625" bestFit="1" customWidth="1"/>
    <col min="58" max="58" width="5" bestFit="1" customWidth="1"/>
    <col min="60" max="60" width="0" hidden="1" customWidth="1"/>
  </cols>
  <sheetData>
    <row r="1" spans="1:66" s="2" customFormat="1" ht="24" customHeight="1" thickBot="1" x14ac:dyDescent="0.35">
      <c r="A1" s="2513" t="s">
        <v>209</v>
      </c>
      <c r="B1" s="2511" t="s">
        <v>330</v>
      </c>
      <c r="C1" s="2525" t="s">
        <v>1172</v>
      </c>
      <c r="D1" s="2526"/>
      <c r="E1" s="2526"/>
      <c r="F1" s="2527"/>
      <c r="G1" s="2527"/>
      <c r="H1" s="2527"/>
      <c r="I1" s="2527"/>
      <c r="J1" s="2527"/>
      <c r="K1" s="2527"/>
      <c r="L1" s="2528"/>
      <c r="M1" s="2506" t="s">
        <v>355</v>
      </c>
      <c r="N1" s="2507"/>
      <c r="O1" s="2507"/>
      <c r="P1" s="2507"/>
      <c r="Q1" s="2507"/>
      <c r="R1" s="2507"/>
      <c r="S1" s="2507"/>
      <c r="T1" s="2507"/>
      <c r="U1" s="2507"/>
      <c r="V1" s="2507"/>
      <c r="W1" s="2507"/>
      <c r="X1" s="2507"/>
      <c r="Y1" s="2507"/>
      <c r="Z1" s="2507"/>
      <c r="AA1" s="2507"/>
      <c r="AB1" s="2507"/>
      <c r="AC1" s="2507"/>
      <c r="AD1" s="2507"/>
      <c r="AE1" s="2507"/>
      <c r="AF1" s="2507"/>
      <c r="AG1" s="2507"/>
      <c r="AH1" s="2507"/>
      <c r="AI1" s="2507"/>
      <c r="AJ1" s="2508"/>
      <c r="AK1" s="2508"/>
      <c r="AL1" s="2508"/>
      <c r="AM1" s="2529"/>
      <c r="AN1" s="2529"/>
      <c r="AO1" s="2529"/>
      <c r="AP1" s="2460" t="s">
        <v>356</v>
      </c>
      <c r="AQ1" s="2461"/>
      <c r="AR1" s="2461"/>
      <c r="AS1" s="2461"/>
      <c r="AT1" s="2461"/>
      <c r="AU1" s="2463"/>
      <c r="AV1" s="2485" t="s">
        <v>215</v>
      </c>
      <c r="AW1" s="2483" t="s">
        <v>216</v>
      </c>
      <c r="AX1" s="2457" t="s">
        <v>217</v>
      </c>
    </row>
    <row r="2" spans="1:66" s="2" customFormat="1" ht="40.950000000000003" customHeight="1" thickBot="1" x14ac:dyDescent="0.4">
      <c r="A2" s="2419"/>
      <c r="B2" s="2524"/>
      <c r="C2" s="2536" t="s">
        <v>357</v>
      </c>
      <c r="D2" s="2537"/>
      <c r="E2" s="2537"/>
      <c r="F2" s="2537"/>
      <c r="G2" s="2537"/>
      <c r="H2" s="2537"/>
      <c r="I2" s="2537"/>
      <c r="J2" s="2538"/>
      <c r="K2" s="2539" t="s">
        <v>1173</v>
      </c>
      <c r="L2" s="2541" t="s">
        <v>222</v>
      </c>
      <c r="M2" s="2545" t="s">
        <v>358</v>
      </c>
      <c r="N2" s="2533"/>
      <c r="O2" s="2533"/>
      <c r="P2" s="2533" t="s">
        <v>359</v>
      </c>
      <c r="Q2" s="2533"/>
      <c r="R2" s="2533"/>
      <c r="S2" s="2533" t="s">
        <v>360</v>
      </c>
      <c r="T2" s="2533"/>
      <c r="U2" s="2533"/>
      <c r="V2" s="2533" t="s">
        <v>361</v>
      </c>
      <c r="W2" s="2533"/>
      <c r="X2" s="2533"/>
      <c r="Y2" s="2533" t="s">
        <v>362</v>
      </c>
      <c r="Z2" s="2533"/>
      <c r="AA2" s="2533"/>
      <c r="AB2" s="2533" t="s">
        <v>363</v>
      </c>
      <c r="AC2" s="2533"/>
      <c r="AD2" s="2533"/>
      <c r="AE2" s="2533" t="s">
        <v>364</v>
      </c>
      <c r="AF2" s="2533"/>
      <c r="AG2" s="2533"/>
      <c r="AH2" s="2530">
        <f>OtherAgeAUC</f>
        <v>3.1</v>
      </c>
      <c r="AI2" s="2530"/>
      <c r="AJ2" s="2530"/>
      <c r="AK2" s="2531" t="s">
        <v>224</v>
      </c>
      <c r="AL2" s="2532"/>
      <c r="AM2" s="2532"/>
      <c r="AN2" s="2453" t="s">
        <v>365</v>
      </c>
      <c r="AO2" s="2534" t="s">
        <v>222</v>
      </c>
      <c r="AP2" s="2546" t="s">
        <v>225</v>
      </c>
      <c r="AQ2" s="2547" t="s">
        <v>366</v>
      </c>
      <c r="AR2" s="2547" t="s">
        <v>367</v>
      </c>
      <c r="AS2" s="2547" t="s">
        <v>368</v>
      </c>
      <c r="AT2" s="2547" t="s">
        <v>229</v>
      </c>
      <c r="AU2" s="2548" t="s">
        <v>222</v>
      </c>
      <c r="AV2" s="2543"/>
      <c r="AW2" s="2544"/>
      <c r="AX2" s="2458"/>
      <c r="AY2" s="2536" t="s">
        <v>539</v>
      </c>
      <c r="AZ2" s="2537"/>
      <c r="BA2" s="2537"/>
      <c r="BB2" s="2537"/>
      <c r="BC2" s="2537"/>
      <c r="BD2" s="2537"/>
      <c r="BE2" s="2537"/>
      <c r="BF2" s="2538"/>
      <c r="BI2" s="2655" t="s">
        <v>1174</v>
      </c>
      <c r="BJ2" s="2656"/>
      <c r="BK2" s="2656"/>
      <c r="BL2" s="2656"/>
      <c r="BM2" s="2656"/>
      <c r="BN2" s="2657"/>
    </row>
    <row r="3" spans="1:66" s="1" customFormat="1" ht="44.4" thickBot="1" x14ac:dyDescent="0.4">
      <c r="A3" s="2514"/>
      <c r="B3" s="2512"/>
      <c r="C3" s="379" t="s">
        <v>358</v>
      </c>
      <c r="D3" s="380" t="s">
        <v>369</v>
      </c>
      <c r="E3" s="380" t="s">
        <v>370</v>
      </c>
      <c r="F3" s="380" t="s">
        <v>361</v>
      </c>
      <c r="G3" s="380" t="s">
        <v>362</v>
      </c>
      <c r="H3" s="380" t="s">
        <v>371</v>
      </c>
      <c r="I3" s="380" t="s">
        <v>372</v>
      </c>
      <c r="J3" s="446">
        <v>3.1</v>
      </c>
      <c r="K3" s="2540"/>
      <c r="L3" s="2542"/>
      <c r="M3" s="328" t="s">
        <v>234</v>
      </c>
      <c r="N3" s="329" t="s">
        <v>235</v>
      </c>
      <c r="O3" s="329" t="s">
        <v>236</v>
      </c>
      <c r="P3" s="329" t="s">
        <v>234</v>
      </c>
      <c r="Q3" s="329" t="s">
        <v>235</v>
      </c>
      <c r="R3" s="329" t="s">
        <v>236</v>
      </c>
      <c r="S3" s="329" t="s">
        <v>234</v>
      </c>
      <c r="T3" s="329" t="s">
        <v>235</v>
      </c>
      <c r="U3" s="329" t="s">
        <v>236</v>
      </c>
      <c r="V3" s="329" t="s">
        <v>234</v>
      </c>
      <c r="W3" s="329" t="s">
        <v>235</v>
      </c>
      <c r="X3" s="329" t="s">
        <v>236</v>
      </c>
      <c r="Y3" s="329" t="s">
        <v>234</v>
      </c>
      <c r="Z3" s="329" t="s">
        <v>235</v>
      </c>
      <c r="AA3" s="329" t="s">
        <v>236</v>
      </c>
      <c r="AB3" s="329" t="s">
        <v>234</v>
      </c>
      <c r="AC3" s="329" t="s">
        <v>235</v>
      </c>
      <c r="AD3" s="329" t="s">
        <v>236</v>
      </c>
      <c r="AE3" s="329" t="s">
        <v>234</v>
      </c>
      <c r="AF3" s="329" t="s">
        <v>235</v>
      </c>
      <c r="AG3" s="329" t="s">
        <v>236</v>
      </c>
      <c r="AH3" s="329" t="s">
        <v>234</v>
      </c>
      <c r="AI3" s="329" t="s">
        <v>235</v>
      </c>
      <c r="AJ3" s="329" t="s">
        <v>236</v>
      </c>
      <c r="AK3" s="330" t="s">
        <v>237</v>
      </c>
      <c r="AL3" s="331" t="s">
        <v>238</v>
      </c>
      <c r="AM3" s="332" t="s">
        <v>239</v>
      </c>
      <c r="AN3" s="2454"/>
      <c r="AO3" s="2535"/>
      <c r="AP3" s="2482"/>
      <c r="AQ3" s="2448"/>
      <c r="AR3" s="2448"/>
      <c r="AS3" s="2448"/>
      <c r="AT3" s="2448"/>
      <c r="AU3" s="2478"/>
      <c r="AV3" s="2486"/>
      <c r="AW3" s="2484"/>
      <c r="AX3" s="2459" t="s">
        <v>217</v>
      </c>
      <c r="AY3" s="379" t="s">
        <v>358</v>
      </c>
      <c r="AZ3" s="380" t="s">
        <v>369</v>
      </c>
      <c r="BA3" s="380" t="s">
        <v>370</v>
      </c>
      <c r="BB3" s="380" t="s">
        <v>361</v>
      </c>
      <c r="BC3" s="380" t="s">
        <v>362</v>
      </c>
      <c r="BD3" s="380" t="s">
        <v>371</v>
      </c>
      <c r="BE3" s="380" t="s">
        <v>372</v>
      </c>
      <c r="BF3" s="446">
        <v>3.1</v>
      </c>
      <c r="BI3" s="949" t="s">
        <v>807</v>
      </c>
      <c r="BJ3" s="950">
        <v>6</v>
      </c>
      <c r="BK3" s="950">
        <v>5</v>
      </c>
      <c r="BL3" s="950">
        <v>4</v>
      </c>
      <c r="BM3" s="950">
        <v>3</v>
      </c>
      <c r="BN3" s="951" t="s">
        <v>1175</v>
      </c>
    </row>
    <row r="4" spans="1:66" x14ac:dyDescent="0.3">
      <c r="A4" s="425" t="s">
        <v>373</v>
      </c>
      <c r="B4" s="426">
        <v>1980</v>
      </c>
      <c r="C4" s="792">
        <f t="shared" ref="C4:C46" si="0">IF(ISNUMBER(VLOOKUP($B4,AdultAgeComp,6)),$K4*VLOOKUP($B4,AdultAgeComp,6),0)</f>
        <v>822.78886886886892</v>
      </c>
      <c r="D4" s="793">
        <f t="shared" ref="D4:D46" si="1">IF(ISNUMBER(VLOOKUP($B4,AdultAgeComp,7)),$K4*VLOOKUP($B4,AdultAgeComp,7),0)</f>
        <v>13053.861861861864</v>
      </c>
      <c r="E4" s="793">
        <f t="shared" ref="E4:E46" si="2">IF(ISNUMBER(VLOOKUP($B4,AdultAgeComp,8)),$K4*VLOOKUP($B4,AdultAgeComp,8),0)</f>
        <v>363.92584584584591</v>
      </c>
      <c r="F4" s="793">
        <f t="shared" ref="F4:F46" si="3">IF(ISNUMBER(VLOOKUP($B4,AdultAgeComp,9)),$K4*VLOOKUP($B4,AdultAgeComp,9),0)</f>
        <v>1313.2976176176178</v>
      </c>
      <c r="G4" s="793">
        <f t="shared" ref="G4:G46" si="4">IF(ISNUMBER(VLOOKUP($B4,AdultAgeComp,10)),$K4*VLOOKUP($B4,AdultAgeComp,10),0)</f>
        <v>253.16580580580586</v>
      </c>
      <c r="H4" s="793">
        <f t="shared" ref="H4:H46" si="5">IF(ISNUMBER(VLOOKUP($B4,AdultAgeComp,11)),$K4*VLOOKUP($B4,AdultAgeComp,11),0)</f>
        <v>0</v>
      </c>
      <c r="I4" s="793">
        <f t="shared" ref="I4:I46" si="6">IF(ISNUMBER(VLOOKUP($B4,AdultAgeComp,12)),$K4*VLOOKUP($B4,AdultAgeComp,12),0)</f>
        <v>0</v>
      </c>
      <c r="J4" s="794">
        <f t="shared" ref="J4:J46" si="7">IF(ISNUMBER(VLOOKUP($B4,AdultAgeComp,13)),$K4*VLOOKUP($B4,AdultAgeComp,13),0)</f>
        <v>0</v>
      </c>
      <c r="K4" s="451">
        <v>15807.04</v>
      </c>
      <c r="L4" s="460" t="s">
        <v>1176</v>
      </c>
      <c r="M4" s="277"/>
      <c r="N4" s="472"/>
      <c r="O4" s="238"/>
      <c r="P4" s="237"/>
      <c r="Q4" s="472"/>
      <c r="R4" s="238"/>
      <c r="S4" s="237"/>
      <c r="T4" s="472"/>
      <c r="U4" s="238"/>
      <c r="V4" s="237"/>
      <c r="W4" s="472"/>
      <c r="X4" s="238"/>
      <c r="Y4" s="237"/>
      <c r="Z4" s="472"/>
      <c r="AA4" s="238"/>
      <c r="AB4" s="237"/>
      <c r="AC4" s="472"/>
      <c r="AD4" s="238"/>
      <c r="AE4" s="237"/>
      <c r="AF4" s="472"/>
      <c r="AG4" s="238"/>
      <c r="AH4" s="237"/>
      <c r="AI4" s="472"/>
      <c r="AJ4" s="238"/>
      <c r="AK4" s="240" t="str">
        <f t="shared" ref="AK4:AK52" si="8">IF(0&lt;(SUM(M4,P4,S4,V4,Y4,AB4,AE4,AH4)),SUM(M4,P4,S4,V4,Y4,AB4,AE4,AH4),"")</f>
        <v/>
      </c>
      <c r="AL4" s="476" t="str">
        <f t="shared" ref="AL4:AM46" si="9">IF(ISNUMBER($AK4),(IF(ISNUMBER($M4),$M4*N4)+IF(ISNUMBER($P4),$P4*Q4)+IF(ISNUMBER($S4),$S4*T4)+IF(ISNUMBER($V4),$V4*W4)+IF(ISNUMBER($Y4),$Y4*Z4)+IF(ISNUMBER($AE4),$AE4*AF4)+IF(ISNUMBER($AB4),$AB4*AC4)+IF(ISNUMBER($AH4),$AH4*AI4))/$AK4,"")</f>
        <v/>
      </c>
      <c r="AM4" s="278" t="str">
        <f t="shared" si="9"/>
        <v/>
      </c>
      <c r="AN4" s="303"/>
      <c r="AO4" s="289"/>
      <c r="AP4" s="431"/>
      <c r="AQ4" s="326"/>
      <c r="AR4" s="323"/>
      <c r="AS4" s="326"/>
      <c r="AT4" s="323"/>
      <c r="AU4" s="397"/>
      <c r="AV4" s="396"/>
      <c r="AW4" s="327" t="s">
        <v>375</v>
      </c>
      <c r="AX4" s="325"/>
      <c r="AY4">
        <f>$B4-3</f>
        <v>1977</v>
      </c>
      <c r="AZ4">
        <f>$B4-4</f>
        <v>1976</v>
      </c>
      <c r="BA4">
        <f>$B4-4</f>
        <v>1976</v>
      </c>
      <c r="BB4">
        <f>$B4-5</f>
        <v>1975</v>
      </c>
      <c r="BC4">
        <f>$B4-5</f>
        <v>1975</v>
      </c>
      <c r="BD4">
        <f>$B4-6</f>
        <v>1974</v>
      </c>
      <c r="BE4">
        <f t="shared" ref="BE4:BE19" si="10">$B4-6</f>
        <v>1974</v>
      </c>
      <c r="BF4">
        <f>$B4-5</f>
        <v>1975</v>
      </c>
      <c r="BI4" s="958">
        <v>1974</v>
      </c>
      <c r="BJ4" s="959">
        <f>SUM(H4:I4)</f>
        <v>0</v>
      </c>
      <c r="BK4" s="960"/>
      <c r="BL4" s="960"/>
      <c r="BM4" s="960"/>
      <c r="BN4" s="961">
        <f>SUM(BJ4:BM4)</f>
        <v>0</v>
      </c>
    </row>
    <row r="5" spans="1:66" x14ac:dyDescent="0.3">
      <c r="A5" s="425" t="s">
        <v>373</v>
      </c>
      <c r="B5" s="427">
        <v>1981</v>
      </c>
      <c r="C5" s="795">
        <f t="shared" si="0"/>
        <v>881.6734814814813</v>
      </c>
      <c r="D5" s="796">
        <f t="shared" si="1"/>
        <v>13988.088888888886</v>
      </c>
      <c r="E5" s="796">
        <f t="shared" si="2"/>
        <v>389.97096296296286</v>
      </c>
      <c r="F5" s="796">
        <f t="shared" si="3"/>
        <v>1407.2865185185183</v>
      </c>
      <c r="G5" s="796">
        <f t="shared" si="4"/>
        <v>271.28414814814806</v>
      </c>
      <c r="H5" s="796">
        <f t="shared" si="5"/>
        <v>0</v>
      </c>
      <c r="I5" s="796">
        <f t="shared" si="6"/>
        <v>0</v>
      </c>
      <c r="J5" s="797">
        <f t="shared" si="7"/>
        <v>0</v>
      </c>
      <c r="K5" s="451">
        <v>16938.303999999996</v>
      </c>
      <c r="L5" s="460" t="s">
        <v>1176</v>
      </c>
      <c r="M5" s="239" t="s">
        <v>245</v>
      </c>
      <c r="N5" s="473"/>
      <c r="O5" s="235"/>
      <c r="P5" s="234"/>
      <c r="Q5" s="473"/>
      <c r="R5" s="235"/>
      <c r="S5" s="234"/>
      <c r="T5" s="473"/>
      <c r="U5" s="235"/>
      <c r="V5" s="234"/>
      <c r="W5" s="473"/>
      <c r="X5" s="235"/>
      <c r="Y5" s="234"/>
      <c r="Z5" s="473"/>
      <c r="AA5" s="235"/>
      <c r="AB5" s="234"/>
      <c r="AC5" s="473"/>
      <c r="AD5" s="235"/>
      <c r="AE5" s="234"/>
      <c r="AF5" s="473"/>
      <c r="AG5" s="235"/>
      <c r="AH5" s="234"/>
      <c r="AI5" s="429"/>
      <c r="AJ5" s="235"/>
      <c r="AK5" s="241" t="str">
        <f t="shared" si="8"/>
        <v/>
      </c>
      <c r="AL5" s="477" t="str">
        <f t="shared" si="9"/>
        <v/>
      </c>
      <c r="AM5" s="279" t="str">
        <f t="shared" si="9"/>
        <v/>
      </c>
      <c r="AN5" s="304"/>
      <c r="AO5" s="280"/>
      <c r="AP5" s="431"/>
      <c r="AQ5" s="322"/>
      <c r="AR5" s="323"/>
      <c r="AS5" s="322"/>
      <c r="AT5" s="323"/>
      <c r="AU5" s="397"/>
      <c r="AV5" s="396"/>
      <c r="AW5" s="327" t="s">
        <v>375</v>
      </c>
      <c r="AX5" s="453" t="s">
        <v>376</v>
      </c>
      <c r="AY5">
        <f t="shared" ref="AY5:AY45" si="11">$B5-3</f>
        <v>1978</v>
      </c>
      <c r="AZ5">
        <f t="shared" ref="AZ5:BA45" si="12">$B5-4</f>
        <v>1977</v>
      </c>
      <c r="BA5">
        <f t="shared" si="12"/>
        <v>1977</v>
      </c>
      <c r="BB5">
        <f t="shared" ref="BB5:BC45" si="13">$B5-5</f>
        <v>1976</v>
      </c>
      <c r="BC5">
        <f t="shared" si="13"/>
        <v>1976</v>
      </c>
      <c r="BD5">
        <f t="shared" ref="BD5:BE45" si="14">$B5-6</f>
        <v>1975</v>
      </c>
      <c r="BE5">
        <f t="shared" si="10"/>
        <v>1975</v>
      </c>
      <c r="BF5">
        <f t="shared" ref="BF5:BF45" si="15">$B5-5</f>
        <v>1976</v>
      </c>
      <c r="BI5" s="962">
        <v>1975</v>
      </c>
      <c r="BJ5" s="953">
        <f t="shared" ref="BJ5:BJ45" si="16">SUM(H5:I5)</f>
        <v>0</v>
      </c>
      <c r="BK5" s="953">
        <f t="shared" ref="BK5:BK47" si="17">SUM(F4:G4,J4)</f>
        <v>1566.4634234234236</v>
      </c>
      <c r="BL5" s="952"/>
      <c r="BM5" s="952"/>
      <c r="BN5" s="954">
        <f t="shared" ref="BN5:BN49" si="18">SUM(BJ5:BM5)</f>
        <v>1566.4634234234236</v>
      </c>
    </row>
    <row r="6" spans="1:66" x14ac:dyDescent="0.3">
      <c r="A6" s="425" t="s">
        <v>373</v>
      </c>
      <c r="B6" s="427">
        <v>1982</v>
      </c>
      <c r="C6" s="795">
        <f t="shared" si="0"/>
        <v>609.16724724724725</v>
      </c>
      <c r="D6" s="796">
        <f t="shared" si="1"/>
        <v>9664.672672672672</v>
      </c>
      <c r="E6" s="796">
        <f t="shared" si="2"/>
        <v>269.43935935935934</v>
      </c>
      <c r="F6" s="796">
        <f t="shared" si="3"/>
        <v>972.32464464464476</v>
      </c>
      <c r="G6" s="796">
        <f t="shared" si="4"/>
        <v>187.43607607607609</v>
      </c>
      <c r="H6" s="796">
        <f t="shared" si="5"/>
        <v>0</v>
      </c>
      <c r="I6" s="796">
        <f t="shared" si="6"/>
        <v>0</v>
      </c>
      <c r="J6" s="797">
        <f t="shared" si="7"/>
        <v>0</v>
      </c>
      <c r="K6" s="451">
        <v>11703.04</v>
      </c>
      <c r="L6" s="460" t="s">
        <v>1176</v>
      </c>
      <c r="M6" s="239" t="s">
        <v>245</v>
      </c>
      <c r="N6" s="473"/>
      <c r="O6" s="235"/>
      <c r="P6" s="234"/>
      <c r="Q6" s="473"/>
      <c r="R6" s="235"/>
      <c r="S6" s="234"/>
      <c r="T6" s="473"/>
      <c r="U6" s="235"/>
      <c r="V6" s="234"/>
      <c r="W6" s="473"/>
      <c r="X6" s="235"/>
      <c r="Y6" s="234"/>
      <c r="Z6" s="473"/>
      <c r="AA6" s="235"/>
      <c r="AB6" s="234"/>
      <c r="AC6" s="473"/>
      <c r="AD6" s="235"/>
      <c r="AE6" s="234"/>
      <c r="AF6" s="473"/>
      <c r="AG6" s="235"/>
      <c r="AH6" s="234"/>
      <c r="AI6" s="429"/>
      <c r="AJ6" s="235"/>
      <c r="AK6" s="241" t="str">
        <f t="shared" si="8"/>
        <v/>
      </c>
      <c r="AL6" s="477" t="str">
        <f t="shared" si="9"/>
        <v/>
      </c>
      <c r="AM6" s="279" t="str">
        <f t="shared" si="9"/>
        <v/>
      </c>
      <c r="AN6" s="304"/>
      <c r="AO6" s="280"/>
      <c r="AP6" s="431"/>
      <c r="AQ6" s="322"/>
      <c r="AR6" s="323"/>
      <c r="AS6" s="322"/>
      <c r="AT6" s="323"/>
      <c r="AU6" s="397"/>
      <c r="AV6" s="396"/>
      <c r="AW6" s="327" t="s">
        <v>375</v>
      </c>
      <c r="AX6" s="453" t="s">
        <v>376</v>
      </c>
      <c r="AY6">
        <f t="shared" si="11"/>
        <v>1979</v>
      </c>
      <c r="AZ6">
        <f t="shared" si="12"/>
        <v>1978</v>
      </c>
      <c r="BA6">
        <f t="shared" si="12"/>
        <v>1978</v>
      </c>
      <c r="BB6">
        <f t="shared" si="13"/>
        <v>1977</v>
      </c>
      <c r="BC6">
        <f t="shared" si="13"/>
        <v>1977</v>
      </c>
      <c r="BD6">
        <f t="shared" si="14"/>
        <v>1976</v>
      </c>
      <c r="BE6">
        <f t="shared" si="10"/>
        <v>1976</v>
      </c>
      <c r="BF6">
        <f t="shared" si="15"/>
        <v>1977</v>
      </c>
      <c r="BI6" s="962">
        <v>1976</v>
      </c>
      <c r="BJ6" s="953">
        <f t="shared" si="16"/>
        <v>0</v>
      </c>
      <c r="BK6" s="953">
        <f t="shared" si="17"/>
        <v>1678.5706666666663</v>
      </c>
      <c r="BL6" s="953">
        <f t="shared" ref="BL6:BL48" si="19">SUM(D4:E4)</f>
        <v>13417.78770770771</v>
      </c>
      <c r="BM6" s="952"/>
      <c r="BN6" s="954">
        <f t="shared" si="18"/>
        <v>15096.358374374377</v>
      </c>
    </row>
    <row r="7" spans="1:66" x14ac:dyDescent="0.3">
      <c r="A7" s="425" t="s">
        <v>373</v>
      </c>
      <c r="B7" s="427">
        <v>1983</v>
      </c>
      <c r="C7" s="795">
        <f t="shared" si="0"/>
        <v>872.46901301301295</v>
      </c>
      <c r="D7" s="796">
        <f t="shared" si="1"/>
        <v>13842.056456456454</v>
      </c>
      <c r="E7" s="796">
        <f t="shared" si="2"/>
        <v>385.89975575575568</v>
      </c>
      <c r="F7" s="796">
        <f t="shared" si="3"/>
        <v>1392.5947707707705</v>
      </c>
      <c r="G7" s="796">
        <f t="shared" si="4"/>
        <v>268.45200400400398</v>
      </c>
      <c r="H7" s="796">
        <f t="shared" si="5"/>
        <v>0</v>
      </c>
      <c r="I7" s="796">
        <f t="shared" si="6"/>
        <v>0</v>
      </c>
      <c r="J7" s="797">
        <f t="shared" si="7"/>
        <v>0</v>
      </c>
      <c r="K7" s="451">
        <v>16761.471999999998</v>
      </c>
      <c r="L7" s="460" t="s">
        <v>1176</v>
      </c>
      <c r="M7" s="239" t="s">
        <v>245</v>
      </c>
      <c r="N7" s="473"/>
      <c r="O7" s="235"/>
      <c r="P7" s="234"/>
      <c r="Q7" s="473"/>
      <c r="R7" s="235"/>
      <c r="S7" s="234"/>
      <c r="T7" s="473"/>
      <c r="U7" s="235"/>
      <c r="V7" s="234"/>
      <c r="W7" s="473"/>
      <c r="X7" s="235"/>
      <c r="Y7" s="234"/>
      <c r="Z7" s="473"/>
      <c r="AA7" s="235"/>
      <c r="AB7" s="234"/>
      <c r="AC7" s="473"/>
      <c r="AD7" s="235"/>
      <c r="AE7" s="234"/>
      <c r="AF7" s="473"/>
      <c r="AG7" s="235"/>
      <c r="AH7" s="234"/>
      <c r="AI7" s="429"/>
      <c r="AJ7" s="235"/>
      <c r="AK7" s="241" t="str">
        <f t="shared" si="8"/>
        <v/>
      </c>
      <c r="AL7" s="477" t="str">
        <f t="shared" si="9"/>
        <v/>
      </c>
      <c r="AM7" s="279" t="str">
        <f t="shared" si="9"/>
        <v/>
      </c>
      <c r="AN7" s="305"/>
      <c r="AO7" s="439"/>
      <c r="AP7" s="431"/>
      <c r="AQ7" s="322"/>
      <c r="AR7" s="323"/>
      <c r="AS7" s="322"/>
      <c r="AT7" s="323"/>
      <c r="AU7" s="397"/>
      <c r="AV7" s="396"/>
      <c r="AW7" s="327" t="s">
        <v>375</v>
      </c>
      <c r="AX7" s="453" t="s">
        <v>376</v>
      </c>
      <c r="AY7">
        <f t="shared" si="11"/>
        <v>1980</v>
      </c>
      <c r="AZ7">
        <f t="shared" si="12"/>
        <v>1979</v>
      </c>
      <c r="BA7">
        <f t="shared" si="12"/>
        <v>1979</v>
      </c>
      <c r="BB7">
        <f t="shared" si="13"/>
        <v>1978</v>
      </c>
      <c r="BC7">
        <f t="shared" si="13"/>
        <v>1978</v>
      </c>
      <c r="BD7">
        <f t="shared" si="14"/>
        <v>1977</v>
      </c>
      <c r="BE7">
        <f t="shared" si="10"/>
        <v>1977</v>
      </c>
      <c r="BF7">
        <f t="shared" si="15"/>
        <v>1978</v>
      </c>
      <c r="BI7" s="948">
        <v>1977</v>
      </c>
      <c r="BJ7" s="701">
        <f t="shared" si="16"/>
        <v>0</v>
      </c>
      <c r="BK7" s="701">
        <f t="shared" si="17"/>
        <v>1159.7607207207209</v>
      </c>
      <c r="BL7" s="701">
        <f t="shared" si="19"/>
        <v>14378.059851851849</v>
      </c>
      <c r="BM7" s="701">
        <f t="shared" ref="BM7:BM49" si="20">C4</f>
        <v>822.78886886886892</v>
      </c>
      <c r="BN7" s="947">
        <f t="shared" si="18"/>
        <v>16360.609441441438</v>
      </c>
    </row>
    <row r="8" spans="1:66" x14ac:dyDescent="0.3">
      <c r="A8" s="425" t="s">
        <v>373</v>
      </c>
      <c r="B8" s="427">
        <v>1984</v>
      </c>
      <c r="C8" s="795">
        <f t="shared" si="0"/>
        <v>2796.2716241361363</v>
      </c>
      <c r="D8" s="796">
        <f t="shared" si="1"/>
        <v>44363.924806006013</v>
      </c>
      <c r="E8" s="796">
        <f t="shared" si="2"/>
        <v>1236.8124491371373</v>
      </c>
      <c r="F8" s="796">
        <f t="shared" si="3"/>
        <v>4463.279707755757</v>
      </c>
      <c r="G8" s="796">
        <f t="shared" si="4"/>
        <v>860.39126896496521</v>
      </c>
      <c r="H8" s="796">
        <f t="shared" si="5"/>
        <v>0</v>
      </c>
      <c r="I8" s="796">
        <f t="shared" si="6"/>
        <v>0</v>
      </c>
      <c r="J8" s="797">
        <f t="shared" si="7"/>
        <v>0</v>
      </c>
      <c r="K8" s="451">
        <v>53720.679856000002</v>
      </c>
      <c r="L8" s="460" t="s">
        <v>1176</v>
      </c>
      <c r="M8" s="239" t="s">
        <v>245</v>
      </c>
      <c r="N8" s="473"/>
      <c r="O8" s="235"/>
      <c r="P8" s="234"/>
      <c r="Q8" s="473"/>
      <c r="R8" s="235"/>
      <c r="S8" s="234"/>
      <c r="T8" s="473"/>
      <c r="U8" s="235"/>
      <c r="V8" s="234"/>
      <c r="W8" s="473"/>
      <c r="X8" s="235"/>
      <c r="Y8" s="234"/>
      <c r="Z8" s="473"/>
      <c r="AA8" s="235"/>
      <c r="AB8" s="234"/>
      <c r="AC8" s="473"/>
      <c r="AD8" s="235"/>
      <c r="AE8" s="234"/>
      <c r="AF8" s="473"/>
      <c r="AG8" s="235"/>
      <c r="AH8" s="234"/>
      <c r="AI8" s="429"/>
      <c r="AJ8" s="235"/>
      <c r="AK8" s="241" t="str">
        <f t="shared" si="8"/>
        <v/>
      </c>
      <c r="AL8" s="477" t="str">
        <f t="shared" si="9"/>
        <v/>
      </c>
      <c r="AM8" s="279" t="str">
        <f t="shared" si="9"/>
        <v/>
      </c>
      <c r="AN8" s="305"/>
      <c r="AO8" s="439"/>
      <c r="AP8" s="431"/>
      <c r="AQ8" s="322"/>
      <c r="AR8" s="323"/>
      <c r="AS8" s="322"/>
      <c r="AT8" s="323"/>
      <c r="AU8" s="397"/>
      <c r="AV8" s="396"/>
      <c r="AW8" s="327" t="s">
        <v>375</v>
      </c>
      <c r="AX8" s="453" t="s">
        <v>376</v>
      </c>
      <c r="AY8">
        <f t="shared" si="11"/>
        <v>1981</v>
      </c>
      <c r="AZ8">
        <f t="shared" si="12"/>
        <v>1980</v>
      </c>
      <c r="BA8">
        <f t="shared" si="12"/>
        <v>1980</v>
      </c>
      <c r="BB8">
        <f t="shared" si="13"/>
        <v>1979</v>
      </c>
      <c r="BC8">
        <f t="shared" si="13"/>
        <v>1979</v>
      </c>
      <c r="BD8">
        <f t="shared" si="14"/>
        <v>1978</v>
      </c>
      <c r="BE8">
        <f t="shared" si="10"/>
        <v>1978</v>
      </c>
      <c r="BF8">
        <f t="shared" si="15"/>
        <v>1979</v>
      </c>
      <c r="BI8" s="948">
        <v>1978</v>
      </c>
      <c r="BJ8" s="701">
        <f t="shared" si="16"/>
        <v>0</v>
      </c>
      <c r="BK8" s="701">
        <f t="shared" si="17"/>
        <v>1661.0467747747746</v>
      </c>
      <c r="BL8" s="701">
        <f t="shared" si="19"/>
        <v>9934.1120320320315</v>
      </c>
      <c r="BM8" s="701">
        <f t="shared" si="20"/>
        <v>881.6734814814813</v>
      </c>
      <c r="BN8" s="947">
        <f t="shared" si="18"/>
        <v>12476.832288288288</v>
      </c>
    </row>
    <row r="9" spans="1:66" x14ac:dyDescent="0.3">
      <c r="A9" s="425" t="s">
        <v>373</v>
      </c>
      <c r="B9" s="427">
        <v>1985</v>
      </c>
      <c r="C9" s="795">
        <f t="shared" si="0"/>
        <v>2204.2565057399997</v>
      </c>
      <c r="D9" s="796">
        <f t="shared" si="1"/>
        <v>28112.256884799997</v>
      </c>
      <c r="E9" s="796">
        <f t="shared" si="2"/>
        <v>351.40321105999999</v>
      </c>
      <c r="F9" s="796">
        <f t="shared" si="3"/>
        <v>191.67447876</v>
      </c>
      <c r="G9" s="796">
        <f t="shared" si="4"/>
        <v>1086.1553796400001</v>
      </c>
      <c r="H9" s="796">
        <f t="shared" si="5"/>
        <v>0</v>
      </c>
      <c r="I9" s="796">
        <f t="shared" si="6"/>
        <v>0</v>
      </c>
      <c r="J9" s="797">
        <f t="shared" si="7"/>
        <v>0</v>
      </c>
      <c r="K9" s="451">
        <v>31945.746459999998</v>
      </c>
      <c r="L9" s="460" t="s">
        <v>1176</v>
      </c>
      <c r="M9" s="239" t="s">
        <v>245</v>
      </c>
      <c r="N9" s="473"/>
      <c r="O9" s="235"/>
      <c r="P9" s="234"/>
      <c r="Q9" s="473"/>
      <c r="R9" s="235"/>
      <c r="S9" s="234"/>
      <c r="T9" s="473"/>
      <c r="U9" s="235"/>
      <c r="V9" s="234"/>
      <c r="W9" s="473"/>
      <c r="X9" s="235"/>
      <c r="Y9" s="234"/>
      <c r="Z9" s="473"/>
      <c r="AA9" s="235"/>
      <c r="AB9" s="234"/>
      <c r="AC9" s="473"/>
      <c r="AD9" s="235"/>
      <c r="AE9" s="234"/>
      <c r="AF9" s="473"/>
      <c r="AG9" s="235"/>
      <c r="AH9" s="234"/>
      <c r="AI9" s="429"/>
      <c r="AJ9" s="235"/>
      <c r="AK9" s="241" t="str">
        <f t="shared" si="8"/>
        <v/>
      </c>
      <c r="AL9" s="477" t="str">
        <f t="shared" si="9"/>
        <v/>
      </c>
      <c r="AM9" s="279" t="str">
        <f t="shared" si="9"/>
        <v/>
      </c>
      <c r="AN9" s="305"/>
      <c r="AO9" s="439"/>
      <c r="AP9" s="431"/>
      <c r="AQ9" s="322"/>
      <c r="AR9" s="323"/>
      <c r="AS9" s="322"/>
      <c r="AT9" s="323"/>
      <c r="AU9" s="397"/>
      <c r="AV9" s="396"/>
      <c r="AW9" s="327" t="s">
        <v>375</v>
      </c>
      <c r="AX9" s="453" t="s">
        <v>376</v>
      </c>
      <c r="AY9">
        <f t="shared" si="11"/>
        <v>1982</v>
      </c>
      <c r="AZ9">
        <f t="shared" si="12"/>
        <v>1981</v>
      </c>
      <c r="BA9">
        <f t="shared" si="12"/>
        <v>1981</v>
      </c>
      <c r="BB9">
        <f t="shared" si="13"/>
        <v>1980</v>
      </c>
      <c r="BC9">
        <f t="shared" si="13"/>
        <v>1980</v>
      </c>
      <c r="BD9">
        <f t="shared" si="14"/>
        <v>1979</v>
      </c>
      <c r="BE9">
        <f t="shared" si="10"/>
        <v>1979</v>
      </c>
      <c r="BF9">
        <f t="shared" si="15"/>
        <v>1980</v>
      </c>
      <c r="BI9" s="948">
        <v>1979</v>
      </c>
      <c r="BJ9" s="701">
        <f t="shared" si="16"/>
        <v>0</v>
      </c>
      <c r="BK9" s="701">
        <f t="shared" si="17"/>
        <v>5323.6709767207221</v>
      </c>
      <c r="BL9" s="701">
        <f t="shared" si="19"/>
        <v>14227.95621221221</v>
      </c>
      <c r="BM9" s="701">
        <f t="shared" si="20"/>
        <v>609.16724724724725</v>
      </c>
      <c r="BN9" s="947">
        <f t="shared" si="18"/>
        <v>20160.794436180178</v>
      </c>
    </row>
    <row r="10" spans="1:66" x14ac:dyDescent="0.3">
      <c r="A10" s="425" t="s">
        <v>373</v>
      </c>
      <c r="B10" s="427">
        <v>1986</v>
      </c>
      <c r="C10" s="795">
        <f t="shared" si="0"/>
        <v>805.35757981981988</v>
      </c>
      <c r="D10" s="796">
        <f t="shared" si="1"/>
        <v>12777.307756756756</v>
      </c>
      <c r="E10" s="796">
        <f t="shared" si="2"/>
        <v>356.21585261261259</v>
      </c>
      <c r="F10" s="796">
        <f t="shared" si="3"/>
        <v>1285.4745985585587</v>
      </c>
      <c r="G10" s="796">
        <f t="shared" si="4"/>
        <v>247.80233225225223</v>
      </c>
      <c r="H10" s="796">
        <f t="shared" si="5"/>
        <v>0</v>
      </c>
      <c r="I10" s="796">
        <f t="shared" si="6"/>
        <v>0</v>
      </c>
      <c r="J10" s="797">
        <f t="shared" si="7"/>
        <v>0</v>
      </c>
      <c r="K10" s="451">
        <v>15472.158119999998</v>
      </c>
      <c r="L10" s="460" t="s">
        <v>1176</v>
      </c>
      <c r="M10" s="239" t="s">
        <v>245</v>
      </c>
      <c r="N10" s="473"/>
      <c r="O10" s="235"/>
      <c r="P10" s="234"/>
      <c r="Q10" s="473"/>
      <c r="R10" s="235"/>
      <c r="S10" s="234"/>
      <c r="T10" s="473"/>
      <c r="U10" s="235"/>
      <c r="V10" s="234"/>
      <c r="W10" s="473"/>
      <c r="X10" s="235"/>
      <c r="Y10" s="234"/>
      <c r="Z10" s="473"/>
      <c r="AA10" s="235"/>
      <c r="AB10" s="234"/>
      <c r="AC10" s="473"/>
      <c r="AD10" s="235"/>
      <c r="AE10" s="234"/>
      <c r="AF10" s="473"/>
      <c r="AG10" s="235"/>
      <c r="AH10" s="234"/>
      <c r="AI10" s="429"/>
      <c r="AJ10" s="235"/>
      <c r="AK10" s="241" t="str">
        <f t="shared" si="8"/>
        <v/>
      </c>
      <c r="AL10" s="477" t="str">
        <f t="shared" si="9"/>
        <v/>
      </c>
      <c r="AM10" s="279" t="str">
        <f t="shared" si="9"/>
        <v/>
      </c>
      <c r="AN10" s="305"/>
      <c r="AO10" s="439"/>
      <c r="AP10" s="431"/>
      <c r="AQ10" s="322"/>
      <c r="AR10" s="323"/>
      <c r="AS10" s="322"/>
      <c r="AT10" s="323"/>
      <c r="AU10" s="397"/>
      <c r="AV10" s="396"/>
      <c r="AW10" s="327" t="s">
        <v>377</v>
      </c>
      <c r="AX10" s="453" t="s">
        <v>376</v>
      </c>
      <c r="AY10">
        <f t="shared" si="11"/>
        <v>1983</v>
      </c>
      <c r="AZ10">
        <f t="shared" si="12"/>
        <v>1982</v>
      </c>
      <c r="BA10">
        <f t="shared" si="12"/>
        <v>1982</v>
      </c>
      <c r="BB10">
        <f t="shared" si="13"/>
        <v>1981</v>
      </c>
      <c r="BC10">
        <f t="shared" si="13"/>
        <v>1981</v>
      </c>
      <c r="BD10">
        <f t="shared" si="14"/>
        <v>1980</v>
      </c>
      <c r="BE10">
        <f t="shared" si="10"/>
        <v>1980</v>
      </c>
      <c r="BF10">
        <f t="shared" si="15"/>
        <v>1981</v>
      </c>
      <c r="BI10" s="948">
        <v>1980</v>
      </c>
      <c r="BJ10" s="701">
        <f t="shared" si="16"/>
        <v>0</v>
      </c>
      <c r="BK10" s="701">
        <f t="shared" si="17"/>
        <v>1277.8298584000001</v>
      </c>
      <c r="BL10" s="701">
        <f t="shared" si="19"/>
        <v>45600.737255143147</v>
      </c>
      <c r="BM10" s="701">
        <f t="shared" si="20"/>
        <v>872.46901301301295</v>
      </c>
      <c r="BN10" s="947">
        <f t="shared" si="18"/>
        <v>47751.036126556159</v>
      </c>
    </row>
    <row r="11" spans="1:66" x14ac:dyDescent="0.3">
      <c r="A11" s="425" t="s">
        <v>373</v>
      </c>
      <c r="B11" s="427">
        <v>1987</v>
      </c>
      <c r="C11" s="795">
        <f t="shared" si="0"/>
        <v>10376.32626768</v>
      </c>
      <c r="D11" s="796">
        <f t="shared" si="1"/>
        <v>9701.4432584000024</v>
      </c>
      <c r="E11" s="796">
        <f t="shared" si="2"/>
        <v>210.9009404</v>
      </c>
      <c r="F11" s="796">
        <f t="shared" si="3"/>
        <v>590.52263312000002</v>
      </c>
      <c r="G11" s="796">
        <f t="shared" si="4"/>
        <v>210.9009404</v>
      </c>
      <c r="H11" s="796">
        <f t="shared" si="5"/>
        <v>0</v>
      </c>
      <c r="I11" s="796">
        <f t="shared" si="6"/>
        <v>0</v>
      </c>
      <c r="J11" s="797">
        <f t="shared" si="7"/>
        <v>0</v>
      </c>
      <c r="K11" s="451">
        <v>21090.09404</v>
      </c>
      <c r="L11" s="460" t="s">
        <v>1176</v>
      </c>
      <c r="M11" s="239" t="s">
        <v>245</v>
      </c>
      <c r="N11" s="473"/>
      <c r="O11" s="235"/>
      <c r="P11" s="234"/>
      <c r="Q11" s="473"/>
      <c r="R11" s="235"/>
      <c r="S11" s="234"/>
      <c r="T11" s="473"/>
      <c r="U11" s="235"/>
      <c r="V11" s="234"/>
      <c r="W11" s="473"/>
      <c r="X11" s="235"/>
      <c r="Y11" s="234"/>
      <c r="Z11" s="473"/>
      <c r="AA11" s="235"/>
      <c r="AB11" s="234"/>
      <c r="AC11" s="473"/>
      <c r="AD11" s="235"/>
      <c r="AE11" s="234"/>
      <c r="AF11" s="473"/>
      <c r="AG11" s="235"/>
      <c r="AH11" s="234"/>
      <c r="AI11" s="429"/>
      <c r="AJ11" s="235"/>
      <c r="AK11" s="241" t="str">
        <f t="shared" si="8"/>
        <v/>
      </c>
      <c r="AL11" s="477" t="str">
        <f t="shared" si="9"/>
        <v/>
      </c>
      <c r="AM11" s="279" t="str">
        <f t="shared" si="9"/>
        <v/>
      </c>
      <c r="AN11" s="305"/>
      <c r="AO11" s="439"/>
      <c r="AP11" s="431"/>
      <c r="AQ11" s="322"/>
      <c r="AR11" s="323"/>
      <c r="AS11" s="322"/>
      <c r="AT11" s="323"/>
      <c r="AU11" s="397"/>
      <c r="AV11" s="396"/>
      <c r="AW11" s="327" t="s">
        <v>377</v>
      </c>
      <c r="AX11" s="453" t="s">
        <v>376</v>
      </c>
      <c r="AY11">
        <f t="shared" si="11"/>
        <v>1984</v>
      </c>
      <c r="AZ11">
        <f t="shared" si="12"/>
        <v>1983</v>
      </c>
      <c r="BA11">
        <f t="shared" si="12"/>
        <v>1983</v>
      </c>
      <c r="BB11">
        <f t="shared" si="13"/>
        <v>1982</v>
      </c>
      <c r="BC11">
        <f t="shared" si="13"/>
        <v>1982</v>
      </c>
      <c r="BD11">
        <f t="shared" si="14"/>
        <v>1981</v>
      </c>
      <c r="BE11">
        <f t="shared" si="10"/>
        <v>1981</v>
      </c>
      <c r="BF11">
        <f t="shared" si="15"/>
        <v>1982</v>
      </c>
      <c r="BI11" s="948">
        <v>1981</v>
      </c>
      <c r="BJ11" s="701">
        <f t="shared" si="16"/>
        <v>0</v>
      </c>
      <c r="BK11" s="701">
        <f t="shared" si="17"/>
        <v>1533.2769308108109</v>
      </c>
      <c r="BL11" s="701">
        <f t="shared" si="19"/>
        <v>28463.660095859996</v>
      </c>
      <c r="BM11" s="701">
        <f t="shared" si="20"/>
        <v>2796.2716241361363</v>
      </c>
      <c r="BN11" s="947">
        <f t="shared" si="18"/>
        <v>32793.208650806941</v>
      </c>
    </row>
    <row r="12" spans="1:66" x14ac:dyDescent="0.3">
      <c r="A12" s="425" t="s">
        <v>373</v>
      </c>
      <c r="B12" s="427">
        <v>1988</v>
      </c>
      <c r="C12" s="795">
        <f t="shared" si="0"/>
        <v>41.305855999999999</v>
      </c>
      <c r="D12" s="796">
        <f t="shared" si="1"/>
        <v>20012.687231999997</v>
      </c>
      <c r="E12" s="796">
        <f t="shared" si="2"/>
        <v>206.52928</v>
      </c>
      <c r="F12" s="796">
        <f t="shared" si="3"/>
        <v>268.48806400000001</v>
      </c>
      <c r="G12" s="796">
        <f t="shared" si="4"/>
        <v>123.917568</v>
      </c>
      <c r="H12" s="796">
        <f t="shared" si="5"/>
        <v>0</v>
      </c>
      <c r="I12" s="796">
        <f t="shared" si="6"/>
        <v>0</v>
      </c>
      <c r="J12" s="797">
        <f t="shared" si="7"/>
        <v>0</v>
      </c>
      <c r="K12" s="451">
        <v>20652.928</v>
      </c>
      <c r="L12" s="460" t="s">
        <v>1176</v>
      </c>
      <c r="M12" s="239" t="s">
        <v>245</v>
      </c>
      <c r="N12" s="473"/>
      <c r="O12" s="235"/>
      <c r="P12" s="234"/>
      <c r="Q12" s="473"/>
      <c r="R12" s="235"/>
      <c r="S12" s="234"/>
      <c r="T12" s="473"/>
      <c r="U12" s="235"/>
      <c r="V12" s="234"/>
      <c r="W12" s="473"/>
      <c r="X12" s="235"/>
      <c r="Y12" s="234"/>
      <c r="Z12" s="473"/>
      <c r="AA12" s="235"/>
      <c r="AB12" s="234"/>
      <c r="AC12" s="473"/>
      <c r="AD12" s="235"/>
      <c r="AE12" s="234"/>
      <c r="AF12" s="473"/>
      <c r="AG12" s="235"/>
      <c r="AH12" s="234"/>
      <c r="AI12" s="429"/>
      <c r="AJ12" s="235"/>
      <c r="AK12" s="241" t="str">
        <f t="shared" si="8"/>
        <v/>
      </c>
      <c r="AL12" s="477" t="str">
        <f t="shared" si="9"/>
        <v/>
      </c>
      <c r="AM12" s="279" t="str">
        <f t="shared" si="9"/>
        <v/>
      </c>
      <c r="AN12" s="305"/>
      <c r="AO12" s="439"/>
      <c r="AP12" s="431"/>
      <c r="AQ12" s="322"/>
      <c r="AR12" s="323"/>
      <c r="AS12" s="322"/>
      <c r="AT12" s="323"/>
      <c r="AU12" s="397"/>
      <c r="AV12" s="396"/>
      <c r="AW12" s="327" t="s">
        <v>377</v>
      </c>
      <c r="AX12" s="453" t="s">
        <v>376</v>
      </c>
      <c r="AY12">
        <f t="shared" si="11"/>
        <v>1985</v>
      </c>
      <c r="AZ12">
        <f t="shared" si="12"/>
        <v>1984</v>
      </c>
      <c r="BA12">
        <f t="shared" si="12"/>
        <v>1984</v>
      </c>
      <c r="BB12">
        <f t="shared" si="13"/>
        <v>1983</v>
      </c>
      <c r="BC12">
        <f t="shared" si="13"/>
        <v>1983</v>
      </c>
      <c r="BD12">
        <f t="shared" si="14"/>
        <v>1982</v>
      </c>
      <c r="BE12">
        <f t="shared" si="10"/>
        <v>1982</v>
      </c>
      <c r="BF12">
        <f t="shared" si="15"/>
        <v>1983</v>
      </c>
      <c r="BI12" s="948">
        <v>1982</v>
      </c>
      <c r="BJ12" s="701">
        <f t="shared" si="16"/>
        <v>0</v>
      </c>
      <c r="BK12" s="701">
        <f t="shared" si="17"/>
        <v>801.42357351999999</v>
      </c>
      <c r="BL12" s="701">
        <f t="shared" si="19"/>
        <v>13133.523609369369</v>
      </c>
      <c r="BM12" s="701">
        <f t="shared" si="20"/>
        <v>2204.2565057399997</v>
      </c>
      <c r="BN12" s="947">
        <f t="shared" si="18"/>
        <v>16139.203688629368</v>
      </c>
    </row>
    <row r="13" spans="1:66" x14ac:dyDescent="0.3">
      <c r="A13" s="425" t="s">
        <v>373</v>
      </c>
      <c r="B13" s="427">
        <v>1989</v>
      </c>
      <c r="C13" s="795">
        <f t="shared" si="0"/>
        <v>538.9628870870871</v>
      </c>
      <c r="D13" s="796">
        <f t="shared" si="1"/>
        <v>16725.814929269269</v>
      </c>
      <c r="E13" s="796">
        <f t="shared" si="2"/>
        <v>107.79257741741742</v>
      </c>
      <c r="F13" s="796">
        <f t="shared" si="3"/>
        <v>485.06659837837833</v>
      </c>
      <c r="G13" s="796">
        <f t="shared" si="4"/>
        <v>89.82714784784784</v>
      </c>
      <c r="H13" s="796">
        <f t="shared" si="5"/>
        <v>0</v>
      </c>
      <c r="I13" s="796">
        <f t="shared" si="6"/>
        <v>0</v>
      </c>
      <c r="J13" s="797">
        <f t="shared" si="7"/>
        <v>0</v>
      </c>
      <c r="K13" s="451">
        <v>17947.464139999996</v>
      </c>
      <c r="L13" s="460" t="s">
        <v>1176</v>
      </c>
      <c r="M13" s="239" t="s">
        <v>245</v>
      </c>
      <c r="N13" s="473"/>
      <c r="O13" s="235"/>
      <c r="P13" s="234"/>
      <c r="Q13" s="473"/>
      <c r="R13" s="235"/>
      <c r="S13" s="234"/>
      <c r="T13" s="473"/>
      <c r="U13" s="235"/>
      <c r="V13" s="234"/>
      <c r="W13" s="473"/>
      <c r="X13" s="235"/>
      <c r="Y13" s="234"/>
      <c r="Z13" s="473"/>
      <c r="AA13" s="235"/>
      <c r="AB13" s="234"/>
      <c r="AC13" s="473"/>
      <c r="AD13" s="235"/>
      <c r="AE13" s="234"/>
      <c r="AF13" s="473"/>
      <c r="AG13" s="235"/>
      <c r="AH13" s="234"/>
      <c r="AI13" s="429"/>
      <c r="AJ13" s="235"/>
      <c r="AK13" s="241" t="str">
        <f t="shared" si="8"/>
        <v/>
      </c>
      <c r="AL13" s="477" t="str">
        <f t="shared" si="9"/>
        <v/>
      </c>
      <c r="AM13" s="279" t="str">
        <f t="shared" si="9"/>
        <v/>
      </c>
      <c r="AN13" s="305"/>
      <c r="AO13" s="439"/>
      <c r="AP13" s="431"/>
      <c r="AQ13" s="322"/>
      <c r="AR13" s="323"/>
      <c r="AS13" s="322"/>
      <c r="AT13" s="323"/>
      <c r="AU13" s="397"/>
      <c r="AV13" s="396"/>
      <c r="AW13" s="327" t="s">
        <v>377</v>
      </c>
      <c r="AX13" s="453" t="s">
        <v>376</v>
      </c>
      <c r="AY13">
        <f t="shared" si="11"/>
        <v>1986</v>
      </c>
      <c r="AZ13">
        <f t="shared" si="12"/>
        <v>1985</v>
      </c>
      <c r="BA13">
        <f t="shared" si="12"/>
        <v>1985</v>
      </c>
      <c r="BB13">
        <f t="shared" si="13"/>
        <v>1984</v>
      </c>
      <c r="BC13">
        <f t="shared" si="13"/>
        <v>1984</v>
      </c>
      <c r="BD13">
        <f t="shared" si="14"/>
        <v>1983</v>
      </c>
      <c r="BE13">
        <f t="shared" si="10"/>
        <v>1983</v>
      </c>
      <c r="BF13">
        <f t="shared" si="15"/>
        <v>1984</v>
      </c>
      <c r="BI13" s="948">
        <v>1983</v>
      </c>
      <c r="BJ13" s="701">
        <f t="shared" si="16"/>
        <v>0</v>
      </c>
      <c r="BK13" s="701">
        <f t="shared" si="17"/>
        <v>392.40563200000003</v>
      </c>
      <c r="BL13" s="701">
        <f t="shared" si="19"/>
        <v>9912.3441988000031</v>
      </c>
      <c r="BM13" s="701">
        <f t="shared" si="20"/>
        <v>805.35757981981988</v>
      </c>
      <c r="BN13" s="947">
        <f t="shared" si="18"/>
        <v>11110.107410619823</v>
      </c>
    </row>
    <row r="14" spans="1:66" x14ac:dyDescent="0.3">
      <c r="A14" s="425" t="s">
        <v>373</v>
      </c>
      <c r="B14" s="427">
        <v>1990</v>
      </c>
      <c r="C14" s="795">
        <f t="shared" si="0"/>
        <v>2830.1956829350001</v>
      </c>
      <c r="D14" s="796">
        <f t="shared" si="1"/>
        <v>1640.5116569225002</v>
      </c>
      <c r="E14" s="796">
        <f t="shared" si="2"/>
        <v>118.96840260124999</v>
      </c>
      <c r="F14" s="796">
        <f t="shared" si="3"/>
        <v>1415.0978414675001</v>
      </c>
      <c r="G14" s="796">
        <f t="shared" si="4"/>
        <v>219.15232058125002</v>
      </c>
      <c r="H14" s="796">
        <f t="shared" si="5"/>
        <v>0</v>
      </c>
      <c r="I14" s="796">
        <f t="shared" si="6"/>
        <v>37.568969242500003</v>
      </c>
      <c r="J14" s="797">
        <f t="shared" si="7"/>
        <v>0</v>
      </c>
      <c r="K14" s="451">
        <v>6261.4948737499999</v>
      </c>
      <c r="L14" s="460" t="s">
        <v>1176</v>
      </c>
      <c r="M14" s="432" t="s">
        <v>245</v>
      </c>
      <c r="N14" s="474"/>
      <c r="O14" s="434"/>
      <c r="P14" s="435"/>
      <c r="Q14" s="474"/>
      <c r="R14" s="434"/>
      <c r="S14" s="435"/>
      <c r="T14" s="474"/>
      <c r="U14" s="434"/>
      <c r="V14" s="435"/>
      <c r="W14" s="474"/>
      <c r="X14" s="434"/>
      <c r="Y14" s="435"/>
      <c r="Z14" s="474"/>
      <c r="AA14" s="434"/>
      <c r="AB14" s="435"/>
      <c r="AC14" s="474"/>
      <c r="AD14" s="434"/>
      <c r="AE14" s="435"/>
      <c r="AF14" s="474"/>
      <c r="AG14" s="434"/>
      <c r="AH14" s="435"/>
      <c r="AI14" s="433"/>
      <c r="AJ14" s="434"/>
      <c r="AK14" s="436" t="str">
        <f t="shared" si="8"/>
        <v/>
      </c>
      <c r="AL14" s="478" t="str">
        <f t="shared" si="9"/>
        <v/>
      </c>
      <c r="AM14" s="437" t="str">
        <f t="shared" si="9"/>
        <v/>
      </c>
      <c r="AN14" s="438"/>
      <c r="AO14" s="281"/>
      <c r="AP14" s="431"/>
      <c r="AQ14" s="322"/>
      <c r="AR14" s="323"/>
      <c r="AS14" s="322"/>
      <c r="AT14" s="323"/>
      <c r="AU14" s="397"/>
      <c r="AV14" s="396"/>
      <c r="AW14" s="327" t="s">
        <v>377</v>
      </c>
      <c r="AX14" s="453" t="s">
        <v>376</v>
      </c>
      <c r="AY14">
        <f t="shared" si="11"/>
        <v>1987</v>
      </c>
      <c r="AZ14">
        <f t="shared" si="12"/>
        <v>1986</v>
      </c>
      <c r="BA14">
        <f t="shared" si="12"/>
        <v>1986</v>
      </c>
      <c r="BB14">
        <f t="shared" si="13"/>
        <v>1985</v>
      </c>
      <c r="BC14">
        <f t="shared" si="13"/>
        <v>1985</v>
      </c>
      <c r="BD14">
        <f t="shared" si="14"/>
        <v>1984</v>
      </c>
      <c r="BE14">
        <f t="shared" si="10"/>
        <v>1984</v>
      </c>
      <c r="BF14">
        <f t="shared" si="15"/>
        <v>1985</v>
      </c>
      <c r="BI14" s="948">
        <v>1984</v>
      </c>
      <c r="BJ14" s="701">
        <f t="shared" si="16"/>
        <v>37.568969242500003</v>
      </c>
      <c r="BK14" s="701">
        <f t="shared" si="17"/>
        <v>574.8937462262262</v>
      </c>
      <c r="BL14" s="701">
        <f t="shared" si="19"/>
        <v>20219.216511999995</v>
      </c>
      <c r="BM14" s="701">
        <f t="shared" si="20"/>
        <v>10376.32626768</v>
      </c>
      <c r="BN14" s="947">
        <f t="shared" si="18"/>
        <v>31208.005495148722</v>
      </c>
    </row>
    <row r="15" spans="1:66" x14ac:dyDescent="0.3">
      <c r="A15" s="425" t="s">
        <v>373</v>
      </c>
      <c r="B15" s="427">
        <v>1991</v>
      </c>
      <c r="C15" s="795">
        <f t="shared" si="0"/>
        <v>3039.5849157437497</v>
      </c>
      <c r="D15" s="796">
        <f t="shared" si="1"/>
        <v>15000.548934839284</v>
      </c>
      <c r="E15" s="796">
        <f t="shared" si="2"/>
        <v>1322.4168139924107</v>
      </c>
      <c r="F15" s="796">
        <f t="shared" si="3"/>
        <v>296.06346581919632</v>
      </c>
      <c r="G15" s="796">
        <f t="shared" si="4"/>
        <v>19.737564387946428</v>
      </c>
      <c r="H15" s="796">
        <f t="shared" si="5"/>
        <v>0</v>
      </c>
      <c r="I15" s="796">
        <f t="shared" si="6"/>
        <v>59.212693163839276</v>
      </c>
      <c r="J15" s="797">
        <f t="shared" si="7"/>
        <v>0</v>
      </c>
      <c r="K15" s="451">
        <v>19737.564387946426</v>
      </c>
      <c r="L15" s="460" t="s">
        <v>1176</v>
      </c>
      <c r="M15" s="239" t="s">
        <v>245</v>
      </c>
      <c r="N15" s="473"/>
      <c r="O15" s="235"/>
      <c r="P15" s="234"/>
      <c r="Q15" s="473"/>
      <c r="R15" s="235"/>
      <c r="S15" s="234"/>
      <c r="T15" s="473"/>
      <c r="U15" s="235"/>
      <c r="V15" s="234"/>
      <c r="W15" s="473"/>
      <c r="X15" s="235"/>
      <c r="Y15" s="234"/>
      <c r="Z15" s="473"/>
      <c r="AA15" s="235"/>
      <c r="AB15" s="234"/>
      <c r="AC15" s="473"/>
      <c r="AD15" s="235"/>
      <c r="AE15" s="234"/>
      <c r="AF15" s="473"/>
      <c r="AG15" s="235"/>
      <c r="AH15" s="234"/>
      <c r="AI15" s="429"/>
      <c r="AJ15" s="235"/>
      <c r="AK15" s="241" t="str">
        <f t="shared" si="8"/>
        <v/>
      </c>
      <c r="AL15" s="477" t="str">
        <f t="shared" si="9"/>
        <v/>
      </c>
      <c r="AM15" s="279" t="str">
        <f t="shared" si="9"/>
        <v/>
      </c>
      <c r="AN15" s="305"/>
      <c r="AO15" s="439"/>
      <c r="AP15" s="431"/>
      <c r="AQ15" s="322"/>
      <c r="AR15" s="323"/>
      <c r="AS15" s="322"/>
      <c r="AT15" s="323"/>
      <c r="AU15" s="397"/>
      <c r="AV15" s="396"/>
      <c r="AW15" s="327" t="s">
        <v>377</v>
      </c>
      <c r="AX15" s="453" t="s">
        <v>376</v>
      </c>
      <c r="AY15">
        <f t="shared" si="11"/>
        <v>1988</v>
      </c>
      <c r="AZ15">
        <f t="shared" si="12"/>
        <v>1987</v>
      </c>
      <c r="BA15">
        <f t="shared" si="12"/>
        <v>1987</v>
      </c>
      <c r="BB15">
        <f t="shared" si="13"/>
        <v>1986</v>
      </c>
      <c r="BC15">
        <f t="shared" si="13"/>
        <v>1986</v>
      </c>
      <c r="BD15">
        <f t="shared" si="14"/>
        <v>1985</v>
      </c>
      <c r="BE15">
        <f t="shared" si="10"/>
        <v>1985</v>
      </c>
      <c r="BF15">
        <f t="shared" si="15"/>
        <v>1986</v>
      </c>
      <c r="BI15" s="948">
        <v>1985</v>
      </c>
      <c r="BJ15" s="701">
        <f t="shared" si="16"/>
        <v>59.212693163839276</v>
      </c>
      <c r="BK15" s="701">
        <f t="shared" si="17"/>
        <v>1634.2501620487501</v>
      </c>
      <c r="BL15" s="701">
        <f t="shared" si="19"/>
        <v>16833.607506686687</v>
      </c>
      <c r="BM15" s="701">
        <f t="shared" si="20"/>
        <v>41.305855999999999</v>
      </c>
      <c r="BN15" s="947">
        <f t="shared" si="18"/>
        <v>18568.376217899277</v>
      </c>
    </row>
    <row r="16" spans="1:66" x14ac:dyDescent="0.3">
      <c r="A16" s="425" t="s">
        <v>373</v>
      </c>
      <c r="B16" s="427">
        <v>1992</v>
      </c>
      <c r="C16" s="795">
        <f t="shared" si="0"/>
        <v>5608.1497727272736</v>
      </c>
      <c r="D16" s="796">
        <f t="shared" si="1"/>
        <v>24324.105227272732</v>
      </c>
      <c r="E16" s="796">
        <f t="shared" si="2"/>
        <v>2322.9022727272736</v>
      </c>
      <c r="F16" s="796">
        <f t="shared" si="3"/>
        <v>464.58045454545464</v>
      </c>
      <c r="G16" s="796">
        <f t="shared" si="4"/>
        <v>464.58045454545464</v>
      </c>
      <c r="H16" s="796">
        <f t="shared" si="5"/>
        <v>0</v>
      </c>
      <c r="I16" s="796">
        <f t="shared" si="6"/>
        <v>0</v>
      </c>
      <c r="J16" s="797">
        <f t="shared" si="7"/>
        <v>0</v>
      </c>
      <c r="K16" s="451">
        <v>33184.318181818184</v>
      </c>
      <c r="L16" s="460" t="s">
        <v>1176</v>
      </c>
      <c r="M16" s="239" t="s">
        <v>245</v>
      </c>
      <c r="N16" s="473"/>
      <c r="O16" s="235"/>
      <c r="P16" s="234"/>
      <c r="Q16" s="473"/>
      <c r="R16" s="235"/>
      <c r="S16" s="234"/>
      <c r="T16" s="473"/>
      <c r="U16" s="235"/>
      <c r="V16" s="234"/>
      <c r="W16" s="473"/>
      <c r="X16" s="235"/>
      <c r="Y16" s="234"/>
      <c r="Z16" s="473"/>
      <c r="AA16" s="235"/>
      <c r="AB16" s="234"/>
      <c r="AC16" s="473"/>
      <c r="AD16" s="235"/>
      <c r="AE16" s="234"/>
      <c r="AF16" s="473"/>
      <c r="AG16" s="235"/>
      <c r="AH16" s="234"/>
      <c r="AI16" s="429"/>
      <c r="AJ16" s="235"/>
      <c r="AK16" s="241" t="str">
        <f t="shared" si="8"/>
        <v/>
      </c>
      <c r="AL16" s="477" t="str">
        <f t="shared" si="9"/>
        <v/>
      </c>
      <c r="AM16" s="279" t="str">
        <f t="shared" si="9"/>
        <v/>
      </c>
      <c r="AN16" s="305"/>
      <c r="AO16" s="439"/>
      <c r="AP16" s="431"/>
      <c r="AQ16" s="322"/>
      <c r="AR16" s="323"/>
      <c r="AS16" s="322"/>
      <c r="AT16" s="323"/>
      <c r="AU16" s="397"/>
      <c r="AV16" s="396"/>
      <c r="AW16" s="327" t="s">
        <v>377</v>
      </c>
      <c r="AX16" s="453" t="s">
        <v>376</v>
      </c>
      <c r="AY16">
        <f t="shared" si="11"/>
        <v>1989</v>
      </c>
      <c r="AZ16">
        <f t="shared" si="12"/>
        <v>1988</v>
      </c>
      <c r="BA16">
        <f t="shared" si="12"/>
        <v>1988</v>
      </c>
      <c r="BB16">
        <f t="shared" si="13"/>
        <v>1987</v>
      </c>
      <c r="BC16">
        <f t="shared" si="13"/>
        <v>1987</v>
      </c>
      <c r="BD16">
        <f t="shared" si="14"/>
        <v>1986</v>
      </c>
      <c r="BE16">
        <f t="shared" si="10"/>
        <v>1986</v>
      </c>
      <c r="BF16">
        <f t="shared" si="15"/>
        <v>1987</v>
      </c>
      <c r="BI16" s="948">
        <v>1986</v>
      </c>
      <c r="BJ16" s="701">
        <f t="shared" si="16"/>
        <v>0</v>
      </c>
      <c r="BK16" s="701">
        <f t="shared" si="17"/>
        <v>315.80103020714273</v>
      </c>
      <c r="BL16" s="701">
        <f t="shared" si="19"/>
        <v>1759.4800595237502</v>
      </c>
      <c r="BM16" s="701">
        <f t="shared" si="20"/>
        <v>538.9628870870871</v>
      </c>
      <c r="BN16" s="947">
        <f t="shared" si="18"/>
        <v>2614.2439768179797</v>
      </c>
    </row>
    <row r="17" spans="1:66" x14ac:dyDescent="0.3">
      <c r="A17" s="425" t="s">
        <v>373</v>
      </c>
      <c r="B17" s="427">
        <v>1993</v>
      </c>
      <c r="C17" s="795">
        <f t="shared" si="0"/>
        <v>0</v>
      </c>
      <c r="D17" s="796">
        <f t="shared" si="1"/>
        <v>15198.114973026974</v>
      </c>
      <c r="E17" s="796">
        <f t="shared" si="2"/>
        <v>34.268579420579428</v>
      </c>
      <c r="F17" s="796">
        <f t="shared" si="3"/>
        <v>908.11735464535468</v>
      </c>
      <c r="G17" s="796">
        <f t="shared" si="4"/>
        <v>976.65451348651368</v>
      </c>
      <c r="H17" s="796">
        <f t="shared" si="5"/>
        <v>0</v>
      </c>
      <c r="I17" s="796">
        <f t="shared" si="6"/>
        <v>34.268579420579428</v>
      </c>
      <c r="J17" s="797">
        <f t="shared" si="7"/>
        <v>0</v>
      </c>
      <c r="K17" s="451">
        <v>17151.423999999999</v>
      </c>
      <c r="L17" s="460" t="s">
        <v>1176</v>
      </c>
      <c r="M17" s="239" t="s">
        <v>245</v>
      </c>
      <c r="N17" s="475"/>
      <c r="O17" s="236"/>
      <c r="P17" s="234"/>
      <c r="Q17" s="473"/>
      <c r="R17" s="236"/>
      <c r="S17" s="234"/>
      <c r="T17" s="473"/>
      <c r="U17" s="236"/>
      <c r="V17" s="234"/>
      <c r="W17" s="473"/>
      <c r="X17" s="236"/>
      <c r="Y17" s="234"/>
      <c r="Z17" s="473"/>
      <c r="AA17" s="236"/>
      <c r="AB17" s="234"/>
      <c r="AC17" s="473"/>
      <c r="AD17" s="236"/>
      <c r="AE17" s="234"/>
      <c r="AF17" s="473"/>
      <c r="AG17" s="236"/>
      <c r="AH17" s="234"/>
      <c r="AI17" s="429"/>
      <c r="AJ17" s="235"/>
      <c r="AK17" s="241" t="str">
        <f t="shared" si="8"/>
        <v/>
      </c>
      <c r="AL17" s="477" t="str">
        <f t="shared" si="9"/>
        <v/>
      </c>
      <c r="AM17" s="279" t="str">
        <f t="shared" si="9"/>
        <v/>
      </c>
      <c r="AN17" s="305"/>
      <c r="AO17" s="439"/>
      <c r="AP17" s="431"/>
      <c r="AQ17" s="322"/>
      <c r="AR17" s="323"/>
      <c r="AS17" s="322"/>
      <c r="AT17" s="323"/>
      <c r="AU17" s="397"/>
      <c r="AV17" s="396"/>
      <c r="AW17" s="327" t="s">
        <v>377</v>
      </c>
      <c r="AX17" s="453" t="s">
        <v>376</v>
      </c>
      <c r="AY17">
        <f t="shared" si="11"/>
        <v>1990</v>
      </c>
      <c r="AZ17">
        <f t="shared" si="12"/>
        <v>1989</v>
      </c>
      <c r="BA17">
        <f t="shared" si="12"/>
        <v>1989</v>
      </c>
      <c r="BB17">
        <f t="shared" si="13"/>
        <v>1988</v>
      </c>
      <c r="BC17">
        <f t="shared" si="13"/>
        <v>1988</v>
      </c>
      <c r="BD17">
        <f t="shared" si="14"/>
        <v>1987</v>
      </c>
      <c r="BE17">
        <f t="shared" si="10"/>
        <v>1987</v>
      </c>
      <c r="BF17">
        <f t="shared" si="15"/>
        <v>1988</v>
      </c>
      <c r="BI17" s="948">
        <v>1987</v>
      </c>
      <c r="BJ17" s="701">
        <f t="shared" si="16"/>
        <v>34.268579420579428</v>
      </c>
      <c r="BK17" s="701">
        <f t="shared" si="17"/>
        <v>929.16090909090929</v>
      </c>
      <c r="BL17" s="701">
        <f t="shared" si="19"/>
        <v>16322.965748831695</v>
      </c>
      <c r="BM17" s="701">
        <f t="shared" si="20"/>
        <v>2830.1956829350001</v>
      </c>
      <c r="BN17" s="947">
        <f t="shared" si="18"/>
        <v>20116.590920278184</v>
      </c>
    </row>
    <row r="18" spans="1:66" x14ac:dyDescent="0.3">
      <c r="A18" s="425" t="s">
        <v>373</v>
      </c>
      <c r="B18" s="427">
        <v>1994</v>
      </c>
      <c r="C18" s="795">
        <f t="shared" si="0"/>
        <v>282.66867199999996</v>
      </c>
      <c r="D18" s="796">
        <f t="shared" si="1"/>
        <v>249.06470400000001</v>
      </c>
      <c r="E18" s="796">
        <f t="shared" si="2"/>
        <v>31.627264</v>
      </c>
      <c r="F18" s="796">
        <f t="shared" si="3"/>
        <v>1379.739392</v>
      </c>
      <c r="G18" s="796">
        <f t="shared" si="4"/>
        <v>33.603968000000002</v>
      </c>
      <c r="H18" s="796">
        <f t="shared" si="5"/>
        <v>0</v>
      </c>
      <c r="I18" s="796">
        <f t="shared" si="6"/>
        <v>0</v>
      </c>
      <c r="J18" s="797">
        <f t="shared" si="7"/>
        <v>0</v>
      </c>
      <c r="K18" s="451">
        <v>1976.704</v>
      </c>
      <c r="L18" s="460" t="s">
        <v>1176</v>
      </c>
      <c r="M18" s="239" t="s">
        <v>245</v>
      </c>
      <c r="N18" s="473"/>
      <c r="O18" s="235"/>
      <c r="P18" s="234"/>
      <c r="Q18" s="473"/>
      <c r="R18" s="235"/>
      <c r="S18" s="234"/>
      <c r="T18" s="473"/>
      <c r="U18" s="235"/>
      <c r="V18" s="234"/>
      <c r="W18" s="473"/>
      <c r="X18" s="235"/>
      <c r="Y18" s="234"/>
      <c r="Z18" s="473"/>
      <c r="AA18" s="235"/>
      <c r="AB18" s="234"/>
      <c r="AC18" s="473"/>
      <c r="AD18" s="235"/>
      <c r="AE18" s="234"/>
      <c r="AF18" s="473"/>
      <c r="AG18" s="235"/>
      <c r="AH18" s="234"/>
      <c r="AI18" s="429"/>
      <c r="AJ18" s="235"/>
      <c r="AK18" s="241" t="str">
        <f t="shared" si="8"/>
        <v/>
      </c>
      <c r="AL18" s="477" t="str">
        <f t="shared" si="9"/>
        <v/>
      </c>
      <c r="AM18" s="279" t="str">
        <f t="shared" si="9"/>
        <v/>
      </c>
      <c r="AN18" s="305"/>
      <c r="AO18" s="439"/>
      <c r="AP18" s="431"/>
      <c r="AQ18" s="322"/>
      <c r="AR18" s="323"/>
      <c r="AS18" s="322"/>
      <c r="AT18" s="323"/>
      <c r="AU18" s="397"/>
      <c r="AV18" s="396"/>
      <c r="AW18" s="327" t="s">
        <v>377</v>
      </c>
      <c r="AX18" s="453" t="s">
        <v>376</v>
      </c>
      <c r="AY18">
        <f t="shared" si="11"/>
        <v>1991</v>
      </c>
      <c r="AZ18">
        <f t="shared" si="12"/>
        <v>1990</v>
      </c>
      <c r="BA18">
        <f t="shared" si="12"/>
        <v>1990</v>
      </c>
      <c r="BB18">
        <f t="shared" si="13"/>
        <v>1989</v>
      </c>
      <c r="BC18">
        <f t="shared" si="13"/>
        <v>1989</v>
      </c>
      <c r="BD18">
        <f t="shared" si="14"/>
        <v>1988</v>
      </c>
      <c r="BE18">
        <f t="shared" si="10"/>
        <v>1988</v>
      </c>
      <c r="BF18">
        <f t="shared" si="15"/>
        <v>1989</v>
      </c>
      <c r="BI18" s="948">
        <v>1988</v>
      </c>
      <c r="BJ18" s="701">
        <f t="shared" si="16"/>
        <v>0</v>
      </c>
      <c r="BK18" s="701">
        <f t="shared" si="17"/>
        <v>1884.7718681318684</v>
      </c>
      <c r="BL18" s="701">
        <f t="shared" si="19"/>
        <v>26647.007500000007</v>
      </c>
      <c r="BM18" s="701">
        <f t="shared" si="20"/>
        <v>3039.5849157437497</v>
      </c>
      <c r="BN18" s="947">
        <f t="shared" si="18"/>
        <v>31571.364283875628</v>
      </c>
    </row>
    <row r="19" spans="1:66" x14ac:dyDescent="0.3">
      <c r="A19" s="425" t="s">
        <v>373</v>
      </c>
      <c r="B19" s="427">
        <v>1995</v>
      </c>
      <c r="C19" s="795">
        <f t="shared" si="0"/>
        <v>1895.8645554290395</v>
      </c>
      <c r="D19" s="796">
        <f t="shared" si="1"/>
        <v>2359.5021343596281</v>
      </c>
      <c r="E19" s="796">
        <f t="shared" si="2"/>
        <v>266.24732255419929</v>
      </c>
      <c r="F19" s="796">
        <f t="shared" si="3"/>
        <v>59.676124020768796</v>
      </c>
      <c r="G19" s="796">
        <f t="shared" si="4"/>
        <v>0</v>
      </c>
      <c r="H19" s="796">
        <f t="shared" si="5"/>
        <v>0</v>
      </c>
      <c r="I19" s="796">
        <f t="shared" si="6"/>
        <v>0</v>
      </c>
      <c r="J19" s="797">
        <f t="shared" si="7"/>
        <v>0</v>
      </c>
      <c r="K19" s="451">
        <v>4581.2901363636356</v>
      </c>
      <c r="L19" s="460" t="s">
        <v>1176</v>
      </c>
      <c r="M19" s="239" t="s">
        <v>245</v>
      </c>
      <c r="N19" s="473"/>
      <c r="O19" s="235"/>
      <c r="P19" s="234"/>
      <c r="Q19" s="473"/>
      <c r="R19" s="235"/>
      <c r="S19" s="234"/>
      <c r="T19" s="473"/>
      <c r="U19" s="235"/>
      <c r="V19" s="234"/>
      <c r="W19" s="473"/>
      <c r="X19" s="235"/>
      <c r="Y19" s="234"/>
      <c r="Z19" s="473"/>
      <c r="AA19" s="235"/>
      <c r="AB19" s="234"/>
      <c r="AC19" s="473"/>
      <c r="AD19" s="235"/>
      <c r="AE19" s="234"/>
      <c r="AF19" s="473"/>
      <c r="AG19" s="235"/>
      <c r="AH19" s="234"/>
      <c r="AI19" s="429"/>
      <c r="AJ19" s="235"/>
      <c r="AK19" s="241" t="str">
        <f t="shared" si="8"/>
        <v/>
      </c>
      <c r="AL19" s="477" t="str">
        <f t="shared" si="9"/>
        <v/>
      </c>
      <c r="AM19" s="279" t="str">
        <f t="shared" si="9"/>
        <v/>
      </c>
      <c r="AN19" s="305"/>
      <c r="AO19" s="439"/>
      <c r="AP19" s="431"/>
      <c r="AQ19" s="322"/>
      <c r="AR19" s="323"/>
      <c r="AS19" s="322"/>
      <c r="AT19" s="323"/>
      <c r="AU19" s="397"/>
      <c r="AV19" s="396"/>
      <c r="AW19" s="327" t="s">
        <v>377</v>
      </c>
      <c r="AX19" s="453" t="s">
        <v>376</v>
      </c>
      <c r="AY19">
        <f t="shared" si="11"/>
        <v>1992</v>
      </c>
      <c r="AZ19">
        <f t="shared" si="12"/>
        <v>1991</v>
      </c>
      <c r="BA19">
        <f t="shared" si="12"/>
        <v>1991</v>
      </c>
      <c r="BB19">
        <f t="shared" si="13"/>
        <v>1990</v>
      </c>
      <c r="BC19">
        <f t="shared" si="13"/>
        <v>1990</v>
      </c>
      <c r="BD19">
        <f t="shared" si="14"/>
        <v>1989</v>
      </c>
      <c r="BE19">
        <f t="shared" si="10"/>
        <v>1989</v>
      </c>
      <c r="BF19">
        <f t="shared" si="15"/>
        <v>1990</v>
      </c>
      <c r="BI19" s="948">
        <v>1989</v>
      </c>
      <c r="BJ19" s="701">
        <f t="shared" si="16"/>
        <v>0</v>
      </c>
      <c r="BK19" s="701">
        <f t="shared" si="17"/>
        <v>1413.3433599999998</v>
      </c>
      <c r="BL19" s="701">
        <f t="shared" si="19"/>
        <v>15232.383552447553</v>
      </c>
      <c r="BM19" s="701">
        <f t="shared" si="20"/>
        <v>5608.1497727272736</v>
      </c>
      <c r="BN19" s="947">
        <f t="shared" si="18"/>
        <v>22253.876685174826</v>
      </c>
    </row>
    <row r="20" spans="1:66" x14ac:dyDescent="0.3">
      <c r="A20" s="425" t="s">
        <v>373</v>
      </c>
      <c r="B20" s="427">
        <v>1996</v>
      </c>
      <c r="C20" s="795">
        <f t="shared" si="0"/>
        <v>1294.6552524319995</v>
      </c>
      <c r="D20" s="796">
        <f t="shared" si="1"/>
        <v>14633.011339987994</v>
      </c>
      <c r="E20" s="796">
        <f t="shared" si="2"/>
        <v>0</v>
      </c>
      <c r="F20" s="796">
        <f t="shared" si="3"/>
        <v>647.32762621599977</v>
      </c>
      <c r="G20" s="796">
        <f t="shared" si="4"/>
        <v>459.94331336399983</v>
      </c>
      <c r="H20" s="796">
        <f t="shared" si="5"/>
        <v>0</v>
      </c>
      <c r="I20" s="796">
        <f t="shared" si="6"/>
        <v>0</v>
      </c>
      <c r="J20" s="797">
        <f t="shared" si="7"/>
        <v>0</v>
      </c>
      <c r="K20" s="451">
        <v>17034.937531999996</v>
      </c>
      <c r="L20" s="460" t="s">
        <v>1176</v>
      </c>
      <c r="M20" s="239" t="s">
        <v>245</v>
      </c>
      <c r="N20" s="473"/>
      <c r="O20" s="235"/>
      <c r="P20" s="234"/>
      <c r="Q20" s="473"/>
      <c r="R20" s="235"/>
      <c r="S20" s="234"/>
      <c r="T20" s="473"/>
      <c r="U20" s="235"/>
      <c r="V20" s="234"/>
      <c r="W20" s="473"/>
      <c r="X20" s="235"/>
      <c r="Y20" s="234"/>
      <c r="Z20" s="473"/>
      <c r="AA20" s="235"/>
      <c r="AB20" s="234"/>
      <c r="AC20" s="473"/>
      <c r="AD20" s="235"/>
      <c r="AE20" s="234"/>
      <c r="AF20" s="473"/>
      <c r="AG20" s="235"/>
      <c r="AH20" s="234"/>
      <c r="AI20" s="429"/>
      <c r="AJ20" s="235"/>
      <c r="AK20" s="241" t="str">
        <f t="shared" si="8"/>
        <v/>
      </c>
      <c r="AL20" s="477" t="str">
        <f t="shared" si="9"/>
        <v/>
      </c>
      <c r="AM20" s="279" t="str">
        <f t="shared" si="9"/>
        <v/>
      </c>
      <c r="AN20" s="305"/>
      <c r="AO20" s="439"/>
      <c r="AP20" s="431"/>
      <c r="AQ20" s="322"/>
      <c r="AR20" s="323"/>
      <c r="AS20" s="322"/>
      <c r="AT20" s="323"/>
      <c r="AU20" s="397"/>
      <c r="AV20" s="396"/>
      <c r="AW20" s="327" t="s">
        <v>377</v>
      </c>
      <c r="AX20" s="453" t="s">
        <v>376</v>
      </c>
      <c r="AY20">
        <f t="shared" si="11"/>
        <v>1993</v>
      </c>
      <c r="AZ20">
        <f t="shared" si="12"/>
        <v>1992</v>
      </c>
      <c r="BA20">
        <f t="shared" si="12"/>
        <v>1992</v>
      </c>
      <c r="BB20">
        <f t="shared" si="13"/>
        <v>1991</v>
      </c>
      <c r="BC20">
        <f t="shared" si="13"/>
        <v>1991</v>
      </c>
      <c r="BD20">
        <f t="shared" si="14"/>
        <v>1990</v>
      </c>
      <c r="BE20">
        <f t="shared" si="14"/>
        <v>1990</v>
      </c>
      <c r="BF20">
        <f t="shared" si="15"/>
        <v>1991</v>
      </c>
      <c r="BI20" s="948">
        <v>1990</v>
      </c>
      <c r="BJ20" s="701">
        <f t="shared" si="16"/>
        <v>0</v>
      </c>
      <c r="BK20" s="701">
        <f t="shared" si="17"/>
        <v>59.676124020768796</v>
      </c>
      <c r="BL20" s="701">
        <f t="shared" si="19"/>
        <v>280.69196800000003</v>
      </c>
      <c r="BM20" s="701">
        <f t="shared" si="20"/>
        <v>0</v>
      </c>
      <c r="BN20" s="947">
        <f t="shared" si="18"/>
        <v>340.36809202076881</v>
      </c>
    </row>
    <row r="21" spans="1:66" x14ac:dyDescent="0.3">
      <c r="A21" s="425" t="s">
        <v>373</v>
      </c>
      <c r="B21" s="427">
        <v>1997</v>
      </c>
      <c r="C21" s="795">
        <f t="shared" si="0"/>
        <v>0</v>
      </c>
      <c r="D21" s="796">
        <f t="shared" si="1"/>
        <v>11480.04402996</v>
      </c>
      <c r="E21" s="796">
        <f t="shared" si="2"/>
        <v>107.96279651999998</v>
      </c>
      <c r="F21" s="796">
        <f t="shared" si="3"/>
        <v>407.85945351999999</v>
      </c>
      <c r="G21" s="796">
        <f t="shared" si="4"/>
        <v>0</v>
      </c>
      <c r="H21" s="796">
        <f t="shared" si="5"/>
        <v>0</v>
      </c>
      <c r="I21" s="796">
        <f t="shared" si="6"/>
        <v>0</v>
      </c>
      <c r="J21" s="797">
        <f t="shared" si="7"/>
        <v>0</v>
      </c>
      <c r="K21" s="451">
        <v>11995.866279999998</v>
      </c>
      <c r="L21" s="460" t="s">
        <v>1176</v>
      </c>
      <c r="M21" s="239" t="s">
        <v>245</v>
      </c>
      <c r="N21" s="473"/>
      <c r="O21" s="235"/>
      <c r="P21" s="234"/>
      <c r="Q21" s="473"/>
      <c r="R21" s="235"/>
      <c r="S21" s="234"/>
      <c r="T21" s="473"/>
      <c r="U21" s="235"/>
      <c r="V21" s="234"/>
      <c r="W21" s="473"/>
      <c r="X21" s="235"/>
      <c r="Y21" s="234"/>
      <c r="Z21" s="473"/>
      <c r="AA21" s="235"/>
      <c r="AB21" s="234"/>
      <c r="AC21" s="473"/>
      <c r="AD21" s="235"/>
      <c r="AE21" s="234"/>
      <c r="AF21" s="473"/>
      <c r="AG21" s="235"/>
      <c r="AH21" s="234"/>
      <c r="AI21" s="429"/>
      <c r="AJ21" s="235"/>
      <c r="AK21" s="241" t="str">
        <f t="shared" si="8"/>
        <v/>
      </c>
      <c r="AL21" s="477" t="str">
        <f t="shared" si="9"/>
        <v/>
      </c>
      <c r="AM21" s="279" t="str">
        <f t="shared" si="9"/>
        <v/>
      </c>
      <c r="AN21" s="305"/>
      <c r="AO21" s="439"/>
      <c r="AP21" s="431"/>
      <c r="AQ21" s="322"/>
      <c r="AR21" s="323"/>
      <c r="AS21" s="322"/>
      <c r="AT21" s="323"/>
      <c r="AU21" s="397"/>
      <c r="AV21" s="396"/>
      <c r="AW21" s="327" t="s">
        <v>377</v>
      </c>
      <c r="AX21" s="453" t="s">
        <v>376</v>
      </c>
      <c r="AY21">
        <f t="shared" si="11"/>
        <v>1994</v>
      </c>
      <c r="AZ21">
        <f t="shared" si="12"/>
        <v>1993</v>
      </c>
      <c r="BA21">
        <f t="shared" si="12"/>
        <v>1993</v>
      </c>
      <c r="BB21">
        <f t="shared" si="13"/>
        <v>1992</v>
      </c>
      <c r="BC21">
        <f t="shared" si="13"/>
        <v>1992</v>
      </c>
      <c r="BD21">
        <f t="shared" si="14"/>
        <v>1991</v>
      </c>
      <c r="BE21">
        <f t="shared" si="14"/>
        <v>1991</v>
      </c>
      <c r="BF21">
        <f t="shared" si="15"/>
        <v>1992</v>
      </c>
      <c r="BI21" s="948">
        <v>1991</v>
      </c>
      <c r="BJ21" s="701">
        <f t="shared" si="16"/>
        <v>0</v>
      </c>
      <c r="BK21" s="701">
        <f t="shared" si="17"/>
        <v>1107.2709395799995</v>
      </c>
      <c r="BL21" s="701">
        <f t="shared" si="19"/>
        <v>2625.7494569138275</v>
      </c>
      <c r="BM21" s="701">
        <f t="shared" si="20"/>
        <v>282.66867199999996</v>
      </c>
      <c r="BN21" s="947">
        <f t="shared" si="18"/>
        <v>4015.6890684938271</v>
      </c>
    </row>
    <row r="22" spans="1:66" x14ac:dyDescent="0.3">
      <c r="A22" s="425" t="s">
        <v>373</v>
      </c>
      <c r="B22" s="427">
        <v>1998</v>
      </c>
      <c r="C22" s="798">
        <f t="shared" si="0"/>
        <v>196.53080202000001</v>
      </c>
      <c r="D22" s="799">
        <f t="shared" si="1"/>
        <v>2925.7132602600004</v>
      </c>
      <c r="E22" s="800">
        <f t="shared" si="2"/>
        <v>0</v>
      </c>
      <c r="F22" s="799">
        <f t="shared" si="3"/>
        <v>585.88427772</v>
      </c>
      <c r="G22" s="799">
        <f t="shared" si="4"/>
        <v>0</v>
      </c>
      <c r="H22" s="796">
        <f t="shared" si="5"/>
        <v>0</v>
      </c>
      <c r="I22" s="796">
        <f t="shared" si="6"/>
        <v>0</v>
      </c>
      <c r="J22" s="797">
        <f t="shared" si="7"/>
        <v>0</v>
      </c>
      <c r="K22" s="451">
        <v>3708.1283400000002</v>
      </c>
      <c r="L22" s="460" t="s">
        <v>1176</v>
      </c>
      <c r="M22" s="239" t="s">
        <v>245</v>
      </c>
      <c r="N22" s="473"/>
      <c r="O22" s="235"/>
      <c r="P22" s="234"/>
      <c r="Q22" s="473"/>
      <c r="R22" s="235"/>
      <c r="S22" s="234"/>
      <c r="T22" s="473"/>
      <c r="U22" s="235"/>
      <c r="V22" s="234"/>
      <c r="W22" s="473"/>
      <c r="X22" s="235"/>
      <c r="Y22" s="234"/>
      <c r="Z22" s="473"/>
      <c r="AA22" s="235"/>
      <c r="AB22" s="234"/>
      <c r="AC22" s="473"/>
      <c r="AD22" s="235"/>
      <c r="AE22" s="234"/>
      <c r="AF22" s="473"/>
      <c r="AG22" s="235"/>
      <c r="AH22" s="234"/>
      <c r="AI22" s="429"/>
      <c r="AJ22" s="235"/>
      <c r="AK22" s="241" t="str">
        <f t="shared" si="8"/>
        <v/>
      </c>
      <c r="AL22" s="477" t="str">
        <f t="shared" si="9"/>
        <v/>
      </c>
      <c r="AM22" s="279" t="str">
        <f t="shared" si="9"/>
        <v/>
      </c>
      <c r="AN22" s="305"/>
      <c r="AO22" s="439"/>
      <c r="AP22" s="431"/>
      <c r="AQ22" s="322"/>
      <c r="AR22" s="323"/>
      <c r="AS22" s="322"/>
      <c r="AT22" s="323"/>
      <c r="AU22" s="397"/>
      <c r="AV22" s="699" t="s">
        <v>254</v>
      </c>
      <c r="AW22" s="327" t="s">
        <v>377</v>
      </c>
      <c r="AX22" s="453" t="s">
        <v>376</v>
      </c>
      <c r="AY22">
        <f t="shared" si="11"/>
        <v>1995</v>
      </c>
      <c r="AZ22">
        <f t="shared" si="12"/>
        <v>1994</v>
      </c>
      <c r="BA22">
        <f t="shared" si="12"/>
        <v>1994</v>
      </c>
      <c r="BB22">
        <f t="shared" si="13"/>
        <v>1993</v>
      </c>
      <c r="BC22">
        <f t="shared" si="13"/>
        <v>1993</v>
      </c>
      <c r="BD22">
        <f t="shared" si="14"/>
        <v>1992</v>
      </c>
      <c r="BE22">
        <f t="shared" si="14"/>
        <v>1992</v>
      </c>
      <c r="BF22">
        <f t="shared" si="15"/>
        <v>1993</v>
      </c>
      <c r="BI22" s="948">
        <v>1992</v>
      </c>
      <c r="BJ22" s="701">
        <f t="shared" si="16"/>
        <v>0</v>
      </c>
      <c r="BK22" s="701">
        <f t="shared" si="17"/>
        <v>407.85945351999999</v>
      </c>
      <c r="BL22" s="701">
        <f t="shared" si="19"/>
        <v>14633.011339987994</v>
      </c>
      <c r="BM22" s="701">
        <f t="shared" si="20"/>
        <v>1895.8645554290395</v>
      </c>
      <c r="BN22" s="947">
        <f t="shared" si="18"/>
        <v>16936.735348937033</v>
      </c>
    </row>
    <row r="23" spans="1:66" x14ac:dyDescent="0.3">
      <c r="A23" s="425" t="s">
        <v>373</v>
      </c>
      <c r="B23" s="427">
        <v>1999</v>
      </c>
      <c r="C23" s="798">
        <f t="shared" si="0"/>
        <v>643.22877122877128</v>
      </c>
      <c r="D23" s="799">
        <f t="shared" si="1"/>
        <v>4790.3616383616381</v>
      </c>
      <c r="E23" s="799">
        <f t="shared" si="2"/>
        <v>214.40959040959044</v>
      </c>
      <c r="F23" s="800">
        <f t="shared" si="3"/>
        <v>0</v>
      </c>
      <c r="G23" s="800">
        <f t="shared" si="4"/>
        <v>0</v>
      </c>
      <c r="H23" s="796">
        <f t="shared" si="5"/>
        <v>0</v>
      </c>
      <c r="I23" s="796">
        <f t="shared" si="6"/>
        <v>0</v>
      </c>
      <c r="J23" s="797">
        <f t="shared" si="7"/>
        <v>0</v>
      </c>
      <c r="K23" s="451">
        <v>5648</v>
      </c>
      <c r="L23" s="460" t="s">
        <v>1176</v>
      </c>
      <c r="M23" s="239" t="s">
        <v>245</v>
      </c>
      <c r="N23" s="473"/>
      <c r="O23" s="235"/>
      <c r="P23" s="234"/>
      <c r="Q23" s="473"/>
      <c r="R23" s="235"/>
      <c r="S23" s="234"/>
      <c r="T23" s="473"/>
      <c r="U23" s="235"/>
      <c r="V23" s="234"/>
      <c r="W23" s="473"/>
      <c r="X23" s="235"/>
      <c r="Y23" s="234"/>
      <c r="Z23" s="473"/>
      <c r="AA23" s="235"/>
      <c r="AB23" s="234"/>
      <c r="AC23" s="473"/>
      <c r="AD23" s="235"/>
      <c r="AE23" s="234"/>
      <c r="AF23" s="473"/>
      <c r="AG23" s="235"/>
      <c r="AH23" s="234"/>
      <c r="AI23" s="429"/>
      <c r="AJ23" s="235"/>
      <c r="AK23" s="241" t="str">
        <f t="shared" si="8"/>
        <v/>
      </c>
      <c r="AL23" s="477" t="str">
        <f t="shared" si="9"/>
        <v/>
      </c>
      <c r="AM23" s="279" t="str">
        <f t="shared" si="9"/>
        <v/>
      </c>
      <c r="AN23" s="305"/>
      <c r="AO23" s="439"/>
      <c r="AP23" s="431"/>
      <c r="AQ23" s="322"/>
      <c r="AR23" s="323"/>
      <c r="AS23" s="322"/>
      <c r="AT23" s="323"/>
      <c r="AU23" s="397"/>
      <c r="AV23" s="396" t="s">
        <v>245</v>
      </c>
      <c r="AW23" s="327" t="s">
        <v>377</v>
      </c>
      <c r="AX23" s="453" t="s">
        <v>376</v>
      </c>
      <c r="AY23">
        <f t="shared" si="11"/>
        <v>1996</v>
      </c>
      <c r="AZ23">
        <f t="shared" si="12"/>
        <v>1995</v>
      </c>
      <c r="BA23">
        <f t="shared" si="12"/>
        <v>1995</v>
      </c>
      <c r="BB23">
        <f t="shared" si="13"/>
        <v>1994</v>
      </c>
      <c r="BC23">
        <f t="shared" si="13"/>
        <v>1994</v>
      </c>
      <c r="BD23">
        <f t="shared" si="14"/>
        <v>1993</v>
      </c>
      <c r="BE23">
        <f t="shared" si="14"/>
        <v>1993</v>
      </c>
      <c r="BF23">
        <f t="shared" si="15"/>
        <v>1994</v>
      </c>
      <c r="BI23" s="948">
        <v>1993</v>
      </c>
      <c r="BJ23" s="701">
        <f t="shared" si="16"/>
        <v>0</v>
      </c>
      <c r="BK23" s="701">
        <f t="shared" si="17"/>
        <v>585.88427772</v>
      </c>
      <c r="BL23" s="701">
        <f t="shared" si="19"/>
        <v>11588.006826479999</v>
      </c>
      <c r="BM23" s="701">
        <f t="shared" si="20"/>
        <v>1294.6552524319995</v>
      </c>
      <c r="BN23" s="947">
        <f t="shared" si="18"/>
        <v>13468.546356632</v>
      </c>
    </row>
    <row r="24" spans="1:66" x14ac:dyDescent="0.3">
      <c r="A24" s="425" t="s">
        <v>373</v>
      </c>
      <c r="B24" s="427">
        <v>2000</v>
      </c>
      <c r="C24" s="798">
        <f t="shared" si="0"/>
        <v>3801.5899999999992</v>
      </c>
      <c r="D24" s="799">
        <f t="shared" si="1"/>
        <v>24564.119999999992</v>
      </c>
      <c r="E24" s="799">
        <f t="shared" si="2"/>
        <v>292.42999999999995</v>
      </c>
      <c r="F24" s="799">
        <f t="shared" si="3"/>
        <v>292.42999999999995</v>
      </c>
      <c r="G24" s="799">
        <f t="shared" si="4"/>
        <v>292.42999999999995</v>
      </c>
      <c r="H24" s="796">
        <f t="shared" si="5"/>
        <v>0</v>
      </c>
      <c r="I24" s="796">
        <f t="shared" si="6"/>
        <v>0</v>
      </c>
      <c r="J24" s="797">
        <f t="shared" si="7"/>
        <v>0</v>
      </c>
      <c r="K24" s="451">
        <v>29243</v>
      </c>
      <c r="L24" s="460" t="s">
        <v>1176</v>
      </c>
      <c r="M24" s="239" t="s">
        <v>245</v>
      </c>
      <c r="N24" s="473"/>
      <c r="O24" s="235"/>
      <c r="P24" s="234"/>
      <c r="Q24" s="473"/>
      <c r="R24" s="235"/>
      <c r="S24" s="234"/>
      <c r="T24" s="473"/>
      <c r="U24" s="235"/>
      <c r="V24" s="234"/>
      <c r="W24" s="473"/>
      <c r="X24" s="235"/>
      <c r="Y24" s="234"/>
      <c r="Z24" s="473"/>
      <c r="AA24" s="235"/>
      <c r="AB24" s="234"/>
      <c r="AC24" s="473"/>
      <c r="AD24" s="235"/>
      <c r="AE24" s="234"/>
      <c r="AF24" s="473"/>
      <c r="AG24" s="235"/>
      <c r="AH24" s="234"/>
      <c r="AI24" s="429"/>
      <c r="AJ24" s="235"/>
      <c r="AK24" s="241" t="str">
        <f t="shared" si="8"/>
        <v/>
      </c>
      <c r="AL24" s="477" t="str">
        <f t="shared" si="9"/>
        <v/>
      </c>
      <c r="AM24" s="279" t="str">
        <f t="shared" si="9"/>
        <v/>
      </c>
      <c r="AN24" s="305"/>
      <c r="AO24" s="439"/>
      <c r="AP24" s="431"/>
      <c r="AQ24" s="322"/>
      <c r="AR24" s="323"/>
      <c r="AS24" s="322"/>
      <c r="AT24" s="323"/>
      <c r="AU24" s="397"/>
      <c r="AV24" s="396" t="s">
        <v>245</v>
      </c>
      <c r="AW24" s="327" t="s">
        <v>377</v>
      </c>
      <c r="AX24" s="453" t="s">
        <v>376</v>
      </c>
      <c r="AY24">
        <f t="shared" si="11"/>
        <v>1997</v>
      </c>
      <c r="AZ24">
        <f t="shared" si="12"/>
        <v>1996</v>
      </c>
      <c r="BA24">
        <f t="shared" si="12"/>
        <v>1996</v>
      </c>
      <c r="BB24">
        <f t="shared" si="13"/>
        <v>1995</v>
      </c>
      <c r="BC24">
        <f t="shared" si="13"/>
        <v>1995</v>
      </c>
      <c r="BD24">
        <f t="shared" si="14"/>
        <v>1994</v>
      </c>
      <c r="BE24">
        <f t="shared" si="14"/>
        <v>1994</v>
      </c>
      <c r="BF24">
        <f t="shared" si="15"/>
        <v>1995</v>
      </c>
      <c r="BI24" s="948">
        <v>1994</v>
      </c>
      <c r="BJ24" s="701">
        <f t="shared" si="16"/>
        <v>0</v>
      </c>
      <c r="BK24" s="701">
        <f t="shared" si="17"/>
        <v>0</v>
      </c>
      <c r="BL24" s="701">
        <f t="shared" si="19"/>
        <v>2925.7132602600004</v>
      </c>
      <c r="BM24" s="701">
        <f t="shared" si="20"/>
        <v>0</v>
      </c>
      <c r="BN24" s="947">
        <f t="shared" si="18"/>
        <v>2925.7132602600004</v>
      </c>
    </row>
    <row r="25" spans="1:66" x14ac:dyDescent="0.3">
      <c r="A25" s="425" t="s">
        <v>373</v>
      </c>
      <c r="B25" s="427">
        <v>2001</v>
      </c>
      <c r="C25" s="798">
        <f t="shared" si="0"/>
        <v>1383.4381317626351</v>
      </c>
      <c r="D25" s="799">
        <f t="shared" si="1"/>
        <v>39574.71504193719</v>
      </c>
      <c r="E25" s="799">
        <f t="shared" si="2"/>
        <v>20.541960138293671</v>
      </c>
      <c r="F25" s="799">
        <f t="shared" si="3"/>
        <v>922.2920878417566</v>
      </c>
      <c r="G25" s="799">
        <f t="shared" si="4"/>
        <v>20.541960138293671</v>
      </c>
      <c r="H25" s="796">
        <f t="shared" si="5"/>
        <v>0</v>
      </c>
      <c r="I25" s="796">
        <f t="shared" si="6"/>
        <v>0</v>
      </c>
      <c r="J25" s="797">
        <f t="shared" si="7"/>
        <v>0</v>
      </c>
      <c r="K25" s="451">
        <v>41921.529181818179</v>
      </c>
      <c r="L25" s="460" t="s">
        <v>1176</v>
      </c>
      <c r="M25" s="239" t="s">
        <v>245</v>
      </c>
      <c r="N25" s="473"/>
      <c r="O25" s="235"/>
      <c r="P25" s="234"/>
      <c r="Q25" s="473"/>
      <c r="R25" s="235"/>
      <c r="S25" s="234"/>
      <c r="T25" s="473"/>
      <c r="U25" s="235"/>
      <c r="V25" s="234"/>
      <c r="W25" s="473"/>
      <c r="X25" s="235"/>
      <c r="Y25" s="234"/>
      <c r="Z25" s="473"/>
      <c r="AA25" s="235"/>
      <c r="AB25" s="234"/>
      <c r="AC25" s="473"/>
      <c r="AD25" s="235"/>
      <c r="AE25" s="234"/>
      <c r="AF25" s="473"/>
      <c r="AG25" s="235"/>
      <c r="AH25" s="234"/>
      <c r="AI25" s="429"/>
      <c r="AJ25" s="235"/>
      <c r="AK25" s="241" t="str">
        <f t="shared" si="8"/>
        <v/>
      </c>
      <c r="AL25" s="477" t="str">
        <f t="shared" si="9"/>
        <v/>
      </c>
      <c r="AM25" s="279" t="str">
        <f t="shared" si="9"/>
        <v/>
      </c>
      <c r="AN25" s="305"/>
      <c r="AO25" s="439"/>
      <c r="AP25" s="431"/>
      <c r="AQ25" s="322"/>
      <c r="AR25" s="323"/>
      <c r="AS25" s="322"/>
      <c r="AT25" s="323"/>
      <c r="AU25" s="397"/>
      <c r="AV25" s="396" t="s">
        <v>245</v>
      </c>
      <c r="AW25" s="327" t="s">
        <v>377</v>
      </c>
      <c r="AX25" s="453" t="s">
        <v>376</v>
      </c>
      <c r="AY25">
        <f t="shared" si="11"/>
        <v>1998</v>
      </c>
      <c r="AZ25">
        <f t="shared" si="12"/>
        <v>1997</v>
      </c>
      <c r="BA25">
        <f t="shared" si="12"/>
        <v>1997</v>
      </c>
      <c r="BB25">
        <f t="shared" si="13"/>
        <v>1996</v>
      </c>
      <c r="BC25">
        <f t="shared" si="13"/>
        <v>1996</v>
      </c>
      <c r="BD25">
        <f t="shared" si="14"/>
        <v>1995</v>
      </c>
      <c r="BE25">
        <f t="shared" si="14"/>
        <v>1995</v>
      </c>
      <c r="BF25">
        <f t="shared" si="15"/>
        <v>1996</v>
      </c>
      <c r="BI25" s="948">
        <v>1995</v>
      </c>
      <c r="BJ25" s="701">
        <f t="shared" si="16"/>
        <v>0</v>
      </c>
      <c r="BK25" s="701">
        <f t="shared" si="17"/>
        <v>584.8599999999999</v>
      </c>
      <c r="BL25" s="701">
        <f t="shared" si="19"/>
        <v>5004.7712287712284</v>
      </c>
      <c r="BM25" s="701">
        <f t="shared" si="20"/>
        <v>196.53080202000001</v>
      </c>
      <c r="BN25" s="947">
        <f t="shared" si="18"/>
        <v>5786.1620307912281</v>
      </c>
    </row>
    <row r="26" spans="1:66" x14ac:dyDescent="0.3">
      <c r="A26" s="425" t="s">
        <v>373</v>
      </c>
      <c r="B26" s="427">
        <v>2002</v>
      </c>
      <c r="C26" s="801">
        <f t="shared" si="0"/>
        <v>97.960000000000008</v>
      </c>
      <c r="D26" s="802">
        <f t="shared" si="1"/>
        <v>2434.306</v>
      </c>
      <c r="E26" s="802">
        <f t="shared" si="2"/>
        <v>63.673999999999999</v>
      </c>
      <c r="F26" s="802">
        <f t="shared" si="3"/>
        <v>724.904</v>
      </c>
      <c r="G26" s="802">
        <f t="shared" si="4"/>
        <v>1082.4580000000001</v>
      </c>
      <c r="H26" s="803">
        <f t="shared" si="5"/>
        <v>0</v>
      </c>
      <c r="I26" s="796">
        <f t="shared" si="6"/>
        <v>494.69800000000004</v>
      </c>
      <c r="J26" s="797">
        <f t="shared" si="7"/>
        <v>0</v>
      </c>
      <c r="K26" s="471">
        <v>4898</v>
      </c>
      <c r="L26" s="460" t="s">
        <v>1176</v>
      </c>
      <c r="M26" s="239" t="s">
        <v>245</v>
      </c>
      <c r="N26" s="473"/>
      <c r="O26" s="235"/>
      <c r="P26" s="234"/>
      <c r="Q26" s="473"/>
      <c r="R26" s="235"/>
      <c r="S26" s="234"/>
      <c r="T26" s="473"/>
      <c r="U26" s="235"/>
      <c r="V26" s="234"/>
      <c r="W26" s="473"/>
      <c r="X26" s="235"/>
      <c r="Y26" s="234"/>
      <c r="Z26" s="473"/>
      <c r="AA26" s="235"/>
      <c r="AB26" s="234"/>
      <c r="AC26" s="473"/>
      <c r="AD26" s="235"/>
      <c r="AE26" s="234"/>
      <c r="AF26" s="473"/>
      <c r="AG26" s="235"/>
      <c r="AH26" s="234"/>
      <c r="AI26" s="429"/>
      <c r="AJ26" s="235"/>
      <c r="AK26" s="241" t="str">
        <f t="shared" si="8"/>
        <v/>
      </c>
      <c r="AL26" s="477" t="str">
        <f t="shared" si="9"/>
        <v/>
      </c>
      <c r="AM26" s="279" t="str">
        <f t="shared" si="9"/>
        <v/>
      </c>
      <c r="AN26" s="305"/>
      <c r="AO26" s="439"/>
      <c r="AP26" s="431"/>
      <c r="AQ26" s="322"/>
      <c r="AR26" s="323"/>
      <c r="AS26" s="322"/>
      <c r="AT26" s="323"/>
      <c r="AU26" s="397"/>
      <c r="AV26" s="396" t="s">
        <v>245</v>
      </c>
      <c r="AW26" s="327" t="s">
        <v>377</v>
      </c>
      <c r="AX26" s="453" t="s">
        <v>376</v>
      </c>
      <c r="AY26">
        <f t="shared" si="11"/>
        <v>1999</v>
      </c>
      <c r="AZ26">
        <f t="shared" si="12"/>
        <v>1998</v>
      </c>
      <c r="BA26">
        <f t="shared" si="12"/>
        <v>1998</v>
      </c>
      <c r="BB26">
        <f t="shared" si="13"/>
        <v>1997</v>
      </c>
      <c r="BC26">
        <f t="shared" si="13"/>
        <v>1997</v>
      </c>
      <c r="BD26">
        <f t="shared" si="14"/>
        <v>1996</v>
      </c>
      <c r="BE26">
        <f t="shared" si="14"/>
        <v>1996</v>
      </c>
      <c r="BF26">
        <f t="shared" si="15"/>
        <v>1997</v>
      </c>
      <c r="BI26" s="948">
        <v>1996</v>
      </c>
      <c r="BJ26" s="701">
        <f t="shared" si="16"/>
        <v>494.69800000000004</v>
      </c>
      <c r="BK26" s="701">
        <f t="shared" si="17"/>
        <v>942.83404798005029</v>
      </c>
      <c r="BL26" s="701">
        <f t="shared" si="19"/>
        <v>24856.549999999992</v>
      </c>
      <c r="BM26" s="701">
        <f t="shared" si="20"/>
        <v>643.22877122877128</v>
      </c>
      <c r="BN26" s="947">
        <f t="shared" si="18"/>
        <v>26937.310819208815</v>
      </c>
    </row>
    <row r="27" spans="1:66" x14ac:dyDescent="0.3">
      <c r="A27" s="425" t="s">
        <v>373</v>
      </c>
      <c r="B27" s="427">
        <v>2003</v>
      </c>
      <c r="C27" s="798">
        <f t="shared" si="0"/>
        <v>982.08085106382975</v>
      </c>
      <c r="D27" s="799">
        <f t="shared" si="1"/>
        <v>14731.212765957447</v>
      </c>
      <c r="E27" s="799">
        <f t="shared" si="2"/>
        <v>0</v>
      </c>
      <c r="F27" s="799">
        <f t="shared" si="3"/>
        <v>2039.7063829787235</v>
      </c>
      <c r="G27" s="799">
        <f t="shared" si="4"/>
        <v>0</v>
      </c>
      <c r="H27" s="796">
        <f t="shared" si="5"/>
        <v>0</v>
      </c>
      <c r="I27" s="796">
        <f t="shared" si="6"/>
        <v>0</v>
      </c>
      <c r="J27" s="804">
        <f t="shared" si="7"/>
        <v>0</v>
      </c>
      <c r="K27" s="471">
        <v>17753</v>
      </c>
      <c r="L27" s="460" t="s">
        <v>1176</v>
      </c>
      <c r="M27" s="239" t="s">
        <v>245</v>
      </c>
      <c r="N27" s="473"/>
      <c r="O27" s="235"/>
      <c r="P27" s="234"/>
      <c r="Q27" s="473"/>
      <c r="R27" s="235"/>
      <c r="S27" s="234"/>
      <c r="T27" s="473"/>
      <c r="U27" s="235"/>
      <c r="V27" s="234"/>
      <c r="W27" s="473"/>
      <c r="X27" s="235"/>
      <c r="Y27" s="234"/>
      <c r="Z27" s="473"/>
      <c r="AA27" s="235"/>
      <c r="AB27" s="234"/>
      <c r="AC27" s="473"/>
      <c r="AD27" s="235"/>
      <c r="AE27" s="234"/>
      <c r="AF27" s="473"/>
      <c r="AG27" s="235"/>
      <c r="AH27" s="234"/>
      <c r="AI27" s="473"/>
      <c r="AJ27" s="235"/>
      <c r="AK27" s="241" t="str">
        <f t="shared" si="8"/>
        <v/>
      </c>
      <c r="AL27" s="477" t="str">
        <f t="shared" si="9"/>
        <v/>
      </c>
      <c r="AM27" s="279" t="str">
        <f t="shared" si="9"/>
        <v/>
      </c>
      <c r="AN27" s="305"/>
      <c r="AO27" s="439"/>
      <c r="AP27" s="431"/>
      <c r="AQ27" s="322"/>
      <c r="AR27" s="323"/>
      <c r="AS27" s="322"/>
      <c r="AT27" s="323"/>
      <c r="AU27" s="397"/>
      <c r="AV27" s="699" t="s">
        <v>263</v>
      </c>
      <c r="AW27" s="327" t="s">
        <v>377</v>
      </c>
      <c r="AX27" s="453" t="s">
        <v>376</v>
      </c>
      <c r="AY27">
        <f t="shared" si="11"/>
        <v>2000</v>
      </c>
      <c r="AZ27">
        <f t="shared" si="12"/>
        <v>1999</v>
      </c>
      <c r="BA27">
        <f t="shared" si="12"/>
        <v>1999</v>
      </c>
      <c r="BB27">
        <f t="shared" si="13"/>
        <v>1998</v>
      </c>
      <c r="BC27">
        <f t="shared" si="13"/>
        <v>1998</v>
      </c>
      <c r="BD27">
        <f t="shared" si="14"/>
        <v>1997</v>
      </c>
      <c r="BE27">
        <f t="shared" si="14"/>
        <v>1997</v>
      </c>
      <c r="BF27">
        <f t="shared" si="15"/>
        <v>1998</v>
      </c>
      <c r="BI27" s="948">
        <v>1997</v>
      </c>
      <c r="BJ27" s="701">
        <f t="shared" si="16"/>
        <v>0</v>
      </c>
      <c r="BK27" s="701">
        <f t="shared" si="17"/>
        <v>1807.3620000000001</v>
      </c>
      <c r="BL27" s="701">
        <f t="shared" si="19"/>
        <v>39595.257002075487</v>
      </c>
      <c r="BM27" s="701">
        <f t="shared" si="20"/>
        <v>3801.5899999999992</v>
      </c>
      <c r="BN27" s="947">
        <f t="shared" si="18"/>
        <v>45204.209002075484</v>
      </c>
    </row>
    <row r="28" spans="1:66" x14ac:dyDescent="0.3">
      <c r="A28" s="425" t="s">
        <v>373</v>
      </c>
      <c r="B28" s="427">
        <v>2004</v>
      </c>
      <c r="C28" s="798">
        <f t="shared" si="0"/>
        <v>1100.6578411405296</v>
      </c>
      <c r="D28" s="799">
        <f t="shared" si="1"/>
        <v>39623.682281059067</v>
      </c>
      <c r="E28" s="799">
        <f t="shared" si="2"/>
        <v>0</v>
      </c>
      <c r="F28" s="800">
        <f t="shared" si="3"/>
        <v>761.99389002036662</v>
      </c>
      <c r="G28" s="799">
        <f t="shared" si="4"/>
        <v>84.665987780040723</v>
      </c>
      <c r="H28" s="796">
        <f t="shared" si="5"/>
        <v>0</v>
      </c>
      <c r="I28" s="796">
        <f t="shared" si="6"/>
        <v>0</v>
      </c>
      <c r="J28" s="797">
        <f t="shared" si="7"/>
        <v>0</v>
      </c>
      <c r="K28" s="451">
        <v>41571</v>
      </c>
      <c r="L28" s="460" t="s">
        <v>1176</v>
      </c>
      <c r="M28" s="239" t="s">
        <v>245</v>
      </c>
      <c r="N28" s="473"/>
      <c r="O28" s="235"/>
      <c r="P28" s="234"/>
      <c r="Q28" s="473"/>
      <c r="R28" s="235"/>
      <c r="S28" s="234"/>
      <c r="T28" s="473"/>
      <c r="U28" s="235"/>
      <c r="V28" s="234"/>
      <c r="W28" s="473"/>
      <c r="X28" s="235"/>
      <c r="Y28" s="234"/>
      <c r="Z28" s="473"/>
      <c r="AA28" s="235"/>
      <c r="AB28" s="234"/>
      <c r="AC28" s="473"/>
      <c r="AD28" s="235"/>
      <c r="AE28" s="234"/>
      <c r="AF28" s="473"/>
      <c r="AG28" s="235"/>
      <c r="AH28" s="234"/>
      <c r="AI28" s="473"/>
      <c r="AJ28" s="235"/>
      <c r="AK28" s="241" t="str">
        <f t="shared" si="8"/>
        <v/>
      </c>
      <c r="AL28" s="477" t="str">
        <f t="shared" si="9"/>
        <v/>
      </c>
      <c r="AM28" s="279" t="str">
        <f t="shared" si="9"/>
        <v/>
      </c>
      <c r="AN28" s="305"/>
      <c r="AO28" s="439"/>
      <c r="AP28" s="431"/>
      <c r="AQ28" s="322"/>
      <c r="AR28" s="323"/>
      <c r="AS28" s="322"/>
      <c r="AT28" s="323"/>
      <c r="AU28" s="397"/>
      <c r="AV28" s="396"/>
      <c r="AW28" s="327" t="s">
        <v>377</v>
      </c>
      <c r="AX28" s="453" t="s">
        <v>376</v>
      </c>
      <c r="AY28">
        <f t="shared" si="11"/>
        <v>2001</v>
      </c>
      <c r="AZ28">
        <f t="shared" si="12"/>
        <v>2000</v>
      </c>
      <c r="BA28">
        <f t="shared" si="12"/>
        <v>2000</v>
      </c>
      <c r="BB28">
        <f t="shared" si="13"/>
        <v>1999</v>
      </c>
      <c r="BC28">
        <f t="shared" si="13"/>
        <v>1999</v>
      </c>
      <c r="BD28">
        <f t="shared" si="14"/>
        <v>1998</v>
      </c>
      <c r="BE28">
        <f t="shared" si="14"/>
        <v>1998</v>
      </c>
      <c r="BF28">
        <f t="shared" si="15"/>
        <v>1999</v>
      </c>
      <c r="BI28" s="948">
        <v>1998</v>
      </c>
      <c r="BJ28" s="701">
        <f t="shared" si="16"/>
        <v>0</v>
      </c>
      <c r="BK28" s="701">
        <f t="shared" si="17"/>
        <v>2039.7063829787235</v>
      </c>
      <c r="BL28" s="701">
        <f t="shared" si="19"/>
        <v>2497.98</v>
      </c>
      <c r="BM28" s="701">
        <f t="shared" si="20"/>
        <v>1383.4381317626351</v>
      </c>
      <c r="BN28" s="947">
        <f t="shared" si="18"/>
        <v>5921.1245147413583</v>
      </c>
    </row>
    <row r="29" spans="1:66" x14ac:dyDescent="0.3">
      <c r="A29" s="425" t="s">
        <v>373</v>
      </c>
      <c r="B29" s="427">
        <v>2005</v>
      </c>
      <c r="C29" s="798">
        <f t="shared" si="0"/>
        <v>115.0948905109489</v>
      </c>
      <c r="D29" s="799">
        <f t="shared" si="1"/>
        <v>30385.051094890514</v>
      </c>
      <c r="E29" s="799">
        <f t="shared" si="2"/>
        <v>0</v>
      </c>
      <c r="F29" s="799">
        <f t="shared" si="3"/>
        <v>920.7591240875912</v>
      </c>
      <c r="G29" s="799">
        <f t="shared" si="4"/>
        <v>115.0948905109489</v>
      </c>
      <c r="H29" s="796">
        <f t="shared" si="5"/>
        <v>0</v>
      </c>
      <c r="I29" s="796">
        <f t="shared" si="6"/>
        <v>0</v>
      </c>
      <c r="J29" s="797">
        <f t="shared" si="7"/>
        <v>0</v>
      </c>
      <c r="K29" s="451">
        <v>31536</v>
      </c>
      <c r="L29" s="460" t="s">
        <v>1176</v>
      </c>
      <c r="M29" s="239" t="s">
        <v>245</v>
      </c>
      <c r="N29" s="473"/>
      <c r="O29" s="235"/>
      <c r="P29" s="234"/>
      <c r="Q29" s="473"/>
      <c r="R29" s="235"/>
      <c r="S29" s="234"/>
      <c r="T29" s="473"/>
      <c r="U29" s="235"/>
      <c r="V29" s="234"/>
      <c r="W29" s="473"/>
      <c r="X29" s="235"/>
      <c r="Y29" s="234"/>
      <c r="Z29" s="473"/>
      <c r="AA29" s="235"/>
      <c r="AB29" s="234"/>
      <c r="AC29" s="473"/>
      <c r="AD29" s="235"/>
      <c r="AE29" s="234"/>
      <c r="AF29" s="473"/>
      <c r="AG29" s="235"/>
      <c r="AH29" s="234"/>
      <c r="AI29" s="429"/>
      <c r="AJ29" s="235"/>
      <c r="AK29" s="241" t="str">
        <f t="shared" si="8"/>
        <v/>
      </c>
      <c r="AL29" s="477" t="str">
        <f t="shared" si="9"/>
        <v/>
      </c>
      <c r="AM29" s="279" t="str">
        <f t="shared" si="9"/>
        <v/>
      </c>
      <c r="AN29" s="305"/>
      <c r="AO29" s="439"/>
      <c r="AP29" s="431"/>
      <c r="AQ29" s="322"/>
      <c r="AR29" s="323"/>
      <c r="AS29" s="322"/>
      <c r="AT29" s="323"/>
      <c r="AU29" s="397"/>
      <c r="AV29" s="396" t="s">
        <v>245</v>
      </c>
      <c r="AW29" s="327" t="s">
        <v>377</v>
      </c>
      <c r="AX29" s="453" t="s">
        <v>376</v>
      </c>
      <c r="AY29">
        <f t="shared" si="11"/>
        <v>2002</v>
      </c>
      <c r="AZ29">
        <f t="shared" si="12"/>
        <v>2001</v>
      </c>
      <c r="BA29">
        <f t="shared" si="12"/>
        <v>2001</v>
      </c>
      <c r="BB29">
        <f t="shared" si="13"/>
        <v>2000</v>
      </c>
      <c r="BC29">
        <f t="shared" si="13"/>
        <v>2000</v>
      </c>
      <c r="BD29">
        <f t="shared" si="14"/>
        <v>1999</v>
      </c>
      <c r="BE29">
        <f t="shared" si="14"/>
        <v>1999</v>
      </c>
      <c r="BF29">
        <f t="shared" si="15"/>
        <v>2000</v>
      </c>
      <c r="BI29" s="948">
        <v>1999</v>
      </c>
      <c r="BJ29" s="701">
        <f t="shared" si="16"/>
        <v>0</v>
      </c>
      <c r="BK29" s="701">
        <f t="shared" si="17"/>
        <v>846.65987780040734</v>
      </c>
      <c r="BL29" s="701">
        <f t="shared" si="19"/>
        <v>14731.212765957447</v>
      </c>
      <c r="BM29" s="701">
        <f t="shared" si="20"/>
        <v>97.960000000000008</v>
      </c>
      <c r="BN29" s="947">
        <f t="shared" si="18"/>
        <v>15675.832643757854</v>
      </c>
    </row>
    <row r="30" spans="1:66" x14ac:dyDescent="0.3">
      <c r="A30" s="425" t="s">
        <v>373</v>
      </c>
      <c r="B30" s="427">
        <v>2006</v>
      </c>
      <c r="C30" s="798">
        <f t="shared" si="0"/>
        <v>49.569047619047623</v>
      </c>
      <c r="D30" s="799">
        <f t="shared" si="1"/>
        <v>18390.116666666665</v>
      </c>
      <c r="E30" s="799">
        <f t="shared" si="2"/>
        <v>0</v>
      </c>
      <c r="F30" s="799">
        <f t="shared" si="3"/>
        <v>2280.1761904761906</v>
      </c>
      <c r="G30" s="799">
        <f t="shared" si="4"/>
        <v>99.138095238095246</v>
      </c>
      <c r="H30" s="799">
        <f t="shared" si="5"/>
        <v>0</v>
      </c>
      <c r="I30" s="796">
        <f t="shared" si="6"/>
        <v>0</v>
      </c>
      <c r="J30" s="797">
        <f t="shared" si="7"/>
        <v>0</v>
      </c>
      <c r="K30" s="451">
        <v>20819</v>
      </c>
      <c r="L30" s="460" t="s">
        <v>1176</v>
      </c>
      <c r="M30" s="239" t="s">
        <v>245</v>
      </c>
      <c r="N30" s="473"/>
      <c r="O30" s="235"/>
      <c r="P30" s="234"/>
      <c r="Q30" s="473"/>
      <c r="R30" s="235"/>
      <c r="S30" s="234"/>
      <c r="T30" s="473"/>
      <c r="U30" s="235"/>
      <c r="V30" s="234"/>
      <c r="W30" s="473"/>
      <c r="X30" s="235"/>
      <c r="Y30" s="234"/>
      <c r="Z30" s="473"/>
      <c r="AA30" s="235"/>
      <c r="AB30" s="234"/>
      <c r="AC30" s="473"/>
      <c r="AD30" s="235"/>
      <c r="AE30" s="234"/>
      <c r="AF30" s="473"/>
      <c r="AG30" s="235"/>
      <c r="AH30" s="234"/>
      <c r="AI30" s="429"/>
      <c r="AJ30" s="235"/>
      <c r="AK30" s="241" t="str">
        <f t="shared" si="8"/>
        <v/>
      </c>
      <c r="AL30" s="477" t="str">
        <f t="shared" si="9"/>
        <v/>
      </c>
      <c r="AM30" s="279" t="str">
        <f t="shared" si="9"/>
        <v/>
      </c>
      <c r="AN30" s="305"/>
      <c r="AO30" s="439"/>
      <c r="AP30" s="431"/>
      <c r="AQ30" s="322"/>
      <c r="AR30" s="323"/>
      <c r="AS30" s="322"/>
      <c r="AT30" s="323"/>
      <c r="AU30" s="397"/>
      <c r="AV30" s="396" t="s">
        <v>245</v>
      </c>
      <c r="AW30" s="327" t="s">
        <v>377</v>
      </c>
      <c r="AX30" s="453" t="s">
        <v>376</v>
      </c>
      <c r="AY30">
        <f t="shared" si="11"/>
        <v>2003</v>
      </c>
      <c r="AZ30">
        <f t="shared" si="12"/>
        <v>2002</v>
      </c>
      <c r="BA30">
        <f t="shared" si="12"/>
        <v>2002</v>
      </c>
      <c r="BB30">
        <f t="shared" si="13"/>
        <v>2001</v>
      </c>
      <c r="BC30">
        <f t="shared" si="13"/>
        <v>2001</v>
      </c>
      <c r="BD30">
        <f t="shared" si="14"/>
        <v>2000</v>
      </c>
      <c r="BE30">
        <f t="shared" si="14"/>
        <v>2000</v>
      </c>
      <c r="BF30">
        <f t="shared" si="15"/>
        <v>2001</v>
      </c>
      <c r="BI30" s="948">
        <v>2000</v>
      </c>
      <c r="BJ30" s="701">
        <f t="shared" si="16"/>
        <v>0</v>
      </c>
      <c r="BK30" s="701">
        <f t="shared" si="17"/>
        <v>1035.8540145985401</v>
      </c>
      <c r="BL30" s="701">
        <f t="shared" si="19"/>
        <v>39623.682281059067</v>
      </c>
      <c r="BM30" s="701">
        <f t="shared" si="20"/>
        <v>982.08085106382975</v>
      </c>
      <c r="BN30" s="947">
        <f t="shared" si="18"/>
        <v>41641.617146721437</v>
      </c>
    </row>
    <row r="31" spans="1:66" x14ac:dyDescent="0.3">
      <c r="A31" s="425" t="s">
        <v>373</v>
      </c>
      <c r="B31" s="427">
        <v>2007</v>
      </c>
      <c r="C31" s="798">
        <f t="shared" si="0"/>
        <v>3325.9445643377398</v>
      </c>
      <c r="D31" s="799">
        <f t="shared" si="1"/>
        <v>7052.6053412462916</v>
      </c>
      <c r="E31" s="799">
        <f t="shared" si="2"/>
        <v>1001.7905314270299</v>
      </c>
      <c r="F31" s="799">
        <f t="shared" si="3"/>
        <v>1963.5094415969786</v>
      </c>
      <c r="G31" s="799">
        <f t="shared" si="4"/>
        <v>120.2148637712436</v>
      </c>
      <c r="H31" s="799">
        <f t="shared" si="5"/>
        <v>40.071621257081198</v>
      </c>
      <c r="I31" s="796">
        <f t="shared" si="6"/>
        <v>0</v>
      </c>
      <c r="J31" s="797">
        <f t="shared" si="7"/>
        <v>0</v>
      </c>
      <c r="K31" s="451">
        <v>13504.136363636364</v>
      </c>
      <c r="L31" s="460" t="s">
        <v>1176</v>
      </c>
      <c r="M31" s="239" t="s">
        <v>245</v>
      </c>
      <c r="N31" s="473"/>
      <c r="O31" s="235"/>
      <c r="P31" s="234"/>
      <c r="Q31" s="473"/>
      <c r="R31" s="235"/>
      <c r="S31" s="234"/>
      <c r="T31" s="473"/>
      <c r="U31" s="235"/>
      <c r="V31" s="234"/>
      <c r="W31" s="473"/>
      <c r="X31" s="235"/>
      <c r="Y31" s="234"/>
      <c r="Z31" s="473"/>
      <c r="AA31" s="235"/>
      <c r="AB31" s="234"/>
      <c r="AC31" s="473"/>
      <c r="AD31" s="235"/>
      <c r="AE31" s="234"/>
      <c r="AF31" s="473"/>
      <c r="AG31" s="235"/>
      <c r="AH31" s="234"/>
      <c r="AI31" s="429"/>
      <c r="AJ31" s="235"/>
      <c r="AK31" s="241" t="str">
        <f t="shared" si="8"/>
        <v/>
      </c>
      <c r="AL31" s="477" t="str">
        <f t="shared" si="9"/>
        <v/>
      </c>
      <c r="AM31" s="279" t="str">
        <f t="shared" si="9"/>
        <v/>
      </c>
      <c r="AN31" s="305"/>
      <c r="AO31" s="439"/>
      <c r="AP31" s="431"/>
      <c r="AQ31" s="322"/>
      <c r="AR31" s="323"/>
      <c r="AS31" s="322"/>
      <c r="AT31" s="323"/>
      <c r="AU31" s="397"/>
      <c r="AV31" s="396" t="s">
        <v>245</v>
      </c>
      <c r="AW31" s="327" t="s">
        <v>377</v>
      </c>
      <c r="AX31" s="453" t="s">
        <v>376</v>
      </c>
      <c r="AY31">
        <f t="shared" si="11"/>
        <v>2004</v>
      </c>
      <c r="AZ31">
        <f t="shared" si="12"/>
        <v>2003</v>
      </c>
      <c r="BA31">
        <f t="shared" si="12"/>
        <v>2003</v>
      </c>
      <c r="BB31">
        <f t="shared" si="13"/>
        <v>2002</v>
      </c>
      <c r="BC31">
        <f t="shared" si="13"/>
        <v>2002</v>
      </c>
      <c r="BD31">
        <f t="shared" si="14"/>
        <v>2001</v>
      </c>
      <c r="BE31">
        <f t="shared" si="14"/>
        <v>2001</v>
      </c>
      <c r="BF31">
        <f t="shared" si="15"/>
        <v>2002</v>
      </c>
      <c r="BI31" s="948">
        <v>2001</v>
      </c>
      <c r="BJ31" s="701">
        <f t="shared" si="16"/>
        <v>40.071621257081198</v>
      </c>
      <c r="BK31" s="701">
        <f t="shared" si="17"/>
        <v>2379.3142857142857</v>
      </c>
      <c r="BL31" s="701">
        <f t="shared" si="19"/>
        <v>30385.051094890514</v>
      </c>
      <c r="BM31" s="701">
        <f t="shared" si="20"/>
        <v>1100.6578411405296</v>
      </c>
      <c r="BN31" s="947">
        <f t="shared" si="18"/>
        <v>33905.094843002407</v>
      </c>
    </row>
    <row r="32" spans="1:66" x14ac:dyDescent="0.3">
      <c r="A32" s="425" t="s">
        <v>373</v>
      </c>
      <c r="B32" s="427">
        <v>2008</v>
      </c>
      <c r="C32" s="798">
        <f t="shared" si="0"/>
        <v>5072.0640928109542</v>
      </c>
      <c r="D32" s="799">
        <f t="shared" si="1"/>
        <v>120661.73526055535</v>
      </c>
      <c r="E32" s="799">
        <f t="shared" si="2"/>
        <v>0</v>
      </c>
      <c r="F32" s="799">
        <f t="shared" si="3"/>
        <v>1334.7537086344616</v>
      </c>
      <c r="G32" s="799">
        <f t="shared" si="4"/>
        <v>533.90148345378464</v>
      </c>
      <c r="H32" s="799">
        <f t="shared" si="5"/>
        <v>0</v>
      </c>
      <c r="I32" s="796">
        <f t="shared" si="6"/>
        <v>0</v>
      </c>
      <c r="J32" s="797">
        <f t="shared" si="7"/>
        <v>0</v>
      </c>
      <c r="K32" s="451">
        <v>127602.45454545454</v>
      </c>
      <c r="L32" s="460" t="s">
        <v>1176</v>
      </c>
      <c r="M32" s="239" t="s">
        <v>245</v>
      </c>
      <c r="N32" s="473"/>
      <c r="O32" s="235"/>
      <c r="P32" s="234"/>
      <c r="Q32" s="473"/>
      <c r="R32" s="235"/>
      <c r="S32" s="234"/>
      <c r="T32" s="473"/>
      <c r="U32" s="235"/>
      <c r="V32" s="234"/>
      <c r="W32" s="473"/>
      <c r="X32" s="235"/>
      <c r="Y32" s="234"/>
      <c r="Z32" s="473"/>
      <c r="AA32" s="235"/>
      <c r="AB32" s="234"/>
      <c r="AC32" s="473"/>
      <c r="AD32" s="235"/>
      <c r="AE32" s="234"/>
      <c r="AF32" s="473"/>
      <c r="AG32" s="235"/>
      <c r="AH32" s="234"/>
      <c r="AI32" s="429"/>
      <c r="AJ32" s="235"/>
      <c r="AK32" s="241" t="str">
        <f t="shared" si="8"/>
        <v/>
      </c>
      <c r="AL32" s="477" t="str">
        <f t="shared" si="9"/>
        <v/>
      </c>
      <c r="AM32" s="279" t="str">
        <f t="shared" si="9"/>
        <v/>
      </c>
      <c r="AN32" s="305"/>
      <c r="AO32" s="439"/>
      <c r="AP32" s="431"/>
      <c r="AQ32" s="322"/>
      <c r="AR32" s="323"/>
      <c r="AS32" s="322"/>
      <c r="AT32" s="323"/>
      <c r="AU32" s="397"/>
      <c r="AV32" s="396" t="s">
        <v>245</v>
      </c>
      <c r="AW32" s="327" t="s">
        <v>377</v>
      </c>
      <c r="AX32" s="453" t="s">
        <v>376</v>
      </c>
      <c r="AY32">
        <f t="shared" si="11"/>
        <v>2005</v>
      </c>
      <c r="AZ32">
        <f t="shared" si="12"/>
        <v>2004</v>
      </c>
      <c r="BA32">
        <f t="shared" si="12"/>
        <v>2004</v>
      </c>
      <c r="BB32">
        <f t="shared" si="13"/>
        <v>2003</v>
      </c>
      <c r="BC32">
        <f t="shared" si="13"/>
        <v>2003</v>
      </c>
      <c r="BD32">
        <f t="shared" si="14"/>
        <v>2002</v>
      </c>
      <c r="BE32">
        <f t="shared" si="14"/>
        <v>2002</v>
      </c>
      <c r="BF32">
        <f t="shared" si="15"/>
        <v>2003</v>
      </c>
      <c r="BI32" s="948">
        <v>2002</v>
      </c>
      <c r="BJ32" s="701">
        <f t="shared" si="16"/>
        <v>0</v>
      </c>
      <c r="BK32" s="701">
        <f t="shared" si="17"/>
        <v>2083.7243053682223</v>
      </c>
      <c r="BL32" s="701">
        <f t="shared" si="19"/>
        <v>18390.116666666665</v>
      </c>
      <c r="BM32" s="701">
        <f t="shared" si="20"/>
        <v>115.0948905109489</v>
      </c>
      <c r="BN32" s="947">
        <f t="shared" si="18"/>
        <v>20588.935862545834</v>
      </c>
    </row>
    <row r="33" spans="1:66" x14ac:dyDescent="0.3">
      <c r="A33" s="425" t="s">
        <v>373</v>
      </c>
      <c r="B33" s="427">
        <v>2009</v>
      </c>
      <c r="C33" s="798">
        <f t="shared" si="0"/>
        <v>1509.2085561497327</v>
      </c>
      <c r="D33" s="799">
        <f t="shared" si="1"/>
        <v>56406.669786096259</v>
      </c>
      <c r="E33" s="799">
        <f t="shared" si="2"/>
        <v>0</v>
      </c>
      <c r="F33" s="799">
        <f t="shared" si="3"/>
        <v>3773.0213903743315</v>
      </c>
      <c r="G33" s="799">
        <f t="shared" si="4"/>
        <v>2452.4639037433158</v>
      </c>
      <c r="H33" s="799">
        <f t="shared" si="5"/>
        <v>0</v>
      </c>
      <c r="I33" s="796">
        <f t="shared" si="6"/>
        <v>0</v>
      </c>
      <c r="J33" s="797">
        <f t="shared" si="7"/>
        <v>0</v>
      </c>
      <c r="K33" s="451">
        <v>64141.36363636364</v>
      </c>
      <c r="L33" s="460" t="s">
        <v>1176</v>
      </c>
      <c r="M33" s="239" t="s">
        <v>245</v>
      </c>
      <c r="N33" s="473"/>
      <c r="O33" s="235"/>
      <c r="P33" s="234"/>
      <c r="Q33" s="473"/>
      <c r="R33" s="235"/>
      <c r="S33" s="234"/>
      <c r="T33" s="473"/>
      <c r="U33" s="235"/>
      <c r="V33" s="234"/>
      <c r="W33" s="473"/>
      <c r="X33" s="235"/>
      <c r="Y33" s="234"/>
      <c r="Z33" s="473"/>
      <c r="AA33" s="235"/>
      <c r="AB33" s="234"/>
      <c r="AC33" s="473"/>
      <c r="AD33" s="235"/>
      <c r="AE33" s="234"/>
      <c r="AF33" s="473"/>
      <c r="AG33" s="235"/>
      <c r="AH33" s="234"/>
      <c r="AI33" s="429"/>
      <c r="AJ33" s="235"/>
      <c r="AK33" s="241" t="str">
        <f t="shared" si="8"/>
        <v/>
      </c>
      <c r="AL33" s="477" t="str">
        <f t="shared" si="9"/>
        <v/>
      </c>
      <c r="AM33" s="279" t="str">
        <f t="shared" si="9"/>
        <v/>
      </c>
      <c r="AN33" s="305"/>
      <c r="AO33" s="439"/>
      <c r="AP33" s="431"/>
      <c r="AQ33" s="322"/>
      <c r="AR33" s="323"/>
      <c r="AS33" s="322"/>
      <c r="AT33" s="323"/>
      <c r="AU33" s="397"/>
      <c r="AV33" s="396" t="s">
        <v>245</v>
      </c>
      <c r="AW33" s="327" t="s">
        <v>377</v>
      </c>
      <c r="AX33" s="453" t="s">
        <v>376</v>
      </c>
      <c r="AY33">
        <f t="shared" si="11"/>
        <v>2006</v>
      </c>
      <c r="AZ33">
        <f t="shared" si="12"/>
        <v>2005</v>
      </c>
      <c r="BA33">
        <f t="shared" si="12"/>
        <v>2005</v>
      </c>
      <c r="BB33">
        <f t="shared" si="13"/>
        <v>2004</v>
      </c>
      <c r="BC33">
        <f t="shared" si="13"/>
        <v>2004</v>
      </c>
      <c r="BD33">
        <f t="shared" si="14"/>
        <v>2003</v>
      </c>
      <c r="BE33">
        <f t="shared" si="14"/>
        <v>2003</v>
      </c>
      <c r="BF33">
        <f t="shared" si="15"/>
        <v>2004</v>
      </c>
      <c r="BI33" s="948">
        <v>2003</v>
      </c>
      <c r="BJ33" s="701">
        <f t="shared" si="16"/>
        <v>0</v>
      </c>
      <c r="BK33" s="701">
        <f t="shared" si="17"/>
        <v>1868.6551920882462</v>
      </c>
      <c r="BL33" s="701">
        <f t="shared" si="19"/>
        <v>8054.3958726733217</v>
      </c>
      <c r="BM33" s="701">
        <f t="shared" si="20"/>
        <v>49.569047619047623</v>
      </c>
      <c r="BN33" s="947">
        <f t="shared" si="18"/>
        <v>9972.6201123806168</v>
      </c>
    </row>
    <row r="34" spans="1:66" x14ac:dyDescent="0.3">
      <c r="A34" s="425" t="s">
        <v>373</v>
      </c>
      <c r="B34" s="427">
        <v>2010</v>
      </c>
      <c r="C34" s="798">
        <f t="shared" si="0"/>
        <v>1381.4078947368421</v>
      </c>
      <c r="D34" s="799">
        <f t="shared" si="1"/>
        <v>187180.76973684211</v>
      </c>
      <c r="E34" s="799">
        <f t="shared" si="2"/>
        <v>5525.6315789473683</v>
      </c>
      <c r="F34" s="799">
        <f t="shared" si="3"/>
        <v>14504.782894736843</v>
      </c>
      <c r="G34" s="799">
        <f t="shared" si="4"/>
        <v>1381.4078947368421</v>
      </c>
      <c r="H34" s="799">
        <f t="shared" si="5"/>
        <v>0</v>
      </c>
      <c r="I34" s="796">
        <f t="shared" si="6"/>
        <v>0</v>
      </c>
      <c r="J34" s="797">
        <f t="shared" si="7"/>
        <v>0</v>
      </c>
      <c r="K34" s="451">
        <v>209974</v>
      </c>
      <c r="L34" s="460" t="s">
        <v>1176</v>
      </c>
      <c r="M34" s="239" t="s">
        <v>245</v>
      </c>
      <c r="N34" s="473"/>
      <c r="O34" s="235"/>
      <c r="P34" s="234"/>
      <c r="Q34" s="473"/>
      <c r="R34" s="235"/>
      <c r="S34" s="234"/>
      <c r="T34" s="473"/>
      <c r="U34" s="235"/>
      <c r="V34" s="234"/>
      <c r="W34" s="473"/>
      <c r="X34" s="235"/>
      <c r="Y34" s="234"/>
      <c r="Z34" s="473"/>
      <c r="AA34" s="235"/>
      <c r="AB34" s="234"/>
      <c r="AC34" s="473"/>
      <c r="AD34" s="235"/>
      <c r="AE34" s="234"/>
      <c r="AF34" s="473"/>
      <c r="AG34" s="235"/>
      <c r="AH34" s="234"/>
      <c r="AI34" s="429"/>
      <c r="AJ34" s="235"/>
      <c r="AK34" s="241" t="str">
        <f t="shared" si="8"/>
        <v/>
      </c>
      <c r="AL34" s="477" t="str">
        <f t="shared" si="9"/>
        <v/>
      </c>
      <c r="AM34" s="279" t="str">
        <f t="shared" si="9"/>
        <v/>
      </c>
      <c r="AN34" s="305"/>
      <c r="AO34" s="439"/>
      <c r="AP34" s="431"/>
      <c r="AQ34" s="322"/>
      <c r="AR34" s="323"/>
      <c r="AS34" s="322"/>
      <c r="AT34" s="323"/>
      <c r="AU34" s="397"/>
      <c r="AV34" s="699" t="s">
        <v>272</v>
      </c>
      <c r="AW34" s="327" t="s">
        <v>377</v>
      </c>
      <c r="AX34" s="453" t="s">
        <v>376</v>
      </c>
      <c r="AY34">
        <f t="shared" si="11"/>
        <v>2007</v>
      </c>
      <c r="AZ34">
        <f t="shared" si="12"/>
        <v>2006</v>
      </c>
      <c r="BA34">
        <f t="shared" si="12"/>
        <v>2006</v>
      </c>
      <c r="BB34">
        <f t="shared" si="13"/>
        <v>2005</v>
      </c>
      <c r="BC34">
        <f t="shared" si="13"/>
        <v>2005</v>
      </c>
      <c r="BD34">
        <f t="shared" si="14"/>
        <v>2004</v>
      </c>
      <c r="BE34">
        <f t="shared" si="14"/>
        <v>2004</v>
      </c>
      <c r="BF34">
        <f t="shared" si="15"/>
        <v>2005</v>
      </c>
      <c r="BI34" s="948">
        <v>2004</v>
      </c>
      <c r="BJ34" s="701">
        <f t="shared" si="16"/>
        <v>0</v>
      </c>
      <c r="BK34" s="701">
        <f t="shared" si="17"/>
        <v>6225.4852941176468</v>
      </c>
      <c r="BL34" s="701">
        <f t="shared" si="19"/>
        <v>120661.73526055535</v>
      </c>
      <c r="BM34" s="701">
        <f t="shared" si="20"/>
        <v>3325.9445643377398</v>
      </c>
      <c r="BN34" s="947">
        <f t="shared" si="18"/>
        <v>130213.16511901074</v>
      </c>
    </row>
    <row r="35" spans="1:66" x14ac:dyDescent="0.3">
      <c r="A35" s="425" t="s">
        <v>373</v>
      </c>
      <c r="B35" s="427">
        <v>2011</v>
      </c>
      <c r="C35" s="798">
        <f t="shared" si="0"/>
        <v>11880.874316939891</v>
      </c>
      <c r="D35" s="799">
        <f t="shared" si="1"/>
        <v>62374.590163934423</v>
      </c>
      <c r="E35" s="799">
        <f t="shared" si="2"/>
        <v>212.15846994535519</v>
      </c>
      <c r="F35" s="799">
        <f t="shared" si="3"/>
        <v>3182.3770491803275</v>
      </c>
      <c r="G35" s="799">
        <f t="shared" si="4"/>
        <v>0</v>
      </c>
      <c r="H35" s="799">
        <f t="shared" si="5"/>
        <v>0</v>
      </c>
      <c r="I35" s="796">
        <f t="shared" si="6"/>
        <v>0</v>
      </c>
      <c r="J35" s="797">
        <f t="shared" si="7"/>
        <v>0</v>
      </c>
      <c r="K35" s="451">
        <v>77650</v>
      </c>
      <c r="L35" s="460" t="s">
        <v>1176</v>
      </c>
      <c r="M35" s="239" t="s">
        <v>245</v>
      </c>
      <c r="N35" s="473"/>
      <c r="O35" s="235"/>
      <c r="P35" s="234"/>
      <c r="Q35" s="473"/>
      <c r="R35" s="235"/>
      <c r="S35" s="234"/>
      <c r="T35" s="473"/>
      <c r="U35" s="235"/>
      <c r="V35" s="234"/>
      <c r="W35" s="473"/>
      <c r="X35" s="235"/>
      <c r="Y35" s="234"/>
      <c r="Z35" s="473"/>
      <c r="AA35" s="235"/>
      <c r="AB35" s="234"/>
      <c r="AC35" s="473"/>
      <c r="AD35" s="235"/>
      <c r="AE35" s="234"/>
      <c r="AF35" s="473"/>
      <c r="AG35" s="235"/>
      <c r="AH35" s="234"/>
      <c r="AI35" s="429"/>
      <c r="AJ35" s="235"/>
      <c r="AK35" s="241" t="str">
        <f t="shared" si="8"/>
        <v/>
      </c>
      <c r="AL35" s="477" t="str">
        <f t="shared" si="9"/>
        <v/>
      </c>
      <c r="AM35" s="279" t="str">
        <f t="shared" si="9"/>
        <v/>
      </c>
      <c r="AN35" s="305"/>
      <c r="AO35" s="439"/>
      <c r="AP35" s="431"/>
      <c r="AQ35" s="322"/>
      <c r="AR35" s="323"/>
      <c r="AS35" s="322"/>
      <c r="AT35" s="323"/>
      <c r="AU35" s="397"/>
      <c r="AV35" s="396"/>
      <c r="AW35" s="327" t="s">
        <v>377</v>
      </c>
      <c r="AX35" s="453" t="s">
        <v>376</v>
      </c>
      <c r="AY35">
        <f t="shared" si="11"/>
        <v>2008</v>
      </c>
      <c r="AZ35">
        <f t="shared" si="12"/>
        <v>2007</v>
      </c>
      <c r="BA35">
        <f t="shared" si="12"/>
        <v>2007</v>
      </c>
      <c r="BB35">
        <f t="shared" si="13"/>
        <v>2006</v>
      </c>
      <c r="BC35">
        <f t="shared" si="13"/>
        <v>2006</v>
      </c>
      <c r="BD35">
        <f t="shared" si="14"/>
        <v>2005</v>
      </c>
      <c r="BE35">
        <f t="shared" si="14"/>
        <v>2005</v>
      </c>
      <c r="BF35">
        <f t="shared" si="15"/>
        <v>2006</v>
      </c>
      <c r="BI35" s="948">
        <v>2005</v>
      </c>
      <c r="BJ35" s="701">
        <f t="shared" si="16"/>
        <v>0</v>
      </c>
      <c r="BK35" s="701">
        <f t="shared" si="17"/>
        <v>15886.190789473685</v>
      </c>
      <c r="BL35" s="701">
        <f t="shared" si="19"/>
        <v>56406.669786096259</v>
      </c>
      <c r="BM35" s="701">
        <f t="shared" si="20"/>
        <v>5072.0640928109542</v>
      </c>
      <c r="BN35" s="947">
        <f t="shared" si="18"/>
        <v>77364.924668380889</v>
      </c>
    </row>
    <row r="36" spans="1:66" x14ac:dyDescent="0.3">
      <c r="A36" s="425" t="s">
        <v>373</v>
      </c>
      <c r="B36" s="427">
        <v>2012</v>
      </c>
      <c r="C36" s="798">
        <f t="shared" si="0"/>
        <v>240.59160660311557</v>
      </c>
      <c r="D36" s="799">
        <f t="shared" si="1"/>
        <v>91905.993722390136</v>
      </c>
      <c r="E36" s="799">
        <f t="shared" si="2"/>
        <v>721.7748198093467</v>
      </c>
      <c r="F36" s="799">
        <f t="shared" si="3"/>
        <v>962.36642641246226</v>
      </c>
      <c r="G36" s="799">
        <f t="shared" si="4"/>
        <v>240.59160660311557</v>
      </c>
      <c r="H36" s="799">
        <f t="shared" si="5"/>
        <v>0</v>
      </c>
      <c r="I36" s="796">
        <f t="shared" si="6"/>
        <v>0</v>
      </c>
      <c r="J36" s="797">
        <f t="shared" si="7"/>
        <v>0</v>
      </c>
      <c r="K36" s="451">
        <v>94071.318181818177</v>
      </c>
      <c r="L36" s="460" t="s">
        <v>1176</v>
      </c>
      <c r="M36" s="239" t="s">
        <v>245</v>
      </c>
      <c r="N36" s="473"/>
      <c r="O36" s="235"/>
      <c r="P36" s="234"/>
      <c r="Q36" s="473"/>
      <c r="R36" s="235"/>
      <c r="S36" s="234"/>
      <c r="T36" s="473"/>
      <c r="U36" s="235"/>
      <c r="V36" s="234"/>
      <c r="W36" s="473"/>
      <c r="X36" s="235"/>
      <c r="Y36" s="234"/>
      <c r="Z36" s="473"/>
      <c r="AA36" s="235"/>
      <c r="AB36" s="234"/>
      <c r="AC36" s="473"/>
      <c r="AD36" s="235"/>
      <c r="AE36" s="234"/>
      <c r="AF36" s="473"/>
      <c r="AG36" s="235"/>
      <c r="AH36" s="234"/>
      <c r="AI36" s="429"/>
      <c r="AJ36" s="235"/>
      <c r="AK36" s="241" t="str">
        <f t="shared" si="8"/>
        <v/>
      </c>
      <c r="AL36" s="477" t="str">
        <f t="shared" si="9"/>
        <v/>
      </c>
      <c r="AM36" s="279" t="str">
        <f t="shared" si="9"/>
        <v/>
      </c>
      <c r="AN36" s="305"/>
      <c r="AO36" s="439"/>
      <c r="AP36" s="431"/>
      <c r="AQ36" s="322"/>
      <c r="AR36" s="323"/>
      <c r="AS36" s="322"/>
      <c r="AT36" s="323"/>
      <c r="AU36" s="397"/>
      <c r="AV36" s="396" t="s">
        <v>245</v>
      </c>
      <c r="AW36" s="327" t="s">
        <v>377</v>
      </c>
      <c r="AX36" s="453" t="s">
        <v>376</v>
      </c>
      <c r="AY36">
        <f t="shared" si="11"/>
        <v>2009</v>
      </c>
      <c r="AZ36">
        <f t="shared" si="12"/>
        <v>2008</v>
      </c>
      <c r="BA36">
        <f t="shared" si="12"/>
        <v>2008</v>
      </c>
      <c r="BB36">
        <f t="shared" si="13"/>
        <v>2007</v>
      </c>
      <c r="BC36">
        <f t="shared" si="13"/>
        <v>2007</v>
      </c>
      <c r="BD36">
        <f t="shared" si="14"/>
        <v>2006</v>
      </c>
      <c r="BE36">
        <f t="shared" si="14"/>
        <v>2006</v>
      </c>
      <c r="BF36">
        <f t="shared" si="15"/>
        <v>2007</v>
      </c>
      <c r="BI36" s="948">
        <v>2006</v>
      </c>
      <c r="BJ36" s="701">
        <f t="shared" si="16"/>
        <v>0</v>
      </c>
      <c r="BK36" s="701">
        <f t="shared" si="17"/>
        <v>3182.3770491803275</v>
      </c>
      <c r="BL36" s="701">
        <f t="shared" si="19"/>
        <v>192706.40131578947</v>
      </c>
      <c r="BM36" s="701">
        <f t="shared" si="20"/>
        <v>1509.2085561497327</v>
      </c>
      <c r="BN36" s="947">
        <f t="shared" si="18"/>
        <v>197397.98692111953</v>
      </c>
    </row>
    <row r="37" spans="1:66" x14ac:dyDescent="0.3">
      <c r="A37" s="425" t="s">
        <v>373</v>
      </c>
      <c r="B37" s="427">
        <v>2013</v>
      </c>
      <c r="C37" s="798">
        <f t="shared" si="0"/>
        <v>6589.6738197424893</v>
      </c>
      <c r="D37" s="799">
        <f t="shared" si="1"/>
        <v>24162.137339055796</v>
      </c>
      <c r="E37" s="799">
        <f t="shared" si="2"/>
        <v>1098.2789699570815</v>
      </c>
      <c r="F37" s="799">
        <f t="shared" si="3"/>
        <v>1098.2789699570815</v>
      </c>
      <c r="G37" s="799">
        <f t="shared" si="4"/>
        <v>3608.6309012875536</v>
      </c>
      <c r="H37" s="799">
        <f t="shared" si="5"/>
        <v>0</v>
      </c>
      <c r="I37" s="796">
        <f t="shared" si="6"/>
        <v>0</v>
      </c>
      <c r="J37" s="797">
        <f t="shared" si="7"/>
        <v>0</v>
      </c>
      <c r="K37" s="451">
        <v>36557</v>
      </c>
      <c r="L37" s="460" t="s">
        <v>1176</v>
      </c>
      <c r="M37" s="239" t="s">
        <v>245</v>
      </c>
      <c r="N37" s="473"/>
      <c r="O37" s="235"/>
      <c r="P37" s="234"/>
      <c r="Q37" s="473"/>
      <c r="R37" s="235"/>
      <c r="S37" s="234"/>
      <c r="T37" s="473"/>
      <c r="U37" s="235"/>
      <c r="V37" s="234"/>
      <c r="W37" s="473"/>
      <c r="X37" s="235"/>
      <c r="Y37" s="234"/>
      <c r="Z37" s="473"/>
      <c r="AA37" s="235"/>
      <c r="AB37" s="234"/>
      <c r="AC37" s="473"/>
      <c r="AD37" s="235"/>
      <c r="AE37" s="234"/>
      <c r="AF37" s="473"/>
      <c r="AG37" s="235"/>
      <c r="AH37" s="234"/>
      <c r="AI37" s="429"/>
      <c r="AJ37" s="235"/>
      <c r="AK37" s="241" t="str">
        <f t="shared" si="8"/>
        <v/>
      </c>
      <c r="AL37" s="477" t="str">
        <f t="shared" si="9"/>
        <v/>
      </c>
      <c r="AM37" s="279" t="str">
        <f t="shared" si="9"/>
        <v/>
      </c>
      <c r="AN37" s="305"/>
      <c r="AO37" s="439"/>
      <c r="AP37" s="431"/>
      <c r="AQ37" s="322"/>
      <c r="AR37" s="323"/>
      <c r="AS37" s="322"/>
      <c r="AT37" s="323"/>
      <c r="AU37" s="397"/>
      <c r="AV37" s="396" t="s">
        <v>245</v>
      </c>
      <c r="AW37" s="327" t="s">
        <v>377</v>
      </c>
      <c r="AX37" s="453" t="s">
        <v>376</v>
      </c>
      <c r="AY37">
        <f t="shared" si="11"/>
        <v>2010</v>
      </c>
      <c r="AZ37">
        <f t="shared" si="12"/>
        <v>2009</v>
      </c>
      <c r="BA37">
        <f t="shared" si="12"/>
        <v>2009</v>
      </c>
      <c r="BB37">
        <f t="shared" si="13"/>
        <v>2008</v>
      </c>
      <c r="BC37">
        <f t="shared" si="13"/>
        <v>2008</v>
      </c>
      <c r="BD37">
        <f t="shared" si="14"/>
        <v>2007</v>
      </c>
      <c r="BE37">
        <f t="shared" si="14"/>
        <v>2007</v>
      </c>
      <c r="BF37">
        <f t="shared" si="15"/>
        <v>2008</v>
      </c>
      <c r="BI37" s="948">
        <v>2007</v>
      </c>
      <c r="BJ37" s="701">
        <f t="shared" si="16"/>
        <v>0</v>
      </c>
      <c r="BK37" s="701">
        <f t="shared" si="17"/>
        <v>1202.9580330155777</v>
      </c>
      <c r="BL37" s="701">
        <f t="shared" si="19"/>
        <v>62586.748633879775</v>
      </c>
      <c r="BM37" s="701">
        <f t="shared" si="20"/>
        <v>1381.4078947368421</v>
      </c>
      <c r="BN37" s="947">
        <f t="shared" si="18"/>
        <v>65171.114561632196</v>
      </c>
    </row>
    <row r="38" spans="1:66" x14ac:dyDescent="0.3">
      <c r="A38" s="425" t="s">
        <v>373</v>
      </c>
      <c r="B38" s="427">
        <v>2014</v>
      </c>
      <c r="C38" s="798">
        <f t="shared" si="0"/>
        <v>10258.801652892564</v>
      </c>
      <c r="D38" s="799">
        <f t="shared" si="1"/>
        <v>131312.66115702479</v>
      </c>
      <c r="E38" s="799">
        <f t="shared" si="2"/>
        <v>0</v>
      </c>
      <c r="F38" s="799">
        <f t="shared" si="3"/>
        <v>4787.4407713498622</v>
      </c>
      <c r="G38" s="799">
        <f t="shared" si="4"/>
        <v>341.96005509641878</v>
      </c>
      <c r="H38" s="799">
        <f t="shared" si="5"/>
        <v>0</v>
      </c>
      <c r="I38" s="796">
        <f t="shared" si="6"/>
        <v>0</v>
      </c>
      <c r="J38" s="797">
        <f t="shared" si="7"/>
        <v>0</v>
      </c>
      <c r="K38" s="451">
        <v>146700.86363636365</v>
      </c>
      <c r="L38" s="460" t="s">
        <v>1176</v>
      </c>
      <c r="M38" s="239" t="s">
        <v>245</v>
      </c>
      <c r="N38" s="473"/>
      <c r="O38" s="235"/>
      <c r="P38" s="234"/>
      <c r="Q38" s="473"/>
      <c r="R38" s="235"/>
      <c r="S38" s="234"/>
      <c r="T38" s="473"/>
      <c r="U38" s="235"/>
      <c r="V38" s="234"/>
      <c r="W38" s="473"/>
      <c r="X38" s="235"/>
      <c r="Y38" s="234"/>
      <c r="Z38" s="473"/>
      <c r="AA38" s="235"/>
      <c r="AB38" s="234"/>
      <c r="AC38" s="473"/>
      <c r="AD38" s="235"/>
      <c r="AE38" s="234"/>
      <c r="AF38" s="473"/>
      <c r="AG38" s="235"/>
      <c r="AH38" s="234"/>
      <c r="AI38" s="429"/>
      <c r="AJ38" s="235"/>
      <c r="AK38" s="241" t="str">
        <f t="shared" si="8"/>
        <v/>
      </c>
      <c r="AL38" s="477" t="str">
        <f t="shared" si="9"/>
        <v/>
      </c>
      <c r="AM38" s="279" t="str">
        <f t="shared" si="9"/>
        <v/>
      </c>
      <c r="AN38" s="305"/>
      <c r="AO38" s="439"/>
      <c r="AP38" s="431"/>
      <c r="AQ38" s="322"/>
      <c r="AR38" s="323"/>
      <c r="AS38" s="322"/>
      <c r="AT38" s="323"/>
      <c r="AU38" s="397"/>
      <c r="AV38" s="396" t="s">
        <v>245</v>
      </c>
      <c r="AW38" s="327" t="s">
        <v>377</v>
      </c>
      <c r="AX38" s="453" t="s">
        <v>376</v>
      </c>
      <c r="AY38">
        <f t="shared" si="11"/>
        <v>2011</v>
      </c>
      <c r="AZ38">
        <f t="shared" si="12"/>
        <v>2010</v>
      </c>
      <c r="BA38">
        <f t="shared" si="12"/>
        <v>2010</v>
      </c>
      <c r="BB38">
        <f t="shared" si="13"/>
        <v>2009</v>
      </c>
      <c r="BC38">
        <f t="shared" si="13"/>
        <v>2009</v>
      </c>
      <c r="BD38">
        <f t="shared" si="14"/>
        <v>2008</v>
      </c>
      <c r="BE38">
        <f t="shared" si="14"/>
        <v>2008</v>
      </c>
      <c r="BF38">
        <f t="shared" si="15"/>
        <v>2009</v>
      </c>
      <c r="BI38" s="948">
        <v>2008</v>
      </c>
      <c r="BJ38" s="701">
        <f t="shared" si="16"/>
        <v>0</v>
      </c>
      <c r="BK38" s="701">
        <f t="shared" si="17"/>
        <v>4706.9098712446348</v>
      </c>
      <c r="BL38" s="701">
        <f t="shared" si="19"/>
        <v>92627.768542199483</v>
      </c>
      <c r="BM38" s="701">
        <f t="shared" si="20"/>
        <v>11880.874316939891</v>
      </c>
      <c r="BN38" s="947">
        <f t="shared" si="18"/>
        <v>109215.55273038401</v>
      </c>
    </row>
    <row r="39" spans="1:66" x14ac:dyDescent="0.3">
      <c r="A39" s="425" t="s">
        <v>373</v>
      </c>
      <c r="B39" s="427">
        <v>2015</v>
      </c>
      <c r="C39" s="798">
        <f t="shared" si="0"/>
        <v>0</v>
      </c>
      <c r="D39" s="799">
        <f t="shared" si="1"/>
        <v>9807.3391304347824</v>
      </c>
      <c r="E39" s="799">
        <f t="shared" si="2"/>
        <v>90.80869565217391</v>
      </c>
      <c r="F39" s="799">
        <f t="shared" si="3"/>
        <v>454.04347826086956</v>
      </c>
      <c r="G39" s="799">
        <f t="shared" si="4"/>
        <v>90.80869565217391</v>
      </c>
      <c r="H39" s="799">
        <f t="shared" si="5"/>
        <v>0</v>
      </c>
      <c r="I39" s="796">
        <f t="shared" si="6"/>
        <v>0</v>
      </c>
      <c r="J39" s="797">
        <f t="shared" si="7"/>
        <v>0</v>
      </c>
      <c r="K39" s="451">
        <v>10443</v>
      </c>
      <c r="L39" s="460" t="s">
        <v>1176</v>
      </c>
      <c r="M39" s="239" t="s">
        <v>245</v>
      </c>
      <c r="N39" s="473"/>
      <c r="O39" s="235"/>
      <c r="P39" s="234"/>
      <c r="Q39" s="473"/>
      <c r="R39" s="235"/>
      <c r="S39" s="234"/>
      <c r="T39" s="473"/>
      <c r="U39" s="235"/>
      <c r="V39" s="234"/>
      <c r="W39" s="473"/>
      <c r="X39" s="235"/>
      <c r="Y39" s="234"/>
      <c r="Z39" s="473"/>
      <c r="AA39" s="235"/>
      <c r="AB39" s="234"/>
      <c r="AC39" s="473"/>
      <c r="AD39" s="235"/>
      <c r="AE39" s="234"/>
      <c r="AF39" s="473"/>
      <c r="AG39" s="235"/>
      <c r="AH39" s="234"/>
      <c r="AI39" s="429"/>
      <c r="AJ39" s="235"/>
      <c r="AK39" s="241" t="str">
        <f t="shared" si="8"/>
        <v/>
      </c>
      <c r="AL39" s="477" t="str">
        <f t="shared" si="9"/>
        <v/>
      </c>
      <c r="AM39" s="279" t="str">
        <f t="shared" si="9"/>
        <v/>
      </c>
      <c r="AN39" s="305"/>
      <c r="AO39" s="439"/>
      <c r="AP39" s="431"/>
      <c r="AQ39" s="322"/>
      <c r="AR39" s="323"/>
      <c r="AS39" s="322"/>
      <c r="AT39" s="323"/>
      <c r="AU39" s="397"/>
      <c r="AV39" s="699" t="s">
        <v>378</v>
      </c>
      <c r="AW39" s="327" t="s">
        <v>377</v>
      </c>
      <c r="AX39" s="453" t="s">
        <v>376</v>
      </c>
      <c r="AY39">
        <f t="shared" si="11"/>
        <v>2012</v>
      </c>
      <c r="AZ39">
        <f t="shared" si="12"/>
        <v>2011</v>
      </c>
      <c r="BA39">
        <f t="shared" si="12"/>
        <v>2011</v>
      </c>
      <c r="BB39">
        <f t="shared" si="13"/>
        <v>2010</v>
      </c>
      <c r="BC39">
        <f t="shared" si="13"/>
        <v>2010</v>
      </c>
      <c r="BD39">
        <f t="shared" si="14"/>
        <v>2009</v>
      </c>
      <c r="BE39">
        <f t="shared" si="14"/>
        <v>2009</v>
      </c>
      <c r="BF39">
        <f t="shared" si="15"/>
        <v>2010</v>
      </c>
      <c r="BI39" s="948">
        <v>2009</v>
      </c>
      <c r="BJ39" s="701">
        <f t="shared" si="16"/>
        <v>0</v>
      </c>
      <c r="BK39" s="701">
        <f t="shared" si="17"/>
        <v>5129.4008264462809</v>
      </c>
      <c r="BL39" s="701">
        <f t="shared" si="19"/>
        <v>25260.416309012879</v>
      </c>
      <c r="BM39" s="701">
        <f t="shared" si="20"/>
        <v>240.59160660311557</v>
      </c>
      <c r="BN39" s="947">
        <f t="shared" si="18"/>
        <v>30630.408742062278</v>
      </c>
    </row>
    <row r="40" spans="1:66" x14ac:dyDescent="0.3">
      <c r="A40" s="425" t="s">
        <v>373</v>
      </c>
      <c r="B40" s="427">
        <v>2016</v>
      </c>
      <c r="C40" s="798">
        <f t="shared" si="0"/>
        <v>560.30456852791872</v>
      </c>
      <c r="D40" s="799">
        <f t="shared" si="1"/>
        <v>52808.705583756346</v>
      </c>
      <c r="E40" s="799">
        <f t="shared" si="2"/>
        <v>140.07614213197968</v>
      </c>
      <c r="F40" s="799">
        <f t="shared" si="3"/>
        <v>1400.7614213197969</v>
      </c>
      <c r="G40" s="799">
        <f t="shared" si="4"/>
        <v>280.15228426395936</v>
      </c>
      <c r="H40" s="799">
        <f t="shared" si="5"/>
        <v>0</v>
      </c>
      <c r="I40" s="796">
        <f t="shared" si="6"/>
        <v>0</v>
      </c>
      <c r="J40" s="797">
        <f t="shared" si="7"/>
        <v>0</v>
      </c>
      <c r="K40" s="451">
        <v>55190</v>
      </c>
      <c r="L40" s="460" t="s">
        <v>1176</v>
      </c>
      <c r="M40" s="239" t="s">
        <v>245</v>
      </c>
      <c r="N40" s="473"/>
      <c r="O40" s="235"/>
      <c r="P40" s="234"/>
      <c r="Q40" s="473"/>
      <c r="R40" s="235"/>
      <c r="S40" s="234"/>
      <c r="T40" s="473"/>
      <c r="U40" s="235"/>
      <c r="V40" s="234"/>
      <c r="W40" s="473"/>
      <c r="X40" s="235"/>
      <c r="Y40" s="234"/>
      <c r="Z40" s="473"/>
      <c r="AA40" s="235"/>
      <c r="AB40" s="234"/>
      <c r="AC40" s="473"/>
      <c r="AD40" s="235"/>
      <c r="AE40" s="234"/>
      <c r="AF40" s="473"/>
      <c r="AG40" s="235"/>
      <c r="AH40" s="234"/>
      <c r="AI40" s="429"/>
      <c r="AJ40" s="235"/>
      <c r="AK40" s="241" t="str">
        <f t="shared" si="8"/>
        <v/>
      </c>
      <c r="AL40" s="477" t="str">
        <f t="shared" si="9"/>
        <v/>
      </c>
      <c r="AM40" s="279" t="str">
        <f t="shared" si="9"/>
        <v/>
      </c>
      <c r="AN40" s="305"/>
      <c r="AO40" s="439"/>
      <c r="AP40" s="431"/>
      <c r="AQ40" s="322"/>
      <c r="AR40" s="323"/>
      <c r="AS40" s="322"/>
      <c r="AT40" s="323"/>
      <c r="AU40" s="397"/>
      <c r="AV40" s="396"/>
      <c r="AW40" s="327" t="s">
        <v>377</v>
      </c>
      <c r="AX40" s="453" t="s">
        <v>376</v>
      </c>
      <c r="AY40">
        <f t="shared" si="11"/>
        <v>2013</v>
      </c>
      <c r="AZ40">
        <f t="shared" si="12"/>
        <v>2012</v>
      </c>
      <c r="BA40">
        <f t="shared" si="12"/>
        <v>2012</v>
      </c>
      <c r="BB40">
        <f t="shared" si="13"/>
        <v>2011</v>
      </c>
      <c r="BC40">
        <f t="shared" si="13"/>
        <v>2011</v>
      </c>
      <c r="BD40">
        <f t="shared" si="14"/>
        <v>2010</v>
      </c>
      <c r="BE40">
        <f t="shared" si="14"/>
        <v>2010</v>
      </c>
      <c r="BF40">
        <f t="shared" si="15"/>
        <v>2011</v>
      </c>
      <c r="BI40" s="948">
        <v>2010</v>
      </c>
      <c r="BJ40" s="701">
        <f t="shared" si="16"/>
        <v>0</v>
      </c>
      <c r="BK40" s="701">
        <f t="shared" si="17"/>
        <v>544.85217391304343</v>
      </c>
      <c r="BL40" s="701">
        <f t="shared" si="19"/>
        <v>131312.66115702479</v>
      </c>
      <c r="BM40" s="701">
        <f t="shared" si="20"/>
        <v>6589.6738197424893</v>
      </c>
      <c r="BN40" s="947">
        <f t="shared" si="18"/>
        <v>138447.18715068031</v>
      </c>
    </row>
    <row r="41" spans="1:66" x14ac:dyDescent="0.3">
      <c r="A41" s="425" t="s">
        <v>373</v>
      </c>
      <c r="B41" s="427">
        <v>2017</v>
      </c>
      <c r="C41" s="798">
        <f t="shared" si="0"/>
        <v>843.29635499207609</v>
      </c>
      <c r="D41" s="799">
        <f t="shared" si="1"/>
        <v>7526.0221870047544</v>
      </c>
      <c r="E41" s="799">
        <f t="shared" si="2"/>
        <v>159.11251980982567</v>
      </c>
      <c r="F41" s="799">
        <f t="shared" si="3"/>
        <v>1479.7464342313788</v>
      </c>
      <c r="G41" s="799">
        <f t="shared" si="4"/>
        <v>31.822503961965136</v>
      </c>
      <c r="H41" s="799">
        <f t="shared" si="5"/>
        <v>0</v>
      </c>
      <c r="I41" s="796">
        <f t="shared" si="6"/>
        <v>0</v>
      </c>
      <c r="J41" s="797">
        <f t="shared" si="7"/>
        <v>0</v>
      </c>
      <c r="K41" s="451">
        <v>10040</v>
      </c>
      <c r="L41" s="460" t="s">
        <v>1176</v>
      </c>
      <c r="M41" s="239" t="s">
        <v>245</v>
      </c>
      <c r="N41" s="473"/>
      <c r="O41" s="235"/>
      <c r="P41" s="234"/>
      <c r="Q41" s="473"/>
      <c r="R41" s="235"/>
      <c r="S41" s="234"/>
      <c r="T41" s="473"/>
      <c r="U41" s="235"/>
      <c r="V41" s="234"/>
      <c r="W41" s="473"/>
      <c r="X41" s="235"/>
      <c r="Y41" s="234"/>
      <c r="Z41" s="473"/>
      <c r="AA41" s="235"/>
      <c r="AB41" s="234"/>
      <c r="AC41" s="473"/>
      <c r="AD41" s="235"/>
      <c r="AE41" s="234"/>
      <c r="AF41" s="473"/>
      <c r="AG41" s="235"/>
      <c r="AH41" s="234"/>
      <c r="AI41" s="429"/>
      <c r="AJ41" s="235"/>
      <c r="AK41" s="241" t="str">
        <f t="shared" si="8"/>
        <v/>
      </c>
      <c r="AL41" s="477" t="str">
        <f t="shared" si="9"/>
        <v/>
      </c>
      <c r="AM41" s="279" t="str">
        <f t="shared" si="9"/>
        <v/>
      </c>
      <c r="AN41" s="305"/>
      <c r="AO41" s="439"/>
      <c r="AP41" s="431"/>
      <c r="AQ41" s="322"/>
      <c r="AR41" s="323"/>
      <c r="AS41" s="322"/>
      <c r="AT41" s="323"/>
      <c r="AU41" s="397"/>
      <c r="AV41" s="396"/>
      <c r="AW41" s="327" t="s">
        <v>377</v>
      </c>
      <c r="AX41" s="453" t="s">
        <v>376</v>
      </c>
      <c r="AY41">
        <f t="shared" si="11"/>
        <v>2014</v>
      </c>
      <c r="AZ41">
        <f t="shared" si="12"/>
        <v>2013</v>
      </c>
      <c r="BA41">
        <f t="shared" si="12"/>
        <v>2013</v>
      </c>
      <c r="BB41">
        <f t="shared" si="13"/>
        <v>2012</v>
      </c>
      <c r="BC41">
        <f t="shared" si="13"/>
        <v>2012</v>
      </c>
      <c r="BD41">
        <f t="shared" si="14"/>
        <v>2011</v>
      </c>
      <c r="BE41">
        <f t="shared" si="14"/>
        <v>2011</v>
      </c>
      <c r="BF41">
        <f t="shared" si="15"/>
        <v>2012</v>
      </c>
      <c r="BI41" s="948">
        <v>2011</v>
      </c>
      <c r="BJ41" s="701">
        <f t="shared" si="16"/>
        <v>0</v>
      </c>
      <c r="BK41" s="701">
        <f t="shared" si="17"/>
        <v>1680.9137055837564</v>
      </c>
      <c r="BL41" s="701">
        <f t="shared" si="19"/>
        <v>9898.1478260869571</v>
      </c>
      <c r="BM41" s="701">
        <f t="shared" si="20"/>
        <v>10258.801652892564</v>
      </c>
      <c r="BN41" s="947">
        <f t="shared" si="18"/>
        <v>21837.863184563277</v>
      </c>
    </row>
    <row r="42" spans="1:66" x14ac:dyDescent="0.3">
      <c r="A42" s="425" t="s">
        <v>373</v>
      </c>
      <c r="B42" s="427">
        <v>2018</v>
      </c>
      <c r="C42" s="798">
        <f t="shared" si="0"/>
        <v>61.145956607495073</v>
      </c>
      <c r="D42" s="799">
        <f t="shared" si="1"/>
        <v>30267.248520710058</v>
      </c>
      <c r="E42" s="799">
        <f t="shared" si="2"/>
        <v>183.4378698224852</v>
      </c>
      <c r="F42" s="799">
        <f t="shared" si="3"/>
        <v>428.02169625246546</v>
      </c>
      <c r="G42" s="799">
        <f t="shared" si="4"/>
        <v>61.145956607495073</v>
      </c>
      <c r="H42" s="799">
        <f t="shared" si="5"/>
        <v>0</v>
      </c>
      <c r="I42" s="796">
        <f t="shared" si="6"/>
        <v>0</v>
      </c>
      <c r="J42" s="797">
        <f t="shared" si="7"/>
        <v>0</v>
      </c>
      <c r="K42" s="451">
        <v>31001</v>
      </c>
      <c r="L42" s="460" t="s">
        <v>1176</v>
      </c>
      <c r="M42" s="239" t="s">
        <v>245</v>
      </c>
      <c r="N42" s="473"/>
      <c r="O42" s="235"/>
      <c r="P42" s="234"/>
      <c r="Q42" s="473"/>
      <c r="R42" s="235"/>
      <c r="S42" s="234"/>
      <c r="T42" s="473"/>
      <c r="U42" s="235"/>
      <c r="V42" s="234"/>
      <c r="W42" s="473"/>
      <c r="X42" s="235"/>
      <c r="Y42" s="234"/>
      <c r="Z42" s="473"/>
      <c r="AA42" s="235"/>
      <c r="AB42" s="234"/>
      <c r="AC42" s="473"/>
      <c r="AD42" s="235"/>
      <c r="AE42" s="234"/>
      <c r="AF42" s="473"/>
      <c r="AG42" s="235"/>
      <c r="AH42" s="234"/>
      <c r="AI42" s="429"/>
      <c r="AJ42" s="235"/>
      <c r="AK42" s="241" t="str">
        <f t="shared" si="8"/>
        <v/>
      </c>
      <c r="AL42" s="477" t="str">
        <f t="shared" si="9"/>
        <v/>
      </c>
      <c r="AM42" s="279" t="str">
        <f t="shared" si="9"/>
        <v/>
      </c>
      <c r="AN42" s="305"/>
      <c r="AO42" s="439"/>
      <c r="AP42" s="431"/>
      <c r="AQ42" s="322"/>
      <c r="AR42" s="323"/>
      <c r="AS42" s="322"/>
      <c r="AT42" s="323"/>
      <c r="AU42" s="397"/>
      <c r="AV42" s="365"/>
      <c r="AW42" s="327" t="s">
        <v>377</v>
      </c>
      <c r="AX42" s="453" t="s">
        <v>376</v>
      </c>
      <c r="AY42">
        <f t="shared" si="11"/>
        <v>2015</v>
      </c>
      <c r="AZ42">
        <f t="shared" si="12"/>
        <v>2014</v>
      </c>
      <c r="BA42">
        <f t="shared" si="12"/>
        <v>2014</v>
      </c>
      <c r="BB42">
        <f t="shared" si="13"/>
        <v>2013</v>
      </c>
      <c r="BC42">
        <f t="shared" si="13"/>
        <v>2013</v>
      </c>
      <c r="BD42">
        <f t="shared" si="14"/>
        <v>2012</v>
      </c>
      <c r="BE42">
        <f t="shared" si="14"/>
        <v>2012</v>
      </c>
      <c r="BF42">
        <f t="shared" si="15"/>
        <v>2013</v>
      </c>
      <c r="BI42" s="948">
        <v>2012</v>
      </c>
      <c r="BJ42" s="701">
        <f t="shared" si="16"/>
        <v>0</v>
      </c>
      <c r="BK42" s="701">
        <f t="shared" si="17"/>
        <v>1511.5689381933439</v>
      </c>
      <c r="BL42" s="701">
        <f t="shared" si="19"/>
        <v>52948.781725888322</v>
      </c>
      <c r="BM42" s="701">
        <f t="shared" si="20"/>
        <v>0</v>
      </c>
      <c r="BN42" s="947">
        <f t="shared" si="18"/>
        <v>54460.350664081663</v>
      </c>
    </row>
    <row r="43" spans="1:66" x14ac:dyDescent="0.3">
      <c r="A43" s="425" t="s">
        <v>373</v>
      </c>
      <c r="B43" s="427">
        <v>2019</v>
      </c>
      <c r="C43" s="798">
        <f t="shared" si="0"/>
        <v>2191.0733137829911</v>
      </c>
      <c r="D43" s="799">
        <f t="shared" si="1"/>
        <v>6880.7390029325506</v>
      </c>
      <c r="E43" s="799">
        <f t="shared" si="2"/>
        <v>76.879765395894424</v>
      </c>
      <c r="F43" s="799">
        <f t="shared" si="3"/>
        <v>3920.868035190616</v>
      </c>
      <c r="G43" s="799">
        <f t="shared" si="4"/>
        <v>38.439882697947212</v>
      </c>
      <c r="H43" s="799">
        <f t="shared" si="5"/>
        <v>0</v>
      </c>
      <c r="I43" s="796">
        <f t="shared" si="6"/>
        <v>0</v>
      </c>
      <c r="J43" s="797">
        <f t="shared" si="7"/>
        <v>0</v>
      </c>
      <c r="K43" s="451">
        <v>13108</v>
      </c>
      <c r="L43" s="460" t="s">
        <v>1176</v>
      </c>
      <c r="M43" s="239" t="s">
        <v>245</v>
      </c>
      <c r="N43" s="473"/>
      <c r="O43" s="235"/>
      <c r="P43" s="234"/>
      <c r="Q43" s="473"/>
      <c r="R43" s="235"/>
      <c r="S43" s="234"/>
      <c r="T43" s="473"/>
      <c r="U43" s="235"/>
      <c r="V43" s="234"/>
      <c r="W43" s="473"/>
      <c r="X43" s="235"/>
      <c r="Y43" s="234"/>
      <c r="Z43" s="473"/>
      <c r="AA43" s="235"/>
      <c r="AB43" s="234"/>
      <c r="AC43" s="473"/>
      <c r="AD43" s="235"/>
      <c r="AE43" s="234"/>
      <c r="AF43" s="473"/>
      <c r="AG43" s="235"/>
      <c r="AH43" s="234"/>
      <c r="AI43" s="429"/>
      <c r="AJ43" s="235"/>
      <c r="AK43" s="241" t="str">
        <f t="shared" si="8"/>
        <v/>
      </c>
      <c r="AL43" s="477" t="str">
        <f t="shared" si="9"/>
        <v/>
      </c>
      <c r="AM43" s="279" t="str">
        <f t="shared" si="9"/>
        <v/>
      </c>
      <c r="AN43" s="305"/>
      <c r="AO43" s="439"/>
      <c r="AP43" s="431"/>
      <c r="AQ43" s="322"/>
      <c r="AR43" s="323"/>
      <c r="AS43" s="322"/>
      <c r="AT43" s="323"/>
      <c r="AU43" s="397"/>
      <c r="AV43" s="365"/>
      <c r="AW43" s="327" t="s">
        <v>377</v>
      </c>
      <c r="AX43" s="453" t="s">
        <v>376</v>
      </c>
      <c r="AY43">
        <f t="shared" si="11"/>
        <v>2016</v>
      </c>
      <c r="AZ43">
        <f t="shared" si="12"/>
        <v>2015</v>
      </c>
      <c r="BA43">
        <f t="shared" si="12"/>
        <v>2015</v>
      </c>
      <c r="BB43">
        <f t="shared" si="13"/>
        <v>2014</v>
      </c>
      <c r="BC43">
        <f t="shared" si="13"/>
        <v>2014</v>
      </c>
      <c r="BD43">
        <f t="shared" si="14"/>
        <v>2013</v>
      </c>
      <c r="BE43">
        <f t="shared" si="14"/>
        <v>2013</v>
      </c>
      <c r="BF43">
        <f t="shared" si="15"/>
        <v>2014</v>
      </c>
      <c r="BI43" s="948">
        <v>2013</v>
      </c>
      <c r="BJ43" s="701">
        <f t="shared" si="16"/>
        <v>0</v>
      </c>
      <c r="BK43" s="701">
        <f t="shared" si="17"/>
        <v>489.16765285996053</v>
      </c>
      <c r="BL43" s="701">
        <f t="shared" si="19"/>
        <v>7685.1347068145797</v>
      </c>
      <c r="BM43" s="701">
        <f t="shared" si="20"/>
        <v>560.30456852791872</v>
      </c>
      <c r="BN43" s="947">
        <f t="shared" si="18"/>
        <v>8734.60692820246</v>
      </c>
    </row>
    <row r="44" spans="1:66" x14ac:dyDescent="0.3">
      <c r="A44" s="425" t="s">
        <v>373</v>
      </c>
      <c r="B44" s="427">
        <v>2020</v>
      </c>
      <c r="C44" s="798">
        <f t="shared" si="0"/>
        <v>529.51799999999992</v>
      </c>
      <c r="D44" s="799">
        <f t="shared" si="1"/>
        <v>46741.998</v>
      </c>
      <c r="E44" s="799">
        <f t="shared" si="2"/>
        <v>0</v>
      </c>
      <c r="F44" s="799">
        <f t="shared" si="3"/>
        <v>866.48399999999992</v>
      </c>
      <c r="G44" s="799">
        <f t="shared" si="4"/>
        <v>0</v>
      </c>
      <c r="H44" s="799">
        <f t="shared" si="5"/>
        <v>0</v>
      </c>
      <c r="I44" s="796">
        <f t="shared" si="6"/>
        <v>0</v>
      </c>
      <c r="J44" s="797">
        <f t="shared" si="7"/>
        <v>0</v>
      </c>
      <c r="K44" s="451">
        <v>48138</v>
      </c>
      <c r="L44" s="460" t="s">
        <v>1176</v>
      </c>
      <c r="M44" s="239" t="s">
        <v>245</v>
      </c>
      <c r="N44" s="473"/>
      <c r="O44" s="235"/>
      <c r="P44" s="234"/>
      <c r="Q44" s="473"/>
      <c r="R44" s="235"/>
      <c r="S44" s="234"/>
      <c r="T44" s="473"/>
      <c r="U44" s="235"/>
      <c r="V44" s="234"/>
      <c r="W44" s="473"/>
      <c r="X44" s="235"/>
      <c r="Y44" s="234"/>
      <c r="Z44" s="473"/>
      <c r="AA44" s="235"/>
      <c r="AB44" s="234"/>
      <c r="AC44" s="473"/>
      <c r="AD44" s="235"/>
      <c r="AE44" s="234"/>
      <c r="AF44" s="473"/>
      <c r="AG44" s="235"/>
      <c r="AH44" s="234"/>
      <c r="AI44" s="429"/>
      <c r="AJ44" s="235"/>
      <c r="AK44" s="241" t="str">
        <f t="shared" si="8"/>
        <v/>
      </c>
      <c r="AL44" s="477" t="str">
        <f t="shared" si="9"/>
        <v/>
      </c>
      <c r="AM44" s="279" t="str">
        <f t="shared" si="9"/>
        <v/>
      </c>
      <c r="AN44" s="305"/>
      <c r="AO44" s="439"/>
      <c r="AP44" s="431"/>
      <c r="AQ44" s="322"/>
      <c r="AR44" s="323"/>
      <c r="AS44" s="322"/>
      <c r="AT44" s="323"/>
      <c r="AU44" s="397"/>
      <c r="AV44" s="365"/>
      <c r="AW44" s="327" t="s">
        <v>377</v>
      </c>
      <c r="AX44" s="453" t="s">
        <v>376</v>
      </c>
      <c r="AY44">
        <f t="shared" si="11"/>
        <v>2017</v>
      </c>
      <c r="AZ44">
        <f t="shared" si="12"/>
        <v>2016</v>
      </c>
      <c r="BA44">
        <f t="shared" si="12"/>
        <v>2016</v>
      </c>
      <c r="BB44">
        <f t="shared" si="13"/>
        <v>2015</v>
      </c>
      <c r="BC44">
        <f t="shared" si="13"/>
        <v>2015</v>
      </c>
      <c r="BD44">
        <f t="shared" si="14"/>
        <v>2014</v>
      </c>
      <c r="BE44">
        <f t="shared" si="14"/>
        <v>2014</v>
      </c>
      <c r="BF44">
        <f t="shared" si="15"/>
        <v>2015</v>
      </c>
      <c r="BI44" s="948">
        <v>2014</v>
      </c>
      <c r="BJ44" s="701">
        <f t="shared" si="16"/>
        <v>0</v>
      </c>
      <c r="BK44" s="701">
        <f t="shared" si="17"/>
        <v>3959.3079178885632</v>
      </c>
      <c r="BL44" s="701">
        <f t="shared" si="19"/>
        <v>30450.686390532544</v>
      </c>
      <c r="BM44" s="701">
        <f t="shared" si="20"/>
        <v>843.29635499207609</v>
      </c>
      <c r="BN44" s="947">
        <f t="shared" si="18"/>
        <v>35253.29066341318</v>
      </c>
    </row>
    <row r="45" spans="1:66" x14ac:dyDescent="0.3">
      <c r="A45" s="425" t="s">
        <v>373</v>
      </c>
      <c r="B45" s="427">
        <v>2021</v>
      </c>
      <c r="C45" s="805">
        <f t="shared" si="0"/>
        <v>1904.4219999999998</v>
      </c>
      <c r="D45" s="800">
        <f t="shared" si="1"/>
        <v>8184.7350000000006</v>
      </c>
      <c r="E45" s="800">
        <f t="shared" si="2"/>
        <v>0</v>
      </c>
      <c r="F45" s="800">
        <f t="shared" si="3"/>
        <v>609.84300000000007</v>
      </c>
      <c r="G45" s="800">
        <f t="shared" si="4"/>
        <v>0</v>
      </c>
      <c r="H45" s="806">
        <f t="shared" si="5"/>
        <v>0</v>
      </c>
      <c r="I45" s="796">
        <f t="shared" si="6"/>
        <v>0</v>
      </c>
      <c r="J45" s="807">
        <f t="shared" si="7"/>
        <v>0</v>
      </c>
      <c r="K45" s="451">
        <v>10699</v>
      </c>
      <c r="L45" s="460" t="s">
        <v>1176</v>
      </c>
      <c r="M45" s="239" t="s">
        <v>245</v>
      </c>
      <c r="N45" s="473"/>
      <c r="O45" s="235"/>
      <c r="P45" s="234"/>
      <c r="Q45" s="473"/>
      <c r="R45" s="235"/>
      <c r="S45" s="234"/>
      <c r="T45" s="473"/>
      <c r="U45" s="235"/>
      <c r="V45" s="234"/>
      <c r="W45" s="473"/>
      <c r="X45" s="235"/>
      <c r="Y45" s="234"/>
      <c r="Z45" s="473"/>
      <c r="AA45" s="235"/>
      <c r="AB45" s="234"/>
      <c r="AC45" s="473"/>
      <c r="AD45" s="235"/>
      <c r="AE45" s="234"/>
      <c r="AF45" s="473"/>
      <c r="AG45" s="235"/>
      <c r="AH45" s="234"/>
      <c r="AI45" s="429"/>
      <c r="AJ45" s="235"/>
      <c r="AK45" s="241" t="str">
        <f t="shared" si="8"/>
        <v/>
      </c>
      <c r="AL45" s="477" t="str">
        <f t="shared" si="9"/>
        <v/>
      </c>
      <c r="AM45" s="279" t="str">
        <f t="shared" si="9"/>
        <v/>
      </c>
      <c r="AN45" s="305"/>
      <c r="AO45" s="439"/>
      <c r="AP45" s="431"/>
      <c r="AQ45" s="322"/>
      <c r="AR45" s="323"/>
      <c r="AS45" s="322"/>
      <c r="AT45" s="323"/>
      <c r="AU45" s="397"/>
      <c r="AV45" s="699" t="s">
        <v>380</v>
      </c>
      <c r="AW45" s="327" t="s">
        <v>377</v>
      </c>
      <c r="AX45" s="453" t="s">
        <v>376</v>
      </c>
      <c r="AY45">
        <f t="shared" si="11"/>
        <v>2018</v>
      </c>
      <c r="AZ45">
        <f t="shared" si="12"/>
        <v>2017</v>
      </c>
      <c r="BA45">
        <f t="shared" si="12"/>
        <v>2017</v>
      </c>
      <c r="BB45">
        <f t="shared" si="13"/>
        <v>2016</v>
      </c>
      <c r="BC45">
        <f t="shared" si="13"/>
        <v>2016</v>
      </c>
      <c r="BD45">
        <f t="shared" si="14"/>
        <v>2015</v>
      </c>
      <c r="BE45">
        <f t="shared" si="14"/>
        <v>2015</v>
      </c>
      <c r="BF45">
        <f t="shared" si="15"/>
        <v>2016</v>
      </c>
      <c r="BI45" s="948">
        <v>2015</v>
      </c>
      <c r="BJ45" s="701">
        <f t="shared" si="16"/>
        <v>0</v>
      </c>
      <c r="BK45" s="701">
        <f t="shared" si="17"/>
        <v>866.48399999999992</v>
      </c>
      <c r="BL45" s="701">
        <f t="shared" si="19"/>
        <v>6957.6187683284452</v>
      </c>
      <c r="BM45" s="701">
        <f t="shared" si="20"/>
        <v>61.145956607495073</v>
      </c>
      <c r="BN45" s="947">
        <f t="shared" si="18"/>
        <v>7885.2487249359401</v>
      </c>
    </row>
    <row r="46" spans="1:66" x14ac:dyDescent="0.3">
      <c r="A46" s="425" t="s">
        <v>373</v>
      </c>
      <c r="B46" s="427">
        <v>2022</v>
      </c>
      <c r="C46" s="805">
        <f t="shared" si="0"/>
        <v>760</v>
      </c>
      <c r="D46" s="800">
        <f t="shared" si="1"/>
        <v>34440</v>
      </c>
      <c r="E46" s="800">
        <f t="shared" si="2"/>
        <v>320</v>
      </c>
      <c r="F46" s="800">
        <f t="shared" si="3"/>
        <v>4800</v>
      </c>
      <c r="G46" s="800">
        <f t="shared" si="4"/>
        <v>0</v>
      </c>
      <c r="H46" s="806">
        <f t="shared" si="5"/>
        <v>0</v>
      </c>
      <c r="I46" s="796">
        <f t="shared" si="6"/>
        <v>0</v>
      </c>
      <c r="J46" s="804">
        <f t="shared" si="7"/>
        <v>0</v>
      </c>
      <c r="K46" s="471">
        <v>40000</v>
      </c>
      <c r="L46" s="455" t="s">
        <v>1177</v>
      </c>
      <c r="M46" s="239" t="s">
        <v>245</v>
      </c>
      <c r="N46" s="473"/>
      <c r="O46" s="235"/>
      <c r="P46" s="234"/>
      <c r="Q46" s="473"/>
      <c r="R46" s="235"/>
      <c r="S46" s="234"/>
      <c r="T46" s="473"/>
      <c r="U46" s="235"/>
      <c r="V46" s="234"/>
      <c r="W46" s="473"/>
      <c r="X46" s="235"/>
      <c r="Y46" s="234"/>
      <c r="Z46" s="473"/>
      <c r="AA46" s="235"/>
      <c r="AB46" s="234"/>
      <c r="AC46" s="473"/>
      <c r="AD46" s="235"/>
      <c r="AE46" s="234"/>
      <c r="AF46" s="473"/>
      <c r="AG46" s="235"/>
      <c r="AH46" s="234"/>
      <c r="AI46" s="429"/>
      <c r="AJ46" s="235"/>
      <c r="AK46" s="241" t="str">
        <f t="shared" si="8"/>
        <v/>
      </c>
      <c r="AL46" s="477" t="str">
        <f t="shared" si="9"/>
        <v/>
      </c>
      <c r="AM46" s="279" t="str">
        <f t="shared" si="9"/>
        <v/>
      </c>
      <c r="AN46" s="305"/>
      <c r="AO46" s="439"/>
      <c r="AP46" s="431"/>
      <c r="AQ46" s="322"/>
      <c r="AR46" s="323"/>
      <c r="AS46" s="322"/>
      <c r="AT46" s="323"/>
      <c r="AU46" s="397"/>
      <c r="AV46" s="396"/>
      <c r="AW46" s="327"/>
      <c r="AX46" s="324"/>
      <c r="BA46" s="440"/>
      <c r="BC46" s="442"/>
      <c r="BD46" s="442"/>
      <c r="BE46" s="442"/>
      <c r="BF46" s="442"/>
      <c r="BI46" s="948">
        <v>2016</v>
      </c>
      <c r="BJ46" s="813"/>
      <c r="BK46" s="701">
        <f t="shared" si="17"/>
        <v>609.84300000000007</v>
      </c>
      <c r="BL46" s="701">
        <f t="shared" si="19"/>
        <v>46741.998</v>
      </c>
      <c r="BM46" s="701">
        <f t="shared" si="20"/>
        <v>2191.0733137829911</v>
      </c>
      <c r="BN46" s="947">
        <f t="shared" si="18"/>
        <v>49542.914313782989</v>
      </c>
    </row>
    <row r="47" spans="1:66" x14ac:dyDescent="0.3">
      <c r="A47" s="425"/>
      <c r="B47" s="427"/>
      <c r="C47" s="805" t="str">
        <f>IF(ISNUMBER(VLOOKUP($B47,AdultAgeComp,6)),VLOOKUP($B47,AdultAgeComp,2)*VLOOKUP($B47,AdultAgeComp,6),"")</f>
        <v/>
      </c>
      <c r="D47" s="800" t="str">
        <f>IF(ISNUMBER(VLOOKUP($B47,AdultAgeComp,7)),VLOOKUP($B47,AdultAgeComp,2)*VLOOKUP($B47,AdultAgeComp,7),"")</f>
        <v/>
      </c>
      <c r="E47" s="800" t="str">
        <f>IF(ISNUMBER(VLOOKUP($B47,AdultAgeComp,8)),VLOOKUP($B47,AdultAgeComp,2)*VLOOKUP($B47,AdultAgeComp,8),"")</f>
        <v/>
      </c>
      <c r="F47" s="800" t="str">
        <f>IF(ISNUMBER(VLOOKUP($B47,AdultAgeComp,9)),VLOOKUP($B47,AdultAgeComp,2)*VLOOKUP($B47,AdultAgeComp,9),"")</f>
        <v/>
      </c>
      <c r="G47" s="800" t="str">
        <f>IF(ISNUMBER(VLOOKUP($B47,AdultAgeComp,10)),VLOOKUP($B47,AdultAgeComp,2)*VLOOKUP($B47,AdultAgeComp,10),"")</f>
        <v/>
      </c>
      <c r="H47" s="806"/>
      <c r="I47" s="796" t="str">
        <f>IF(ISNUMBER(VLOOKUP($B47,AdultAgeComp,12)),VLOOKUP($B47,AdultAgeComp,2)*VLOOKUP($B47,AdultAgeComp,12),"")</f>
        <v/>
      </c>
      <c r="J47" s="797" t="str">
        <f>IF(ISNUMBER(VLOOKUP($B47,AdultAgeComp,13)),VLOOKUP($B47,AdultAgeComp,2)*VLOOKUP($B47,AdultAgeComp,13),"")</f>
        <v/>
      </c>
      <c r="K47" s="511"/>
      <c r="L47" s="29"/>
      <c r="M47" s="239" t="s">
        <v>245</v>
      </c>
      <c r="N47" s="429"/>
      <c r="O47" s="235"/>
      <c r="P47" s="234"/>
      <c r="Q47" s="429"/>
      <c r="R47" s="235"/>
      <c r="S47" s="234"/>
      <c r="T47" s="429"/>
      <c r="U47" s="235"/>
      <c r="V47" s="234"/>
      <c r="W47" s="429"/>
      <c r="X47" s="235"/>
      <c r="Y47" s="234"/>
      <c r="Z47" s="429"/>
      <c r="AA47" s="235"/>
      <c r="AB47" s="234"/>
      <c r="AC47" s="429"/>
      <c r="AD47" s="235"/>
      <c r="AE47" s="234"/>
      <c r="AF47" s="429"/>
      <c r="AG47" s="235"/>
      <c r="AH47" s="234"/>
      <c r="AI47" s="429"/>
      <c r="AJ47" s="235"/>
      <c r="AK47" s="241" t="str">
        <f t="shared" si="8"/>
        <v/>
      </c>
      <c r="AL47" s="242" t="str">
        <f t="shared" ref="AL47:AM52" si="21">IF(ISNUMBER($AK47),(IF(ISNUMBER($M47),$M47*N47)+IF(ISNUMBER($P47),$P47*Q47)+IF(ISNUMBER($S47),$S47*T47)+IF(ISNUMBER($V47),$V47*W47)+IF(ISNUMBER($Y47),$Y47*Z47)+IF(ISNUMBER($AE47),$AE47*AF47)+IF(ISNUMBER($AB47),$AB47*AC47)+IF(ISNUMBER($AH47),$AH47*AI47))/$AK47,"")</f>
        <v/>
      </c>
      <c r="AM47" s="279" t="str">
        <f t="shared" si="21"/>
        <v/>
      </c>
      <c r="AN47" s="305"/>
      <c r="AO47" s="439"/>
      <c r="AP47" s="431"/>
      <c r="AQ47" s="322"/>
      <c r="AR47" s="323"/>
      <c r="AS47" s="322"/>
      <c r="AT47" s="323"/>
      <c r="AU47" s="397"/>
      <c r="AV47" s="396"/>
      <c r="AW47" s="327"/>
      <c r="AX47" s="324"/>
      <c r="BA47" s="440"/>
      <c r="BC47" s="442"/>
      <c r="BD47" s="442"/>
      <c r="BE47" s="442"/>
      <c r="BF47" s="442"/>
      <c r="BI47" s="948">
        <v>2017</v>
      </c>
      <c r="BJ47" s="813"/>
      <c r="BK47" s="701">
        <f t="shared" si="17"/>
        <v>4800</v>
      </c>
      <c r="BL47" s="701">
        <f t="shared" si="19"/>
        <v>8184.7350000000006</v>
      </c>
      <c r="BM47" s="701">
        <f t="shared" si="20"/>
        <v>529.51799999999992</v>
      </c>
      <c r="BN47" s="947">
        <f t="shared" si="18"/>
        <v>13514.253000000001</v>
      </c>
    </row>
    <row r="48" spans="1:66" x14ac:dyDescent="0.3">
      <c r="A48" s="425"/>
      <c r="B48" s="427"/>
      <c r="C48" s="798" t="str">
        <f>IF(ISNUMBER(VLOOKUP($B48,AdultAgeComp,6)),VLOOKUP($B48,AdultAgeComp,2)*VLOOKUP($B48,AdultAgeComp,6),"")</f>
        <v/>
      </c>
      <c r="D48" s="799" t="str">
        <f>IF(ISNUMBER(VLOOKUP($B48,AdultAgeComp,7)),VLOOKUP($B48,AdultAgeComp,2)*VLOOKUP($B48,AdultAgeComp,7),"")</f>
        <v/>
      </c>
      <c r="E48" s="799" t="str">
        <f>IF(ISNUMBER(VLOOKUP($B48,AdultAgeComp,8)),VLOOKUP($B48,AdultAgeComp,2)*VLOOKUP($B48,AdultAgeComp,8),"")</f>
        <v/>
      </c>
      <c r="F48" s="799" t="str">
        <f>IF(ISNUMBER(VLOOKUP($B48,AdultAgeComp,9)),VLOOKUP($B48,AdultAgeComp,2)*VLOOKUP($B48,AdultAgeComp,9),"")</f>
        <v/>
      </c>
      <c r="G48" s="799" t="str">
        <f>IF(ISNUMBER(VLOOKUP($B48,AdultAgeComp,10)),VLOOKUP($B48,AdultAgeComp,2)*VLOOKUP($B48,AdultAgeComp,10),"")</f>
        <v/>
      </c>
      <c r="H48" s="796"/>
      <c r="I48" s="796" t="str">
        <f>IF(ISNUMBER(VLOOKUP($B48,AdultAgeComp,12)),VLOOKUP($B48,AdultAgeComp,2)*VLOOKUP($B48,AdultAgeComp,12),"")</f>
        <v/>
      </c>
      <c r="J48" s="797" t="str">
        <f>IF(ISNUMBER(VLOOKUP($B48,AdultAgeComp,13)),VLOOKUP($B48,AdultAgeComp,2)*VLOOKUP($B48,AdultAgeComp,13),"")</f>
        <v/>
      </c>
      <c r="K48" s="451" t="str">
        <f>IF((SUM(C48:J48)&gt;0),SUM(C48:J48),"")</f>
        <v/>
      </c>
      <c r="L48" s="27"/>
      <c r="M48" s="239" t="s">
        <v>245</v>
      </c>
      <c r="N48" s="429"/>
      <c r="O48" s="235"/>
      <c r="P48" s="234"/>
      <c r="Q48" s="429"/>
      <c r="R48" s="235"/>
      <c r="S48" s="234"/>
      <c r="T48" s="429"/>
      <c r="U48" s="235"/>
      <c r="V48" s="234"/>
      <c r="W48" s="429"/>
      <c r="X48" s="235"/>
      <c r="Y48" s="234"/>
      <c r="Z48" s="429"/>
      <c r="AA48" s="235"/>
      <c r="AB48" s="234"/>
      <c r="AC48" s="429"/>
      <c r="AD48" s="235"/>
      <c r="AE48" s="234"/>
      <c r="AF48" s="429"/>
      <c r="AG48" s="235"/>
      <c r="AH48" s="234"/>
      <c r="AI48" s="429"/>
      <c r="AJ48" s="235"/>
      <c r="AK48" s="241" t="str">
        <f t="shared" si="8"/>
        <v/>
      </c>
      <c r="AL48" s="242" t="str">
        <f t="shared" si="21"/>
        <v/>
      </c>
      <c r="AM48" s="279" t="str">
        <f t="shared" si="21"/>
        <v/>
      </c>
      <c r="AN48" s="305"/>
      <c r="AO48" s="439"/>
      <c r="AP48" s="431"/>
      <c r="AQ48" s="322"/>
      <c r="AR48" s="323"/>
      <c r="AS48" s="322"/>
      <c r="AT48" s="323"/>
      <c r="AU48" s="397"/>
      <c r="AV48" s="396"/>
      <c r="AW48" s="327"/>
      <c r="AX48" s="324"/>
      <c r="BA48" s="441"/>
      <c r="BC48" s="442"/>
      <c r="BD48" s="442"/>
      <c r="BE48" s="442"/>
      <c r="BF48" s="442"/>
      <c r="BI48" s="948">
        <v>2018</v>
      </c>
      <c r="BJ48" s="952"/>
      <c r="BK48" s="953"/>
      <c r="BL48" s="953">
        <f t="shared" si="19"/>
        <v>34760</v>
      </c>
      <c r="BM48" s="953">
        <f t="shared" si="20"/>
        <v>1904.4219999999998</v>
      </c>
      <c r="BN48" s="954">
        <f t="shared" si="18"/>
        <v>36664.421999999999</v>
      </c>
    </row>
    <row r="49" spans="1:66" x14ac:dyDescent="0.3">
      <c r="A49" s="425"/>
      <c r="B49" s="427"/>
      <c r="C49" s="798"/>
      <c r="D49" s="799"/>
      <c r="E49" s="799"/>
      <c r="F49" s="799"/>
      <c r="G49" s="799"/>
      <c r="H49" s="796"/>
      <c r="I49" s="796"/>
      <c r="J49" s="797"/>
      <c r="K49" s="451" t="str">
        <f>IF((SUM(C49:J49)&gt;0),SUM(C49:J49),"")</f>
        <v/>
      </c>
      <c r="L49" s="27"/>
      <c r="M49" s="239" t="s">
        <v>245</v>
      </c>
      <c r="N49" s="429"/>
      <c r="O49" s="235"/>
      <c r="P49" s="234"/>
      <c r="Q49" s="429"/>
      <c r="R49" s="235"/>
      <c r="S49" s="234"/>
      <c r="T49" s="429"/>
      <c r="U49" s="235"/>
      <c r="V49" s="234"/>
      <c r="W49" s="429"/>
      <c r="X49" s="235"/>
      <c r="Y49" s="234"/>
      <c r="Z49" s="429"/>
      <c r="AA49" s="235"/>
      <c r="AB49" s="234"/>
      <c r="AC49" s="429"/>
      <c r="AD49" s="235"/>
      <c r="AE49" s="234"/>
      <c r="AF49" s="429"/>
      <c r="AG49" s="235"/>
      <c r="AH49" s="234"/>
      <c r="AI49" s="429"/>
      <c r="AJ49" s="235"/>
      <c r="AK49" s="241" t="str">
        <f t="shared" si="8"/>
        <v/>
      </c>
      <c r="AL49" s="242" t="str">
        <f t="shared" si="21"/>
        <v/>
      </c>
      <c r="AM49" s="279" t="str">
        <f t="shared" si="21"/>
        <v/>
      </c>
      <c r="AN49" s="304"/>
      <c r="AO49" s="280"/>
      <c r="AP49" s="431"/>
      <c r="AQ49" s="322"/>
      <c r="AR49" s="323"/>
      <c r="AS49" s="322"/>
      <c r="AT49" s="323"/>
      <c r="AU49" s="225"/>
      <c r="AV49" s="396"/>
      <c r="AW49" s="327"/>
      <c r="AX49" s="324"/>
      <c r="BI49" s="948">
        <v>2019</v>
      </c>
      <c r="BJ49" s="952"/>
      <c r="BK49" s="952"/>
      <c r="BL49" s="953"/>
      <c r="BM49" s="953">
        <f t="shared" si="20"/>
        <v>760</v>
      </c>
      <c r="BN49" s="954">
        <f t="shared" si="18"/>
        <v>760</v>
      </c>
    </row>
    <row r="50" spans="1:66" x14ac:dyDescent="0.3">
      <c r="A50" s="425"/>
      <c r="B50" s="427"/>
      <c r="C50" s="798"/>
      <c r="D50" s="799"/>
      <c r="E50" s="799"/>
      <c r="F50" s="799"/>
      <c r="G50" s="799"/>
      <c r="H50" s="796"/>
      <c r="I50" s="796"/>
      <c r="J50" s="797"/>
      <c r="K50" s="451" t="str">
        <f>IF((SUM(C50:J50)&gt;0),SUM(C50:J50),"")</f>
        <v/>
      </c>
      <c r="L50" s="27"/>
      <c r="M50" s="239" t="s">
        <v>245</v>
      </c>
      <c r="N50" s="429"/>
      <c r="O50" s="235"/>
      <c r="P50" s="234"/>
      <c r="Q50" s="429"/>
      <c r="R50" s="235"/>
      <c r="S50" s="234"/>
      <c r="T50" s="429"/>
      <c r="U50" s="235"/>
      <c r="V50" s="234"/>
      <c r="W50" s="429"/>
      <c r="X50" s="235"/>
      <c r="Y50" s="234"/>
      <c r="Z50" s="429"/>
      <c r="AA50" s="235"/>
      <c r="AB50" s="234"/>
      <c r="AC50" s="429"/>
      <c r="AD50" s="235"/>
      <c r="AE50" s="234"/>
      <c r="AF50" s="429"/>
      <c r="AG50" s="235"/>
      <c r="AH50" s="234"/>
      <c r="AI50" s="429"/>
      <c r="AJ50" s="235"/>
      <c r="AK50" s="241" t="str">
        <f t="shared" si="8"/>
        <v/>
      </c>
      <c r="AL50" s="242" t="str">
        <f t="shared" si="21"/>
        <v/>
      </c>
      <c r="AM50" s="279" t="str">
        <f t="shared" si="21"/>
        <v/>
      </c>
      <c r="AN50" s="304"/>
      <c r="AO50" s="280"/>
      <c r="AP50" s="431"/>
      <c r="AQ50" s="322"/>
      <c r="AR50" s="323"/>
      <c r="AS50" s="322"/>
      <c r="AT50" s="323"/>
      <c r="AU50" s="225"/>
      <c r="AV50" s="396"/>
      <c r="AW50" s="327"/>
      <c r="AX50" s="324"/>
      <c r="BI50" s="948">
        <v>2020</v>
      </c>
      <c r="BJ50" s="952"/>
      <c r="BK50" s="952"/>
      <c r="BL50" s="952"/>
      <c r="BM50" s="953"/>
      <c r="BN50" s="955"/>
    </row>
    <row r="51" spans="1:66" ht="15" thickBot="1" x14ac:dyDescent="0.35">
      <c r="A51" s="425"/>
      <c r="B51" s="427"/>
      <c r="C51" s="798"/>
      <c r="D51" s="799"/>
      <c r="E51" s="799"/>
      <c r="F51" s="799"/>
      <c r="G51" s="799"/>
      <c r="H51" s="796"/>
      <c r="I51" s="796"/>
      <c r="J51" s="797"/>
      <c r="K51" s="451" t="str">
        <f>IF((SUM(C51:J51)&gt;0),SUM(C51:J51),"")</f>
        <v/>
      </c>
      <c r="L51" s="27"/>
      <c r="M51" s="239" t="s">
        <v>245</v>
      </c>
      <c r="N51" s="429"/>
      <c r="O51" s="235"/>
      <c r="P51" s="234"/>
      <c r="Q51" s="429"/>
      <c r="R51" s="235"/>
      <c r="S51" s="234"/>
      <c r="T51" s="429"/>
      <c r="U51" s="235"/>
      <c r="V51" s="234"/>
      <c r="W51" s="429"/>
      <c r="X51" s="235"/>
      <c r="Y51" s="234"/>
      <c r="Z51" s="429"/>
      <c r="AA51" s="235"/>
      <c r="AB51" s="234"/>
      <c r="AC51" s="429"/>
      <c r="AD51" s="235"/>
      <c r="AE51" s="234"/>
      <c r="AF51" s="429"/>
      <c r="AG51" s="235"/>
      <c r="AH51" s="234"/>
      <c r="AI51" s="429"/>
      <c r="AJ51" s="235"/>
      <c r="AK51" s="241" t="str">
        <f t="shared" si="8"/>
        <v/>
      </c>
      <c r="AL51" s="242" t="str">
        <f t="shared" si="21"/>
        <v/>
      </c>
      <c r="AM51" s="279" t="str">
        <f t="shared" si="21"/>
        <v/>
      </c>
      <c r="AN51" s="304"/>
      <c r="AO51" s="280"/>
      <c r="AP51" s="431"/>
      <c r="AQ51" s="322"/>
      <c r="AR51" s="323"/>
      <c r="AS51" s="322"/>
      <c r="AT51" s="323"/>
      <c r="AU51" s="225"/>
      <c r="AV51" s="396"/>
      <c r="AW51" s="327"/>
      <c r="AX51" s="324"/>
      <c r="BI51" s="491">
        <v>2021</v>
      </c>
      <c r="BJ51" s="956"/>
      <c r="BK51" s="956"/>
      <c r="BL51" s="956"/>
      <c r="BM51" s="956"/>
      <c r="BN51" s="957"/>
    </row>
    <row r="52" spans="1:66" ht="15" thickBot="1" x14ac:dyDescent="0.35">
      <c r="A52" s="399"/>
      <c r="B52" s="428"/>
      <c r="C52" s="808"/>
      <c r="D52" s="809"/>
      <c r="E52" s="809"/>
      <c r="F52" s="809"/>
      <c r="G52" s="809"/>
      <c r="H52" s="809"/>
      <c r="I52" s="809"/>
      <c r="J52" s="810"/>
      <c r="K52" s="452" t="str">
        <f>IF((SUM(C52:J52)&gt;0),SUM(C52:J52),"")</f>
        <v/>
      </c>
      <c r="L52" s="28"/>
      <c r="M52" s="282"/>
      <c r="N52" s="283"/>
      <c r="O52" s="284"/>
      <c r="P52" s="283"/>
      <c r="Q52" s="283"/>
      <c r="R52" s="284"/>
      <c r="S52" s="283"/>
      <c r="T52" s="283"/>
      <c r="U52" s="284"/>
      <c r="V52" s="283"/>
      <c r="W52" s="283"/>
      <c r="X52" s="284"/>
      <c r="Y52" s="283"/>
      <c r="Z52" s="283"/>
      <c r="AA52" s="284"/>
      <c r="AB52" s="283"/>
      <c r="AC52" s="283"/>
      <c r="AD52" s="284"/>
      <c r="AE52" s="283"/>
      <c r="AF52" s="283"/>
      <c r="AG52" s="284"/>
      <c r="AH52" s="283"/>
      <c r="AI52" s="283"/>
      <c r="AJ52" s="284"/>
      <c r="AK52" s="285" t="str">
        <f t="shared" si="8"/>
        <v/>
      </c>
      <c r="AL52" s="286" t="str">
        <f t="shared" si="21"/>
        <v/>
      </c>
      <c r="AM52" s="287" t="str">
        <f t="shared" si="21"/>
        <v/>
      </c>
      <c r="AN52" s="306"/>
      <c r="AO52" s="288"/>
      <c r="AP52" s="347"/>
      <c r="AQ52" s="347"/>
      <c r="AR52" s="348"/>
      <c r="AS52" s="347"/>
      <c r="AT52" s="348"/>
      <c r="AU52" s="230"/>
      <c r="AV52" s="398"/>
      <c r="AW52" s="349"/>
      <c r="AX52" s="350"/>
    </row>
    <row r="54" spans="1:66" ht="15" thickBot="1" x14ac:dyDescent="0.35"/>
    <row r="55" spans="1:66" x14ac:dyDescent="0.3">
      <c r="A55" s="700" t="s">
        <v>382</v>
      </c>
      <c r="B55" s="886"/>
      <c r="C55" s="884" t="str">
        <f>C3</f>
        <v>1.1 (32)</v>
      </c>
      <c r="D55" s="881" t="str">
        <f>D3</f>
        <v>1.2 (42)</v>
      </c>
      <c r="E55" s="881" t="str">
        <f>E3</f>
        <v>2.1 (43)</v>
      </c>
      <c r="F55" s="881" t="str">
        <f>F3</f>
        <v>1.3 (52)</v>
      </c>
      <c r="G55" s="882" t="str">
        <f>G3</f>
        <v>2.2 (53)</v>
      </c>
      <c r="H55" s="878" t="s">
        <v>384</v>
      </c>
      <c r="I55" s="876" t="s">
        <v>385</v>
      </c>
      <c r="J55" s="877" t="s">
        <v>386</v>
      </c>
    </row>
    <row r="56" spans="1:66" x14ac:dyDescent="0.3">
      <c r="A56" s="700" t="s">
        <v>387</v>
      </c>
      <c r="B56" s="887">
        <f>B35</f>
        <v>2011</v>
      </c>
      <c r="C56" s="885">
        <f>C35/$K35</f>
        <v>0.15300546448087432</v>
      </c>
      <c r="D56" s="880">
        <f>D35/$K35</f>
        <v>0.80327868852459017</v>
      </c>
      <c r="E56" s="880">
        <f>E35/$K35</f>
        <v>2.7322404371584699E-3</v>
      </c>
      <c r="F56" s="880">
        <f>F35/$K35</f>
        <v>4.0983606557377046E-2</v>
      </c>
      <c r="G56" s="883">
        <f>G35/$K35</f>
        <v>0</v>
      </c>
      <c r="H56" s="879"/>
      <c r="I56" s="875"/>
      <c r="J56" s="767"/>
    </row>
    <row r="57" spans="1:66" x14ac:dyDescent="0.3">
      <c r="A57" s="700" t="s">
        <v>388</v>
      </c>
      <c r="B57" s="887">
        <f t="shared" ref="B57:B66" si="22">B36</f>
        <v>2012</v>
      </c>
      <c r="C57" s="885">
        <f t="shared" ref="C57:G67" si="23">C36/$K36</f>
        <v>2.5575447570332483E-3</v>
      </c>
      <c r="D57" s="880">
        <f t="shared" si="23"/>
        <v>0.97698209718670082</v>
      </c>
      <c r="E57" s="880">
        <f t="shared" si="23"/>
        <v>7.6726342710997453E-3</v>
      </c>
      <c r="F57" s="880">
        <f t="shared" si="23"/>
        <v>1.0230179028132993E-2</v>
      </c>
      <c r="G57" s="883">
        <f t="shared" si="23"/>
        <v>2.5575447570332483E-3</v>
      </c>
      <c r="H57" s="879"/>
      <c r="I57" s="875"/>
      <c r="J57" s="767"/>
    </row>
    <row r="58" spans="1:66" x14ac:dyDescent="0.3">
      <c r="A58" s="700" t="s">
        <v>389</v>
      </c>
      <c r="B58" s="887">
        <f t="shared" si="22"/>
        <v>2013</v>
      </c>
      <c r="C58" s="885">
        <f t="shared" si="23"/>
        <v>0.18025751072961374</v>
      </c>
      <c r="D58" s="880">
        <f t="shared" si="23"/>
        <v>0.66094420600858372</v>
      </c>
      <c r="E58" s="880">
        <f t="shared" si="23"/>
        <v>3.0042918454935619E-2</v>
      </c>
      <c r="F58" s="880">
        <f t="shared" si="23"/>
        <v>3.0042918454935619E-2</v>
      </c>
      <c r="G58" s="883">
        <f t="shared" si="23"/>
        <v>9.8712446351931327E-2</v>
      </c>
      <c r="H58" s="879"/>
      <c r="I58" s="875"/>
      <c r="J58" s="767"/>
    </row>
    <row r="59" spans="1:66" x14ac:dyDescent="0.3">
      <c r="B59" s="887">
        <f t="shared" si="22"/>
        <v>2014</v>
      </c>
      <c r="C59" s="885">
        <f t="shared" si="23"/>
        <v>6.9930069930069935E-2</v>
      </c>
      <c r="D59" s="880">
        <f t="shared" si="23"/>
        <v>0.89510489510489499</v>
      </c>
      <c r="E59" s="880">
        <f t="shared" si="23"/>
        <v>0</v>
      </c>
      <c r="F59" s="880">
        <f t="shared" si="23"/>
        <v>3.2634032634032632E-2</v>
      </c>
      <c r="G59" s="883">
        <f t="shared" si="23"/>
        <v>2.331002331002331E-3</v>
      </c>
      <c r="H59" s="879"/>
      <c r="I59" s="875"/>
      <c r="J59" s="767"/>
    </row>
    <row r="60" spans="1:66" x14ac:dyDescent="0.3">
      <c r="B60" s="887">
        <f t="shared" si="22"/>
        <v>2015</v>
      </c>
      <c r="C60" s="885">
        <f t="shared" si="23"/>
        <v>0</v>
      </c>
      <c r="D60" s="880">
        <f t="shared" si="23"/>
        <v>0.93913043478260871</v>
      </c>
      <c r="E60" s="880">
        <f t="shared" si="23"/>
        <v>8.6956521739130436E-3</v>
      </c>
      <c r="F60" s="880">
        <f t="shared" si="23"/>
        <v>4.3478260869565216E-2</v>
      </c>
      <c r="G60" s="883">
        <f t="shared" si="23"/>
        <v>8.6956521739130436E-3</v>
      </c>
      <c r="H60" s="879"/>
      <c r="I60" s="875"/>
      <c r="J60" s="767"/>
    </row>
    <row r="61" spans="1:66" x14ac:dyDescent="0.3">
      <c r="B61" s="887">
        <f t="shared" si="22"/>
        <v>2016</v>
      </c>
      <c r="C61" s="885">
        <f t="shared" si="23"/>
        <v>1.015228426395939E-2</v>
      </c>
      <c r="D61" s="880">
        <f t="shared" si="23"/>
        <v>0.95685279187817263</v>
      </c>
      <c r="E61" s="880">
        <f t="shared" si="23"/>
        <v>2.5380710659898475E-3</v>
      </c>
      <c r="F61" s="880">
        <f t="shared" si="23"/>
        <v>2.5380710659898477E-2</v>
      </c>
      <c r="G61" s="883">
        <f t="shared" si="23"/>
        <v>5.076142131979695E-3</v>
      </c>
      <c r="H61" s="879"/>
      <c r="I61" s="875"/>
      <c r="J61" s="767"/>
    </row>
    <row r="62" spans="1:66" x14ac:dyDescent="0.3">
      <c r="B62" s="887">
        <f t="shared" si="22"/>
        <v>2017</v>
      </c>
      <c r="C62" s="885">
        <f t="shared" si="23"/>
        <v>8.3993660855784469E-2</v>
      </c>
      <c r="D62" s="880">
        <f t="shared" si="23"/>
        <v>0.74960380348652933</v>
      </c>
      <c r="E62" s="880">
        <f t="shared" si="23"/>
        <v>1.5847860538827259E-2</v>
      </c>
      <c r="F62" s="880">
        <f t="shared" si="23"/>
        <v>0.1473851030110935</v>
      </c>
      <c r="G62" s="883">
        <f t="shared" si="23"/>
        <v>3.1695721077654518E-3</v>
      </c>
      <c r="H62" s="879"/>
      <c r="I62" s="875"/>
      <c r="J62" s="767"/>
    </row>
    <row r="63" spans="1:66" x14ac:dyDescent="0.3">
      <c r="B63" s="887">
        <f t="shared" si="22"/>
        <v>2018</v>
      </c>
      <c r="C63" s="885">
        <f t="shared" si="23"/>
        <v>1.9723865877712033E-3</v>
      </c>
      <c r="D63" s="880">
        <f t="shared" si="23"/>
        <v>0.97633136094674555</v>
      </c>
      <c r="E63" s="880">
        <f t="shared" si="23"/>
        <v>5.9171597633136093E-3</v>
      </c>
      <c r="F63" s="880">
        <f t="shared" si="23"/>
        <v>1.3806706114398421E-2</v>
      </c>
      <c r="G63" s="883">
        <f t="shared" si="23"/>
        <v>1.9723865877712033E-3</v>
      </c>
      <c r="H63" s="879"/>
      <c r="I63" s="875"/>
      <c r="J63" s="767"/>
    </row>
    <row r="64" spans="1:66" x14ac:dyDescent="0.3">
      <c r="B64" s="887">
        <f t="shared" si="22"/>
        <v>2019</v>
      </c>
      <c r="C64" s="885">
        <f t="shared" si="23"/>
        <v>0.16715542521994134</v>
      </c>
      <c r="D64" s="880">
        <f t="shared" si="23"/>
        <v>0.52492668621700878</v>
      </c>
      <c r="E64" s="880">
        <f t="shared" si="23"/>
        <v>5.8651026392961877E-3</v>
      </c>
      <c r="F64" s="880">
        <f t="shared" si="23"/>
        <v>0.29912023460410558</v>
      </c>
      <c r="G64" s="883">
        <f t="shared" si="23"/>
        <v>2.9325513196480938E-3</v>
      </c>
      <c r="H64" s="879"/>
      <c r="I64" s="875"/>
      <c r="J64" s="767"/>
    </row>
    <row r="65" spans="2:10" x14ac:dyDescent="0.3">
      <c r="B65" s="887">
        <f t="shared" si="22"/>
        <v>2020</v>
      </c>
      <c r="C65" s="885">
        <f t="shared" si="23"/>
        <v>1.0999999999999998E-2</v>
      </c>
      <c r="D65" s="880">
        <f t="shared" si="23"/>
        <v>0.97099999999999997</v>
      </c>
      <c r="E65" s="880">
        <f t="shared" si="23"/>
        <v>0</v>
      </c>
      <c r="F65" s="880">
        <f t="shared" si="23"/>
        <v>1.7999999999999999E-2</v>
      </c>
      <c r="G65" s="883">
        <f t="shared" si="23"/>
        <v>0</v>
      </c>
      <c r="H65" s="879"/>
      <c r="I65" s="875"/>
      <c r="J65" s="767"/>
    </row>
    <row r="66" spans="2:10" x14ac:dyDescent="0.3">
      <c r="B66" s="887">
        <f t="shared" si="22"/>
        <v>2021</v>
      </c>
      <c r="C66" s="885">
        <f t="shared" si="23"/>
        <v>0.17799999999999999</v>
      </c>
      <c r="D66" s="880">
        <f t="shared" si="23"/>
        <v>0.76500000000000001</v>
      </c>
      <c r="E66" s="880">
        <f t="shared" si="23"/>
        <v>0</v>
      </c>
      <c r="F66" s="880">
        <f t="shared" si="23"/>
        <v>5.7000000000000009E-2</v>
      </c>
      <c r="G66" s="883">
        <f t="shared" si="23"/>
        <v>0</v>
      </c>
      <c r="H66" s="879"/>
      <c r="I66" s="875"/>
      <c r="J66" s="767"/>
    </row>
    <row r="67" spans="2:10" ht="15" thickBot="1" x14ac:dyDescent="0.35">
      <c r="B67" s="888">
        <f>B46</f>
        <v>2022</v>
      </c>
      <c r="C67" s="889">
        <f>C46/$K46</f>
        <v>1.9E-2</v>
      </c>
      <c r="D67" s="890">
        <f t="shared" si="23"/>
        <v>0.86099999999999999</v>
      </c>
      <c r="E67" s="890">
        <f t="shared" si="23"/>
        <v>8.0000000000000002E-3</v>
      </c>
      <c r="F67" s="890">
        <f t="shared" si="23"/>
        <v>0.12</v>
      </c>
      <c r="G67" s="891">
        <f t="shared" si="23"/>
        <v>0</v>
      </c>
      <c r="H67" s="892"/>
      <c r="I67" s="893"/>
      <c r="J67" s="894"/>
    </row>
    <row r="68" spans="2:10" ht="15" thickBot="1" x14ac:dyDescent="0.35">
      <c r="B68" s="895" t="s">
        <v>390</v>
      </c>
      <c r="C68" s="896">
        <f>AVERAGE(C56:C67)</f>
        <v>7.3085362235420628E-2</v>
      </c>
      <c r="D68" s="897">
        <f>AVERAGE(D56:D67)</f>
        <v>0.84001291367798636</v>
      </c>
      <c r="E68" s="897">
        <f>AVERAGE(E56:E67)</f>
        <v>7.2759699453778153E-3</v>
      </c>
      <c r="F68" s="897">
        <f>AVERAGE(F56:F67)</f>
        <v>6.9838479327794967E-2</v>
      </c>
      <c r="G68" s="898">
        <f>AVERAGE(G56:G67)</f>
        <v>1.0453941480087034E-2</v>
      </c>
      <c r="H68" s="899">
        <f>E68+C68</f>
        <v>8.0361332180798439E-2</v>
      </c>
      <c r="I68" s="900">
        <f>D68+G68</f>
        <v>0.85046685515807341</v>
      </c>
      <c r="J68" s="901">
        <f>F68</f>
        <v>6.9838479327794967E-2</v>
      </c>
    </row>
    <row r="69" spans="2:10" x14ac:dyDescent="0.3">
      <c r="B69" s="874"/>
    </row>
    <row r="70" spans="2:10" x14ac:dyDescent="0.3">
      <c r="B70" s="874"/>
    </row>
    <row r="71" spans="2:10" x14ac:dyDescent="0.3">
      <c r="B71" s="874"/>
    </row>
  </sheetData>
  <sheetProtection formatCells="0" formatColumns="0" formatRows="0" sort="0" autoFilter="0" pivotTables="0"/>
  <mergeCells count="30">
    <mergeCell ref="S2:U2"/>
    <mergeCell ref="V2:X2"/>
    <mergeCell ref="Y2:AA2"/>
    <mergeCell ref="A1:A3"/>
    <mergeCell ref="B1:B3"/>
    <mergeCell ref="C1:L1"/>
    <mergeCell ref="M1:AO1"/>
    <mergeCell ref="AB2:AD2"/>
    <mergeCell ref="AE2:AG2"/>
    <mergeCell ref="AH2:AJ2"/>
    <mergeCell ref="AK2:AM2"/>
    <mergeCell ref="C2:J2"/>
    <mergeCell ref="K2:K3"/>
    <mergeCell ref="L2:L3"/>
    <mergeCell ref="M2:O2"/>
    <mergeCell ref="P2:R2"/>
    <mergeCell ref="AT2:AT3"/>
    <mergeCell ref="AU2:AU3"/>
    <mergeCell ref="AY2:BF2"/>
    <mergeCell ref="BI2:BN2"/>
    <mergeCell ref="AN2:AN3"/>
    <mergeCell ref="AO2:AO3"/>
    <mergeCell ref="AP2:AP3"/>
    <mergeCell ref="AQ2:AQ3"/>
    <mergeCell ref="AR2:AR3"/>
    <mergeCell ref="AS2:AS3"/>
    <mergeCell ref="AW1:AW3"/>
    <mergeCell ref="AX1:AX3"/>
    <mergeCell ref="AP1:AU1"/>
    <mergeCell ref="AV1:AV3"/>
  </mergeCells>
  <conditionalFormatting sqref="K4:K52">
    <cfRule type="dataBar" priority="1">
      <dataBar>
        <cfvo type="min"/>
        <cfvo type="max"/>
        <color rgb="FF008AEF"/>
      </dataBar>
      <extLst>
        <ext xmlns:x14="http://schemas.microsoft.com/office/spreadsheetml/2009/9/main" uri="{B025F937-C7B1-47D3-B67F-A62EFF666E3E}">
          <x14:id>{895DA3DD-B019-4C05-932E-4BBABE1B07F8}</x14:id>
        </ext>
      </extLst>
    </cfRule>
  </conditionalFormatting>
  <conditionalFormatting sqref="AL4:AL52">
    <cfRule type="dataBar" priority="3">
      <dataBar>
        <cfvo type="min"/>
        <cfvo type="max"/>
        <color rgb="FFFFB628"/>
      </dataBar>
      <extLst>
        <ext xmlns:x14="http://schemas.microsoft.com/office/spreadsheetml/2009/9/main" uri="{B025F937-C7B1-47D3-B67F-A62EFF666E3E}">
          <x14:id>{E40DE085-7BCC-446E-90E7-3AC592A5D091}</x14:id>
        </ext>
      </extLst>
    </cfRule>
  </conditionalFormatting>
  <conditionalFormatting sqref="AM4:AM52">
    <cfRule type="dataBar" priority="2">
      <dataBar>
        <cfvo type="min"/>
        <cfvo type="max"/>
        <color rgb="FFFFB628"/>
      </dataBar>
      <extLst>
        <ext xmlns:x14="http://schemas.microsoft.com/office/spreadsheetml/2009/9/main" uri="{B025F937-C7B1-47D3-B67F-A62EFF666E3E}">
          <x14:id>{4A502CC7-2A80-4282-AC07-D801BA31C549}</x14:id>
        </ext>
      </extLst>
    </cfRule>
  </conditionalFormatting>
  <hyperlinks>
    <hyperlink ref="AX9" r:id="rId1" xr:uid="{7BBA0A81-F474-49E6-BE3A-0D176C60C96B}"/>
    <hyperlink ref="AX10" r:id="rId2" xr:uid="{504177C0-A38E-4932-B0D5-EF161C8EE0D4}"/>
    <hyperlink ref="AX11" r:id="rId3" xr:uid="{A6156539-7014-4608-86C5-F4CC3F71EA32}"/>
    <hyperlink ref="AX12" r:id="rId4" xr:uid="{594F5ED0-EA7B-489C-A424-0E1B80D7D979}"/>
    <hyperlink ref="AX13" r:id="rId5" xr:uid="{108237A6-0DD4-42C8-8259-55A15704018F}"/>
    <hyperlink ref="AX14" r:id="rId6" xr:uid="{410EAAB4-37F0-4590-ADF4-CAA9A2DBFD02}"/>
    <hyperlink ref="AX15" r:id="rId7" xr:uid="{2E6BD22A-941B-4E59-899B-D992EB0F8A82}"/>
    <hyperlink ref="AX16" r:id="rId8" xr:uid="{16A9B70A-D122-418D-BAF6-FBD4B8B22E4F}"/>
    <hyperlink ref="AX17" r:id="rId9" xr:uid="{54EC4CAB-9872-4F3E-9EE5-FF9FD7D2FCCC}"/>
    <hyperlink ref="AX18" r:id="rId10" xr:uid="{16E34088-F65B-4BA7-A59B-7E6B421F01D1}"/>
    <hyperlink ref="AX19" r:id="rId11" xr:uid="{CDED053A-687B-4B2F-8AC7-92664245DE1B}"/>
    <hyperlink ref="AX20" r:id="rId12" xr:uid="{91AB5D96-6AF3-4E10-812A-3DFBB6463A00}"/>
    <hyperlink ref="AX21" r:id="rId13" xr:uid="{929D5B54-D887-47EA-90A0-DFF5548FA99C}"/>
    <hyperlink ref="AX22" r:id="rId14" xr:uid="{1CFF705F-88B2-4F57-9810-685765B4E18D}"/>
    <hyperlink ref="AX23" r:id="rId15" xr:uid="{79F30AD7-1F43-43A0-9A5D-550EB9F7EE8B}"/>
    <hyperlink ref="AX24" r:id="rId16" xr:uid="{AC55FC16-11AF-49A2-A9BE-CBF60AA1B0BA}"/>
    <hyperlink ref="AX25" r:id="rId17" xr:uid="{9491D952-BD01-4EF5-A17C-58D752D85757}"/>
    <hyperlink ref="AX26" r:id="rId18" xr:uid="{D0E0DA9B-7C71-4076-8BBC-C1534BE0D080}"/>
    <hyperlink ref="AX27" r:id="rId19" xr:uid="{6E6FE296-A445-479D-9F00-2DF849E5BAB7}"/>
    <hyperlink ref="AX28" r:id="rId20" xr:uid="{28C8C170-CC92-4B8A-8FCA-2E6CD054CF72}"/>
    <hyperlink ref="AX29" r:id="rId21" xr:uid="{FA1388A3-A854-4E18-A631-052DC05EBCB2}"/>
    <hyperlink ref="AX30" r:id="rId22" xr:uid="{0AEB3FAE-57F1-4E88-A2D8-E2AD4493712A}"/>
    <hyperlink ref="AX31" r:id="rId23" xr:uid="{BBC8FAF8-EB64-4D54-9B43-4FB879BA981C}"/>
    <hyperlink ref="AX32" r:id="rId24" xr:uid="{039ED099-3E8F-4F81-9D5E-E149901FF169}"/>
    <hyperlink ref="AX33" r:id="rId25" xr:uid="{BEC225D3-B7D9-4008-B100-86377EC1ABE1}"/>
    <hyperlink ref="AX34" r:id="rId26" xr:uid="{2A49BBD0-0BEC-46F3-8DB0-3E6757DF2EFF}"/>
    <hyperlink ref="AX35" r:id="rId27" xr:uid="{F7AF4D2C-A227-428E-B24A-4813BD0EFF71}"/>
    <hyperlink ref="AX36" r:id="rId28" xr:uid="{F63EC0C7-BFB8-4C3B-94D5-225E81088F72}"/>
    <hyperlink ref="AX37" r:id="rId29" xr:uid="{0D8874FE-4512-430A-AA36-DED1325378B1}"/>
    <hyperlink ref="AX38" r:id="rId30" xr:uid="{54F1C254-C10E-4116-B079-47BD30FD8461}"/>
    <hyperlink ref="AX39" r:id="rId31" xr:uid="{0D294869-4502-480D-858A-603D0025B143}"/>
    <hyperlink ref="AX40" r:id="rId32" xr:uid="{BD389486-C183-4DF1-917A-3FBDFAAB239F}"/>
    <hyperlink ref="AX41" r:id="rId33" xr:uid="{07487219-3932-489A-801D-E49964362A34}"/>
    <hyperlink ref="AX42" r:id="rId34" xr:uid="{7B9D9D5A-34D7-4189-A299-D8CB5AD1906F}"/>
    <hyperlink ref="AX43" r:id="rId35" xr:uid="{DDD16FDE-FED2-4682-B34A-A3AB7E117295}"/>
    <hyperlink ref="AX44" r:id="rId36" xr:uid="{5D0AD1E1-81E3-450C-B64B-49AED5F77A1C}"/>
    <hyperlink ref="AX45" r:id="rId37" xr:uid="{DF66231B-223A-4440-8D09-CB2CD9121CF1}"/>
  </hyperlinks>
  <pageMargins left="0.7" right="0.7" top="0.75" bottom="0.75" header="0.3" footer="0.3"/>
  <pageSetup orientation="portrait" r:id="rId38"/>
  <legacyDrawing r:id="rId39"/>
  <extLst>
    <ext xmlns:x14="http://schemas.microsoft.com/office/spreadsheetml/2009/9/main" uri="{78C0D931-6437-407d-A8EE-F0AAD7539E65}">
      <x14:conditionalFormattings>
        <x14:conditionalFormatting xmlns:xm="http://schemas.microsoft.com/office/excel/2006/main">
          <x14:cfRule type="dataBar" id="{895DA3DD-B019-4C05-932E-4BBABE1B07F8}">
            <x14:dataBar minLength="0" maxLength="100" border="1" negativeBarBorderColorSameAsPositive="0">
              <x14:cfvo type="autoMin"/>
              <x14:cfvo type="autoMax"/>
              <x14:borderColor rgb="FF008AEF"/>
              <x14:negativeFillColor rgb="FFFF0000"/>
              <x14:negativeBorderColor rgb="FFFF0000"/>
              <x14:axisColor rgb="FF000000"/>
            </x14:dataBar>
          </x14:cfRule>
          <xm:sqref>K4:K52</xm:sqref>
        </x14:conditionalFormatting>
        <x14:conditionalFormatting xmlns:xm="http://schemas.microsoft.com/office/excel/2006/main">
          <x14:cfRule type="dataBar" id="{E40DE085-7BCC-446E-90E7-3AC592A5D091}">
            <x14:dataBar minLength="0" maxLength="100" border="1" negativeBarBorderColorSameAsPositive="0">
              <x14:cfvo type="autoMin"/>
              <x14:cfvo type="autoMax"/>
              <x14:borderColor rgb="FFFFB628"/>
              <x14:negativeFillColor rgb="FFFF0000"/>
              <x14:negativeBorderColor rgb="FFFF0000"/>
              <x14:axisColor rgb="FF000000"/>
            </x14:dataBar>
          </x14:cfRule>
          <xm:sqref>AL4:AL52</xm:sqref>
        </x14:conditionalFormatting>
        <x14:conditionalFormatting xmlns:xm="http://schemas.microsoft.com/office/excel/2006/main">
          <x14:cfRule type="dataBar" id="{4A502CC7-2A80-4282-AC07-D801BA31C549}">
            <x14:dataBar minLength="0" maxLength="100" border="1" negativeBarBorderColorSameAsPositive="0">
              <x14:cfvo type="autoMin"/>
              <x14:cfvo type="autoMax"/>
              <x14:borderColor rgb="FFFFB628"/>
              <x14:negativeFillColor rgb="FFFF0000"/>
              <x14:negativeBorderColor rgb="FFFF0000"/>
              <x14:axisColor rgb="FF000000"/>
            </x14:dataBar>
          </x14:cfRule>
          <xm:sqref>AM4:AM52</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r:uid="{403B2ED2-7538-49D5-9CE0-C1B0EC5508FA}">
          <x14:formula1>
            <xm:f>Lookup!$A$2:$A$5</xm:f>
          </x14:formula1>
          <xm:sqref>AN4:AN52</xm:sqref>
        </x14:dataValidation>
      </x14:dataValidations>
    </ext>
  </extLst>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5B22DD-0856-496A-A90F-04AB555F8F89}">
  <sheetPr codeName="Sheet37">
    <tabColor theme="1"/>
  </sheetPr>
  <dimension ref="A1:C21"/>
  <sheetViews>
    <sheetView workbookViewId="0">
      <selection activeCell="C15" sqref="C15"/>
    </sheetView>
  </sheetViews>
  <sheetFormatPr defaultRowHeight="14.4" x14ac:dyDescent="0.3"/>
  <cols>
    <col min="1" max="1" width="3" style="664" bestFit="1" customWidth="1"/>
    <col min="2" max="2" width="5" style="664" bestFit="1" customWidth="1"/>
    <col min="3" max="3" width="20.33203125" style="664" bestFit="1" customWidth="1"/>
  </cols>
  <sheetData>
    <row r="1" spans="1:3" x14ac:dyDescent="0.3">
      <c r="B1" s="664" t="s">
        <v>15</v>
      </c>
      <c r="C1" s="664" t="s">
        <v>1178</v>
      </c>
    </row>
    <row r="2" spans="1:3" x14ac:dyDescent="0.3">
      <c r="A2" s="664">
        <v>1</v>
      </c>
      <c r="B2" s="664">
        <v>2001</v>
      </c>
      <c r="C2" s="1709">
        <v>44260</v>
      </c>
    </row>
    <row r="3" spans="1:3" x14ac:dyDescent="0.3">
      <c r="A3" s="664">
        <v>2</v>
      </c>
      <c r="B3" s="664">
        <v>2002</v>
      </c>
      <c r="C3" s="1709">
        <v>1128</v>
      </c>
    </row>
    <row r="4" spans="1:3" x14ac:dyDescent="0.3">
      <c r="A4" s="664">
        <v>3</v>
      </c>
      <c r="B4" s="664">
        <v>2003</v>
      </c>
      <c r="C4" s="1709">
        <v>15295</v>
      </c>
    </row>
    <row r="5" spans="1:3" x14ac:dyDescent="0.3">
      <c r="A5" s="664">
        <v>4</v>
      </c>
      <c r="B5" s="664">
        <v>2004</v>
      </c>
      <c r="C5" s="1709">
        <v>38354</v>
      </c>
    </row>
    <row r="6" spans="1:3" x14ac:dyDescent="0.3">
      <c r="A6" s="664">
        <v>5</v>
      </c>
      <c r="B6" s="664">
        <v>2005</v>
      </c>
      <c r="C6" s="1709">
        <v>36144</v>
      </c>
    </row>
    <row r="7" spans="1:3" x14ac:dyDescent="0.3">
      <c r="A7" s="664">
        <v>6</v>
      </c>
      <c r="B7" s="664">
        <v>2006</v>
      </c>
      <c r="C7" s="1709">
        <v>24597</v>
      </c>
    </row>
    <row r="8" spans="1:3" x14ac:dyDescent="0.3">
      <c r="A8" s="664">
        <v>7</v>
      </c>
      <c r="B8" s="664">
        <v>2007</v>
      </c>
      <c r="C8" s="1709">
        <v>11020</v>
      </c>
    </row>
    <row r="9" spans="1:3" x14ac:dyDescent="0.3">
      <c r="A9" s="664">
        <v>8</v>
      </c>
      <c r="B9" s="664">
        <v>2008</v>
      </c>
      <c r="C9" s="1709">
        <v>133584</v>
      </c>
    </row>
    <row r="10" spans="1:3" x14ac:dyDescent="0.3">
      <c r="A10" s="664">
        <v>9</v>
      </c>
      <c r="B10" s="664">
        <v>2009</v>
      </c>
      <c r="C10" s="1709">
        <v>72969</v>
      </c>
    </row>
    <row r="11" spans="1:3" x14ac:dyDescent="0.3">
      <c r="A11" s="664">
        <v>10</v>
      </c>
      <c r="B11" s="664">
        <v>2010</v>
      </c>
      <c r="C11" s="1709">
        <v>199768</v>
      </c>
    </row>
    <row r="12" spans="1:3" x14ac:dyDescent="0.3">
      <c r="A12" s="664">
        <v>11</v>
      </c>
      <c r="B12" s="664">
        <v>2011</v>
      </c>
      <c r="C12" s="1709">
        <v>59571</v>
      </c>
    </row>
    <row r="13" spans="1:3" x14ac:dyDescent="0.3">
      <c r="A13" s="664">
        <v>12</v>
      </c>
      <c r="B13" s="664">
        <v>2012</v>
      </c>
      <c r="C13" s="1709">
        <v>93672</v>
      </c>
    </row>
    <row r="14" spans="1:3" x14ac:dyDescent="0.3">
      <c r="A14" s="664">
        <v>13</v>
      </c>
      <c r="B14" s="664">
        <v>2013</v>
      </c>
      <c r="C14" s="1709">
        <v>37862</v>
      </c>
    </row>
    <row r="15" spans="1:3" x14ac:dyDescent="0.3">
      <c r="A15" s="664">
        <v>14</v>
      </c>
      <c r="B15" s="664">
        <v>2014</v>
      </c>
      <c r="C15" s="1709">
        <v>154183</v>
      </c>
    </row>
    <row r="16" spans="1:3" x14ac:dyDescent="0.3">
      <c r="A16" s="664">
        <v>15</v>
      </c>
      <c r="B16" s="664">
        <v>2015</v>
      </c>
      <c r="C16" s="1709">
        <v>7547</v>
      </c>
    </row>
    <row r="17" spans="1:3" x14ac:dyDescent="0.3">
      <c r="A17" s="664">
        <v>16</v>
      </c>
      <c r="B17" s="664">
        <v>2016</v>
      </c>
      <c r="C17" s="1709">
        <v>67376</v>
      </c>
    </row>
    <row r="18" spans="1:3" x14ac:dyDescent="0.3">
      <c r="A18" s="664">
        <v>17</v>
      </c>
      <c r="B18" s="664">
        <v>2017</v>
      </c>
      <c r="C18" s="1709">
        <v>5753</v>
      </c>
    </row>
    <row r="19" spans="1:3" x14ac:dyDescent="0.3">
      <c r="A19" s="664">
        <v>18</v>
      </c>
      <c r="B19" s="664">
        <v>2018</v>
      </c>
      <c r="C19" s="1709">
        <v>29404</v>
      </c>
    </row>
    <row r="20" spans="1:3" x14ac:dyDescent="0.3">
      <c r="A20" s="664">
        <v>19</v>
      </c>
      <c r="B20" s="664">
        <v>2019</v>
      </c>
      <c r="C20" s="1709">
        <v>9453</v>
      </c>
    </row>
    <row r="21" spans="1:3" x14ac:dyDescent="0.3">
      <c r="A21" s="664">
        <v>20</v>
      </c>
      <c r="B21" s="664">
        <v>2020</v>
      </c>
      <c r="C21" s="1709">
        <v>48499</v>
      </c>
    </row>
  </sheetData>
  <pageMargins left="0.7" right="0.7" top="0.75" bottom="0.75" header="0.3" footer="0.3"/>
  <legacy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0B4777-A68D-41C6-B3F3-56BEBB942923}">
  <sheetPr codeName="Sheet27"/>
  <dimension ref="A1:AE17"/>
  <sheetViews>
    <sheetView workbookViewId="0">
      <pane xSplit="1" ySplit="1" topLeftCell="B2" activePane="bottomRight" state="frozen"/>
      <selection pane="topRight" activeCell="B1" sqref="B1"/>
      <selection pane="bottomLeft" activeCell="A2" sqref="A2"/>
      <selection pane="bottomRight" activeCell="S33" sqref="S33"/>
    </sheetView>
  </sheetViews>
  <sheetFormatPr defaultRowHeight="14.4" x14ac:dyDescent="0.3"/>
  <cols>
    <col min="1" max="1" width="10.6640625" bestFit="1" customWidth="1"/>
    <col min="2" max="4" width="5.5546875" bestFit="1" customWidth="1"/>
    <col min="5" max="10" width="5.6640625" bestFit="1" customWidth="1"/>
    <col min="11" max="11" width="5.5546875" bestFit="1" customWidth="1"/>
    <col min="12" max="12" width="5.6640625" bestFit="1" customWidth="1"/>
    <col min="13" max="13" width="5.5546875" bestFit="1" customWidth="1"/>
    <col min="14" max="15" width="5.33203125" bestFit="1" customWidth="1"/>
    <col min="16" max="16" width="5.5546875" bestFit="1" customWidth="1"/>
    <col min="17" max="17" width="5.6640625" bestFit="1" customWidth="1"/>
    <col min="20" max="20" width="7.6640625" style="664" bestFit="1" customWidth="1"/>
    <col min="21" max="21" width="5.6640625" hidden="1" customWidth="1"/>
    <col min="22" max="22" width="7.6640625" hidden="1" customWidth="1"/>
    <col min="23" max="23" width="7.44140625" hidden="1" customWidth="1"/>
    <col min="24" max="24" width="10.6640625" hidden="1" customWidth="1"/>
    <col min="25" max="25" width="9.6640625" hidden="1" customWidth="1"/>
    <col min="26" max="26" width="10.6640625" hidden="1" customWidth="1"/>
    <col min="27" max="27" width="5.44140625" hidden="1" customWidth="1"/>
    <col min="28" max="28" width="9.33203125" hidden="1" customWidth="1"/>
    <col min="29" max="29" width="4.5546875" hidden="1" customWidth="1"/>
    <col min="30" max="30" width="9.6640625" bestFit="1" customWidth="1"/>
    <col min="31" max="31" width="10" bestFit="1" customWidth="1"/>
  </cols>
  <sheetData>
    <row r="1" spans="1:31" x14ac:dyDescent="0.3">
      <c r="A1" t="s">
        <v>1179</v>
      </c>
      <c r="B1">
        <v>2006</v>
      </c>
      <c r="C1">
        <v>2007</v>
      </c>
      <c r="D1">
        <v>2008</v>
      </c>
      <c r="E1">
        <v>2009</v>
      </c>
      <c r="F1">
        <v>2010</v>
      </c>
      <c r="G1">
        <v>2011</v>
      </c>
      <c r="H1">
        <v>2012</v>
      </c>
      <c r="I1">
        <v>2013</v>
      </c>
      <c r="J1">
        <v>2014</v>
      </c>
      <c r="K1">
        <v>2015</v>
      </c>
      <c r="L1">
        <v>2016</v>
      </c>
      <c r="M1">
        <v>2017</v>
      </c>
      <c r="N1">
        <v>2018</v>
      </c>
      <c r="O1">
        <v>2019</v>
      </c>
      <c r="P1">
        <v>2020</v>
      </c>
      <c r="Q1" t="s">
        <v>425</v>
      </c>
      <c r="T1" s="664" t="s">
        <v>1179</v>
      </c>
      <c r="U1" s="664" t="s">
        <v>1180</v>
      </c>
      <c r="V1" s="664" t="s">
        <v>1181</v>
      </c>
      <c r="W1" s="664" t="s">
        <v>1182</v>
      </c>
      <c r="X1" s="664" t="s">
        <v>1183</v>
      </c>
      <c r="Y1" s="664" t="s">
        <v>1184</v>
      </c>
      <c r="Z1" s="664" t="s">
        <v>1185</v>
      </c>
      <c r="AA1" s="664" t="s">
        <v>1186</v>
      </c>
      <c r="AB1" s="664" t="s">
        <v>1187</v>
      </c>
      <c r="AC1" s="664" t="s">
        <v>1188</v>
      </c>
      <c r="AD1" s="664" t="s">
        <v>1189</v>
      </c>
      <c r="AE1" s="664" t="s">
        <v>1190</v>
      </c>
    </row>
    <row r="2" spans="1:31" x14ac:dyDescent="0.3">
      <c r="A2" t="s">
        <v>1180</v>
      </c>
      <c r="B2" s="1006"/>
      <c r="C2" s="1006"/>
      <c r="D2" s="1006"/>
      <c r="E2" s="1006"/>
      <c r="F2" s="1006"/>
      <c r="G2" s="1006"/>
      <c r="H2" s="1006"/>
      <c r="I2" s="1006">
        <v>89.5</v>
      </c>
      <c r="J2" s="1006">
        <v>93.1</v>
      </c>
      <c r="K2" s="1006">
        <v>82.8</v>
      </c>
      <c r="L2" s="1006">
        <v>94</v>
      </c>
      <c r="M2" s="1006">
        <v>89.3</v>
      </c>
      <c r="N2" s="1006">
        <v>93.3</v>
      </c>
      <c r="O2" s="1006">
        <v>94.6</v>
      </c>
      <c r="P2" s="1006">
        <v>95</v>
      </c>
      <c r="Q2" s="1006">
        <v>91.4</v>
      </c>
      <c r="T2" s="664">
        <v>2006</v>
      </c>
      <c r="U2" s="1006"/>
      <c r="V2" s="1006"/>
      <c r="W2" s="1006">
        <v>88.4</v>
      </c>
      <c r="X2" s="1006">
        <v>84.8</v>
      </c>
      <c r="Y2" s="1006">
        <v>81.099999999999994</v>
      </c>
      <c r="Z2" s="1006">
        <v>58.8</v>
      </c>
      <c r="AA2" s="1006">
        <v>53.8</v>
      </c>
      <c r="AB2" s="1006"/>
      <c r="AC2" s="1006"/>
      <c r="AD2" s="1008">
        <f t="shared" ref="AD2:AD17" si="0">Z2/$Y2</f>
        <v>0.72503082614056724</v>
      </c>
      <c r="AE2" s="1008">
        <f t="shared" ref="AE2:AE17" si="1">AA2/$Y2</f>
        <v>0.66337854500616522</v>
      </c>
    </row>
    <row r="3" spans="1:31" x14ac:dyDescent="0.3">
      <c r="A3" t="s">
        <v>1181</v>
      </c>
      <c r="B3" s="1006"/>
      <c r="C3" s="1006"/>
      <c r="D3" s="1006"/>
      <c r="E3" s="1006"/>
      <c r="F3" s="1006"/>
      <c r="G3" s="1006"/>
      <c r="H3" s="1006"/>
      <c r="N3" s="1006">
        <v>90.9</v>
      </c>
      <c r="O3" s="1006">
        <v>92.7</v>
      </c>
      <c r="P3" s="1006">
        <v>92.1</v>
      </c>
      <c r="Q3" s="1006">
        <v>91.8</v>
      </c>
      <c r="T3" s="664">
        <v>2007</v>
      </c>
      <c r="U3" s="1006"/>
      <c r="V3" s="1006"/>
      <c r="W3" s="1006">
        <v>84</v>
      </c>
      <c r="X3" s="1006">
        <v>77.400000000000006</v>
      </c>
      <c r="Y3" s="1006">
        <v>73.400000000000006</v>
      </c>
      <c r="Z3" s="1006">
        <v>62.2</v>
      </c>
      <c r="AA3" s="1006">
        <v>60.9</v>
      </c>
      <c r="AB3" s="1006"/>
      <c r="AC3" s="1006"/>
      <c r="AD3" s="1008">
        <f t="shared" si="0"/>
        <v>0.84741144414168934</v>
      </c>
      <c r="AE3" s="1008">
        <f t="shared" si="1"/>
        <v>0.82970027247956391</v>
      </c>
    </row>
    <row r="4" spans="1:31" x14ac:dyDescent="0.3">
      <c r="A4" t="s">
        <v>1182</v>
      </c>
      <c r="B4" s="1006">
        <v>88.4</v>
      </c>
      <c r="C4" s="1006">
        <v>84</v>
      </c>
      <c r="D4" s="1006">
        <v>89.4</v>
      </c>
      <c r="E4" s="1006">
        <v>85.7</v>
      </c>
      <c r="F4" s="1006">
        <v>81.5</v>
      </c>
      <c r="G4" s="1006">
        <v>76.099999999999994</v>
      </c>
      <c r="H4" s="1006">
        <v>82.4</v>
      </c>
      <c r="I4" s="1006">
        <v>83.6</v>
      </c>
      <c r="J4" s="1006">
        <v>88.3</v>
      </c>
      <c r="K4" s="1006">
        <v>54</v>
      </c>
      <c r="L4" s="1006">
        <v>89.2</v>
      </c>
      <c r="M4" s="1006">
        <v>81.7</v>
      </c>
      <c r="N4" s="1006">
        <v>88.9</v>
      </c>
      <c r="O4" s="1006">
        <v>84.2</v>
      </c>
      <c r="P4" s="1006">
        <v>90.4</v>
      </c>
      <c r="Q4" s="1006">
        <v>83.2</v>
      </c>
      <c r="T4" s="664">
        <v>2008</v>
      </c>
      <c r="U4" s="1006"/>
      <c r="V4" s="1006"/>
      <c r="W4" s="1006">
        <v>89.4</v>
      </c>
      <c r="X4" s="1006">
        <v>86.3</v>
      </c>
      <c r="Y4" s="1006">
        <v>85.8</v>
      </c>
      <c r="Z4" s="1006">
        <v>73.7</v>
      </c>
      <c r="AA4" s="1006">
        <v>71.099999999999994</v>
      </c>
      <c r="AB4" s="1006">
        <v>9.4</v>
      </c>
      <c r="AC4" s="1006"/>
      <c r="AD4" s="1008">
        <f t="shared" si="0"/>
        <v>0.85897435897435903</v>
      </c>
      <c r="AE4" s="1008">
        <f t="shared" si="1"/>
        <v>0.82867132867132864</v>
      </c>
    </row>
    <row r="5" spans="1:31" x14ac:dyDescent="0.3">
      <c r="A5" t="s">
        <v>1183</v>
      </c>
      <c r="B5" s="1006">
        <v>84.8</v>
      </c>
      <c r="C5" s="1006">
        <v>77.400000000000006</v>
      </c>
      <c r="D5" s="1006">
        <v>86.3</v>
      </c>
      <c r="E5" s="1006">
        <v>82.1</v>
      </c>
      <c r="F5" s="1006">
        <v>78.400000000000006</v>
      </c>
      <c r="G5" s="1006">
        <v>71.900000000000006</v>
      </c>
      <c r="H5" s="1006">
        <v>77.3</v>
      </c>
      <c r="I5" s="1006">
        <v>78.599999999999994</v>
      </c>
      <c r="J5" s="1006">
        <v>84.5</v>
      </c>
      <c r="K5" s="1006">
        <v>44.9</v>
      </c>
      <c r="L5" s="1006">
        <v>85.3</v>
      </c>
      <c r="M5" s="1006">
        <v>74.599999999999994</v>
      </c>
      <c r="N5" s="1006">
        <v>85.4</v>
      </c>
      <c r="O5" s="1006">
        <v>82.4</v>
      </c>
      <c r="P5" s="1006">
        <v>84.9</v>
      </c>
      <c r="Q5" s="1006">
        <v>78.5</v>
      </c>
      <c r="T5" s="664">
        <v>2009</v>
      </c>
      <c r="U5" s="1006"/>
      <c r="V5" s="1006"/>
      <c r="W5" s="1006">
        <v>85.7</v>
      </c>
      <c r="X5" s="1006">
        <v>82.1</v>
      </c>
      <c r="Y5" s="1006">
        <v>80.2</v>
      </c>
      <c r="Z5" s="1006">
        <v>67.099999999999994</v>
      </c>
      <c r="AA5" s="1006">
        <v>65.2</v>
      </c>
      <c r="AB5" s="1006">
        <v>12.2</v>
      </c>
      <c r="AC5" s="1006"/>
      <c r="AD5" s="1008">
        <f t="shared" si="0"/>
        <v>0.83665835411471312</v>
      </c>
      <c r="AE5" s="1008">
        <f t="shared" si="1"/>
        <v>0.81296758104738154</v>
      </c>
    </row>
    <row r="6" spans="1:31" x14ac:dyDescent="0.3">
      <c r="A6" t="s">
        <v>1184</v>
      </c>
      <c r="B6" s="1006">
        <v>81.099999999999994</v>
      </c>
      <c r="C6" s="1006">
        <v>73.400000000000006</v>
      </c>
      <c r="D6" s="1006">
        <v>85.8</v>
      </c>
      <c r="E6" s="1006">
        <v>80.2</v>
      </c>
      <c r="F6" s="1006">
        <v>76.3</v>
      </c>
      <c r="G6" s="1006">
        <v>68.900000000000006</v>
      </c>
      <c r="H6" s="1006">
        <v>75</v>
      </c>
      <c r="I6" s="1006">
        <v>74.2</v>
      </c>
      <c r="J6" s="1006">
        <v>79.5</v>
      </c>
      <c r="K6" s="1006">
        <v>40.6</v>
      </c>
      <c r="L6" s="1006">
        <v>81.599999999999994</v>
      </c>
      <c r="M6" s="1006">
        <v>70.8</v>
      </c>
      <c r="N6" s="1006">
        <v>80.7</v>
      </c>
      <c r="O6" s="1006">
        <v>81.599999999999994</v>
      </c>
      <c r="P6" s="1006">
        <v>77.3</v>
      </c>
      <c r="Q6" s="1006">
        <v>75.099999999999994</v>
      </c>
      <c r="T6" s="664">
        <v>2010</v>
      </c>
      <c r="U6" s="1006"/>
      <c r="V6" s="1006"/>
      <c r="W6" s="1006">
        <v>81.5</v>
      </c>
      <c r="X6" s="1006">
        <v>78.400000000000006</v>
      </c>
      <c r="Y6" s="1006">
        <v>76.3</v>
      </c>
      <c r="Z6" s="1006">
        <v>63.7</v>
      </c>
      <c r="AA6" s="1006">
        <v>62.6</v>
      </c>
      <c r="AB6" s="1006">
        <v>13.3</v>
      </c>
      <c r="AC6" s="1006">
        <v>32.5</v>
      </c>
      <c r="AD6" s="1008">
        <f t="shared" si="0"/>
        <v>0.83486238532110102</v>
      </c>
      <c r="AE6" s="1008">
        <f t="shared" si="1"/>
        <v>0.82044560943643519</v>
      </c>
    </row>
    <row r="7" spans="1:31" x14ac:dyDescent="0.3">
      <c r="A7" t="s">
        <v>1185</v>
      </c>
      <c r="B7" s="1006">
        <v>58.8</v>
      </c>
      <c r="C7" s="1006">
        <v>62.2</v>
      </c>
      <c r="D7" s="1006">
        <v>73.7</v>
      </c>
      <c r="E7" s="1006">
        <v>67.099999999999994</v>
      </c>
      <c r="F7" s="1006">
        <v>63.7</v>
      </c>
      <c r="G7" s="1006">
        <v>55.3</v>
      </c>
      <c r="H7" s="1006">
        <v>62.1</v>
      </c>
      <c r="I7" s="1006">
        <v>52.4</v>
      </c>
      <c r="J7" s="1006">
        <v>65.3</v>
      </c>
      <c r="K7" s="1006">
        <v>31.6</v>
      </c>
      <c r="L7" s="1006">
        <v>60.5</v>
      </c>
      <c r="M7" s="1006">
        <v>43.7</v>
      </c>
      <c r="N7" s="1006">
        <v>73.900000000000006</v>
      </c>
      <c r="O7" s="1006">
        <v>73.400000000000006</v>
      </c>
      <c r="P7" s="1006">
        <v>65</v>
      </c>
      <c r="Q7" s="1006">
        <v>60.5</v>
      </c>
      <c r="T7" s="664">
        <v>2011</v>
      </c>
      <c r="U7" s="1006"/>
      <c r="V7" s="1006"/>
      <c r="W7" s="1006">
        <v>76.099999999999994</v>
      </c>
      <c r="X7" s="1006">
        <v>71.900000000000006</v>
      </c>
      <c r="Y7" s="1006">
        <v>68.900000000000006</v>
      </c>
      <c r="Z7" s="1006">
        <v>55.3</v>
      </c>
      <c r="AA7" s="1006">
        <v>53.9</v>
      </c>
      <c r="AB7" s="1006">
        <v>14.2</v>
      </c>
      <c r="AC7" s="1006">
        <v>40.200000000000003</v>
      </c>
      <c r="AD7" s="1008">
        <f t="shared" si="0"/>
        <v>0.80261248185776479</v>
      </c>
      <c r="AE7" s="1008">
        <f t="shared" si="1"/>
        <v>0.78229317851959357</v>
      </c>
    </row>
    <row r="8" spans="1:31" x14ac:dyDescent="0.3">
      <c r="A8" t="s">
        <v>1186</v>
      </c>
      <c r="B8" s="1006">
        <v>53.8</v>
      </c>
      <c r="C8" s="1006">
        <v>60.9</v>
      </c>
      <c r="D8" s="1006">
        <v>71.099999999999994</v>
      </c>
      <c r="E8" s="1006">
        <v>65.2</v>
      </c>
      <c r="F8" s="1006">
        <v>62.6</v>
      </c>
      <c r="G8" s="1006">
        <v>53.9</v>
      </c>
      <c r="H8" s="1006">
        <v>60.8</v>
      </c>
      <c r="I8" s="1006">
        <v>50.5</v>
      </c>
      <c r="J8" s="1006">
        <v>64.2</v>
      </c>
      <c r="K8" s="1006">
        <v>29.4</v>
      </c>
      <c r="L8" s="1006">
        <v>59.3</v>
      </c>
      <c r="M8" s="1006">
        <v>42.5</v>
      </c>
      <c r="N8" s="1006">
        <v>72.7</v>
      </c>
      <c r="O8" s="1006">
        <v>72.400000000000006</v>
      </c>
      <c r="P8" s="1006">
        <v>63.7</v>
      </c>
      <c r="Q8" s="1006">
        <v>58.8</v>
      </c>
      <c r="T8" s="664">
        <v>2012</v>
      </c>
      <c r="U8" s="1006"/>
      <c r="V8" s="1006"/>
      <c r="W8" s="1006">
        <v>82.4</v>
      </c>
      <c r="X8" s="1006">
        <v>77.3</v>
      </c>
      <c r="Y8" s="1006">
        <v>75</v>
      </c>
      <c r="Z8" s="1006">
        <v>62.1</v>
      </c>
      <c r="AA8" s="1006">
        <v>60.8</v>
      </c>
      <c r="AB8" s="1006">
        <v>12.9</v>
      </c>
      <c r="AC8" s="1006">
        <v>25.9</v>
      </c>
      <c r="AD8" s="1008">
        <f t="shared" si="0"/>
        <v>0.82800000000000007</v>
      </c>
      <c r="AE8" s="1008">
        <f t="shared" si="1"/>
        <v>0.81066666666666665</v>
      </c>
    </row>
    <row r="9" spans="1:31" x14ac:dyDescent="0.3">
      <c r="A9" t="s">
        <v>1187</v>
      </c>
      <c r="B9" s="1006"/>
      <c r="C9" s="1006"/>
      <c r="D9" s="1006">
        <v>9.4</v>
      </c>
      <c r="E9" s="1006">
        <v>12.2</v>
      </c>
      <c r="F9" s="1006">
        <v>13.3</v>
      </c>
      <c r="G9" s="1006">
        <v>14.2</v>
      </c>
      <c r="H9" s="1006">
        <v>12.9</v>
      </c>
      <c r="I9" s="1006">
        <v>20.9</v>
      </c>
      <c r="J9" s="1006">
        <v>13.6</v>
      </c>
      <c r="K9" s="1006">
        <v>8.3000000000000007</v>
      </c>
      <c r="L9" s="1006">
        <v>20.8</v>
      </c>
      <c r="M9" s="1006">
        <v>25.8</v>
      </c>
      <c r="N9" s="1006">
        <v>6</v>
      </c>
      <c r="O9" s="1006">
        <v>8.6999999999999993</v>
      </c>
      <c r="P9" s="1006">
        <v>11.2</v>
      </c>
      <c r="Q9" s="1006">
        <v>13.6</v>
      </c>
      <c r="T9" s="664">
        <v>2013</v>
      </c>
      <c r="U9" s="1006">
        <v>89.5</v>
      </c>
      <c r="W9" s="1006">
        <v>83.6</v>
      </c>
      <c r="X9" s="1006">
        <v>78.599999999999994</v>
      </c>
      <c r="Y9" s="1006">
        <v>74.2</v>
      </c>
      <c r="Z9" s="1006">
        <v>52.4</v>
      </c>
      <c r="AA9" s="1006">
        <v>50.5</v>
      </c>
      <c r="AB9" s="1006">
        <v>20.9</v>
      </c>
      <c r="AC9" s="1006">
        <v>30.7</v>
      </c>
      <c r="AD9" s="1008">
        <f t="shared" si="0"/>
        <v>0.70619946091644203</v>
      </c>
      <c r="AE9" s="1008">
        <f t="shared" si="1"/>
        <v>0.68059299191374656</v>
      </c>
    </row>
    <row r="10" spans="1:31" x14ac:dyDescent="0.3">
      <c r="A10" t="s">
        <v>1188</v>
      </c>
      <c r="B10" s="1006"/>
      <c r="C10" s="1006"/>
      <c r="D10" s="1006"/>
      <c r="E10" s="1006"/>
      <c r="F10" s="1006">
        <v>32.5</v>
      </c>
      <c r="G10" s="1006">
        <v>40.200000000000003</v>
      </c>
      <c r="H10" s="1006">
        <v>25.9</v>
      </c>
      <c r="I10" s="1006">
        <v>30.7</v>
      </c>
      <c r="J10" s="1006">
        <v>22.5</v>
      </c>
      <c r="K10" s="1006">
        <v>2.2000000000000002</v>
      </c>
      <c r="L10" s="1006">
        <v>38.1</v>
      </c>
      <c r="M10" s="1006">
        <v>25.1</v>
      </c>
      <c r="N10" s="1006">
        <v>45.7</v>
      </c>
      <c r="O10" s="1006">
        <v>44.6</v>
      </c>
      <c r="P10" s="1006">
        <v>33.5</v>
      </c>
      <c r="Q10" s="1006">
        <v>32</v>
      </c>
      <c r="T10" s="664">
        <v>2014</v>
      </c>
      <c r="U10" s="1006">
        <v>93.1</v>
      </c>
      <c r="W10" s="1006">
        <v>88.3</v>
      </c>
      <c r="X10" s="1006">
        <v>84.5</v>
      </c>
      <c r="Y10" s="1006">
        <v>79.5</v>
      </c>
      <c r="Z10" s="1006">
        <v>65.3</v>
      </c>
      <c r="AA10" s="1006">
        <v>64.2</v>
      </c>
      <c r="AB10" s="1006">
        <v>13.6</v>
      </c>
      <c r="AC10" s="1006">
        <v>22.5</v>
      </c>
      <c r="AD10" s="1008">
        <f t="shared" si="0"/>
        <v>0.82138364779874207</v>
      </c>
      <c r="AE10" s="1008">
        <f t="shared" si="1"/>
        <v>0.8075471698113208</v>
      </c>
    </row>
    <row r="11" spans="1:31" x14ac:dyDescent="0.3">
      <c r="T11" s="664">
        <v>2015</v>
      </c>
      <c r="U11" s="1006">
        <v>82.8</v>
      </c>
      <c r="W11" s="1006">
        <v>54</v>
      </c>
      <c r="X11" s="1006">
        <v>44.9</v>
      </c>
      <c r="Y11" s="1006">
        <v>40.6</v>
      </c>
      <c r="Z11" s="1006">
        <v>31.6</v>
      </c>
      <c r="AA11" s="1006">
        <v>29.4</v>
      </c>
      <c r="AB11" s="1006">
        <v>8.3000000000000007</v>
      </c>
      <c r="AC11" s="1006">
        <v>2.2000000000000002</v>
      </c>
      <c r="AD11" s="1008">
        <f t="shared" si="0"/>
        <v>0.77832512315270941</v>
      </c>
      <c r="AE11" s="1008">
        <f t="shared" si="1"/>
        <v>0.72413793103448265</v>
      </c>
    </row>
    <row r="12" spans="1:31" x14ac:dyDescent="0.3">
      <c r="A12" t="s">
        <v>1189</v>
      </c>
      <c r="B12" s="1007">
        <f>B7/B$6</f>
        <v>0.72503082614056724</v>
      </c>
      <c r="C12" s="1007">
        <f t="shared" ref="C12:Q12" si="2">C7/C$6</f>
        <v>0.84741144414168934</v>
      </c>
      <c r="D12" s="1007">
        <f t="shared" si="2"/>
        <v>0.85897435897435903</v>
      </c>
      <c r="E12" s="1007">
        <f t="shared" si="2"/>
        <v>0.83665835411471312</v>
      </c>
      <c r="F12" s="1007">
        <f t="shared" si="2"/>
        <v>0.83486238532110102</v>
      </c>
      <c r="G12" s="1007">
        <f t="shared" si="2"/>
        <v>0.80261248185776479</v>
      </c>
      <c r="H12" s="1007">
        <f t="shared" si="2"/>
        <v>0.82800000000000007</v>
      </c>
      <c r="I12" s="1007">
        <f t="shared" si="2"/>
        <v>0.70619946091644203</v>
      </c>
      <c r="J12" s="1007">
        <f t="shared" si="2"/>
        <v>0.82138364779874207</v>
      </c>
      <c r="K12" s="1007">
        <f t="shared" si="2"/>
        <v>0.77832512315270941</v>
      </c>
      <c r="L12" s="1007">
        <f t="shared" si="2"/>
        <v>0.74142156862745101</v>
      </c>
      <c r="M12" s="1007">
        <f t="shared" si="2"/>
        <v>0.61723163841807915</v>
      </c>
      <c r="N12" s="1007">
        <f t="shared" si="2"/>
        <v>0.91573729863692688</v>
      </c>
      <c r="O12" s="1007">
        <f t="shared" si="2"/>
        <v>0.89950980392156876</v>
      </c>
      <c r="P12" s="1007">
        <f t="shared" si="2"/>
        <v>0.8408796895213454</v>
      </c>
      <c r="Q12" s="1007">
        <f t="shared" si="2"/>
        <v>0.80559254327563257</v>
      </c>
      <c r="T12" s="664">
        <v>2016</v>
      </c>
      <c r="U12" s="1006">
        <v>94</v>
      </c>
      <c r="W12" s="1006">
        <v>89.2</v>
      </c>
      <c r="X12" s="1006">
        <v>85.3</v>
      </c>
      <c r="Y12" s="1006">
        <v>81.599999999999994</v>
      </c>
      <c r="Z12" s="1006">
        <v>60.5</v>
      </c>
      <c r="AA12" s="1006">
        <v>59.3</v>
      </c>
      <c r="AB12" s="1006">
        <v>20.8</v>
      </c>
      <c r="AC12" s="1006">
        <v>38.1</v>
      </c>
      <c r="AD12" s="1008">
        <f t="shared" si="0"/>
        <v>0.74142156862745101</v>
      </c>
      <c r="AE12" s="1008">
        <f t="shared" si="1"/>
        <v>0.72671568627450978</v>
      </c>
    </row>
    <row r="13" spans="1:31" x14ac:dyDescent="0.3">
      <c r="A13" t="s">
        <v>1190</v>
      </c>
      <c r="B13" s="1007">
        <f>B8/B$6</f>
        <v>0.66337854500616522</v>
      </c>
      <c r="C13" s="1007">
        <f t="shared" ref="C13:Q13" si="3">C8/C$6</f>
        <v>0.82970027247956391</v>
      </c>
      <c r="D13" s="1007">
        <f t="shared" si="3"/>
        <v>0.82867132867132864</v>
      </c>
      <c r="E13" s="1007">
        <f t="shared" si="3"/>
        <v>0.81296758104738154</v>
      </c>
      <c r="F13" s="1007">
        <f t="shared" si="3"/>
        <v>0.82044560943643519</v>
      </c>
      <c r="G13" s="1007">
        <f t="shared" si="3"/>
        <v>0.78229317851959357</v>
      </c>
      <c r="H13" s="1007">
        <f t="shared" si="3"/>
        <v>0.81066666666666665</v>
      </c>
      <c r="I13" s="1007">
        <f t="shared" si="3"/>
        <v>0.68059299191374656</v>
      </c>
      <c r="J13" s="1007">
        <f t="shared" si="3"/>
        <v>0.8075471698113208</v>
      </c>
      <c r="K13" s="1007">
        <f t="shared" si="3"/>
        <v>0.72413793103448265</v>
      </c>
      <c r="L13" s="1007">
        <f t="shared" si="3"/>
        <v>0.72671568627450978</v>
      </c>
      <c r="M13" s="1007">
        <f t="shared" si="3"/>
        <v>0.60028248587570621</v>
      </c>
      <c r="N13" s="1007">
        <f t="shared" si="3"/>
        <v>0.90086741016109051</v>
      </c>
      <c r="O13" s="1007">
        <f t="shared" si="3"/>
        <v>0.88725490196078449</v>
      </c>
      <c r="P13" s="1007">
        <f t="shared" si="3"/>
        <v>0.8240620957309186</v>
      </c>
      <c r="Q13" s="1007">
        <f t="shared" si="3"/>
        <v>0.78295605858854866</v>
      </c>
      <c r="T13" s="664">
        <v>2017</v>
      </c>
      <c r="U13" s="1006">
        <v>89.3</v>
      </c>
      <c r="W13" s="1006">
        <v>81.7</v>
      </c>
      <c r="X13" s="1006">
        <v>74.599999999999994</v>
      </c>
      <c r="Y13" s="1006">
        <v>70.8</v>
      </c>
      <c r="Z13" s="1006">
        <v>43.7</v>
      </c>
      <c r="AA13" s="1006">
        <v>42.5</v>
      </c>
      <c r="AB13" s="1006">
        <v>25.8</v>
      </c>
      <c r="AC13" s="1006">
        <v>25.1</v>
      </c>
      <c r="AD13" s="1008">
        <f t="shared" si="0"/>
        <v>0.61723163841807915</v>
      </c>
      <c r="AE13" s="1008">
        <f t="shared" si="1"/>
        <v>0.60028248587570621</v>
      </c>
    </row>
    <row r="14" spans="1:31" x14ac:dyDescent="0.3">
      <c r="T14" s="664">
        <v>2018</v>
      </c>
      <c r="U14" s="1006">
        <v>93.3</v>
      </c>
      <c r="V14" s="1006">
        <v>90.9</v>
      </c>
      <c r="W14" s="1006">
        <v>88.9</v>
      </c>
      <c r="X14" s="1006">
        <v>85.4</v>
      </c>
      <c r="Y14" s="1006">
        <v>80.7</v>
      </c>
      <c r="Z14" s="1006">
        <v>73.900000000000006</v>
      </c>
      <c r="AA14" s="1006">
        <v>72.7</v>
      </c>
      <c r="AB14" s="1006">
        <v>6</v>
      </c>
      <c r="AC14" s="1006">
        <v>45.7</v>
      </c>
      <c r="AD14" s="1008">
        <f t="shared" si="0"/>
        <v>0.91573729863692688</v>
      </c>
      <c r="AE14" s="1008">
        <f t="shared" si="1"/>
        <v>0.90086741016109051</v>
      </c>
    </row>
    <row r="15" spans="1:31" x14ac:dyDescent="0.3">
      <c r="T15" s="664">
        <v>2019</v>
      </c>
      <c r="U15" s="1006">
        <v>94.6</v>
      </c>
      <c r="V15" s="1006">
        <v>92.7</v>
      </c>
      <c r="W15" s="1006">
        <v>84.2</v>
      </c>
      <c r="X15" s="1006">
        <v>82.4</v>
      </c>
      <c r="Y15" s="1006">
        <v>81.599999999999994</v>
      </c>
      <c r="Z15" s="1006">
        <v>73.400000000000006</v>
      </c>
      <c r="AA15" s="1006">
        <v>72.400000000000006</v>
      </c>
      <c r="AB15" s="1006">
        <v>8.6999999999999993</v>
      </c>
      <c r="AC15" s="1006">
        <v>44.6</v>
      </c>
      <c r="AD15" s="1008">
        <f t="shared" si="0"/>
        <v>0.89950980392156876</v>
      </c>
      <c r="AE15" s="1008">
        <f t="shared" si="1"/>
        <v>0.88725490196078449</v>
      </c>
    </row>
    <row r="16" spans="1:31" x14ac:dyDescent="0.3">
      <c r="T16" s="664">
        <v>2020</v>
      </c>
      <c r="U16" s="1006">
        <v>95</v>
      </c>
      <c r="V16" s="1006">
        <v>92.1</v>
      </c>
      <c r="W16" s="1006">
        <v>90.4</v>
      </c>
      <c r="X16" s="1006">
        <v>84.9</v>
      </c>
      <c r="Y16" s="1006">
        <v>77.3</v>
      </c>
      <c r="Z16" s="1006">
        <v>65</v>
      </c>
      <c r="AA16" s="1006">
        <v>63.7</v>
      </c>
      <c r="AB16" s="1006">
        <v>11.2</v>
      </c>
      <c r="AC16" s="1006">
        <v>33.5</v>
      </c>
      <c r="AD16" s="1008">
        <f t="shared" si="0"/>
        <v>0.8408796895213454</v>
      </c>
      <c r="AE16" s="1008">
        <f t="shared" si="1"/>
        <v>0.8240620957309186</v>
      </c>
    </row>
    <row r="17" spans="20:31" x14ac:dyDescent="0.3">
      <c r="T17" s="664" t="s">
        <v>425</v>
      </c>
      <c r="U17" s="1006">
        <v>91.4</v>
      </c>
      <c r="V17" s="1006">
        <v>91.8</v>
      </c>
      <c r="W17" s="1006">
        <v>83.2</v>
      </c>
      <c r="X17" s="1006">
        <v>78.5</v>
      </c>
      <c r="Y17" s="1006">
        <v>75.099999999999994</v>
      </c>
      <c r="Z17" s="1006">
        <v>60.5</v>
      </c>
      <c r="AA17" s="1006">
        <v>58.8</v>
      </c>
      <c r="AB17" s="1006">
        <v>13.6</v>
      </c>
      <c r="AC17" s="1006">
        <v>32</v>
      </c>
      <c r="AD17" s="1008">
        <f t="shared" si="0"/>
        <v>0.80559254327563257</v>
      </c>
      <c r="AE17" s="1008">
        <f t="shared" si="1"/>
        <v>0.78295605858854866</v>
      </c>
    </row>
  </sheetData>
  <conditionalFormatting sqref="AD2:AE17">
    <cfRule type="colorScale" priority="1">
      <colorScale>
        <cfvo type="min"/>
        <cfvo type="max"/>
        <color rgb="FFF8696B"/>
        <color rgb="FFFCFCFF"/>
      </colorScale>
    </cfRule>
  </conditionalFormatting>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4FA772-3CD2-4FC2-A570-050FD004EC13}">
  <sheetPr codeName="Sheet24">
    <tabColor rgb="FF92D050"/>
  </sheetPr>
  <dimension ref="A1:C44"/>
  <sheetViews>
    <sheetView workbookViewId="0">
      <pane ySplit="1" topLeftCell="A2" activePane="bottomLeft" state="frozen"/>
      <selection activeCell="B14" sqref="B14"/>
      <selection pane="bottomLeft" activeCell="B14" sqref="B14"/>
    </sheetView>
  </sheetViews>
  <sheetFormatPr defaultRowHeight="14.4" x14ac:dyDescent="0.3"/>
  <cols>
    <col min="2" max="2" width="11.6640625" bestFit="1" customWidth="1"/>
  </cols>
  <sheetData>
    <row r="1" spans="1:3" x14ac:dyDescent="0.3">
      <c r="A1" t="s">
        <v>1142</v>
      </c>
      <c r="B1" t="s">
        <v>1191</v>
      </c>
      <c r="C1" s="700" t="s">
        <v>1192</v>
      </c>
    </row>
    <row r="2" spans="1:3" x14ac:dyDescent="0.3">
      <c r="A2">
        <v>1980</v>
      </c>
      <c r="B2" s="990">
        <v>38079.035810579102</v>
      </c>
    </row>
    <row r="3" spans="1:3" x14ac:dyDescent="0.3">
      <c r="A3">
        <v>1981</v>
      </c>
      <c r="B3" s="990">
        <v>43009.042659559796</v>
      </c>
    </row>
    <row r="4" spans="1:3" x14ac:dyDescent="0.3">
      <c r="A4">
        <v>1982</v>
      </c>
      <c r="B4" s="990">
        <v>29801.21939197</v>
      </c>
    </row>
    <row r="5" spans="1:3" x14ac:dyDescent="0.3">
      <c r="A5">
        <v>1983</v>
      </c>
      <c r="B5" s="990">
        <v>41653.456048787397</v>
      </c>
    </row>
    <row r="6" spans="1:3" x14ac:dyDescent="0.3">
      <c r="A6">
        <v>1984</v>
      </c>
      <c r="B6" s="990">
        <v>153095.088293737</v>
      </c>
    </row>
    <row r="7" spans="1:3" x14ac:dyDescent="0.3">
      <c r="A7">
        <v>1985</v>
      </c>
      <c r="B7" s="990">
        <v>128168.26522727001</v>
      </c>
    </row>
    <row r="8" spans="1:3" x14ac:dyDescent="0.3">
      <c r="A8">
        <v>1986</v>
      </c>
      <c r="B8" s="990">
        <v>53496.358075114003</v>
      </c>
    </row>
    <row r="9" spans="1:3" x14ac:dyDescent="0.3">
      <c r="A9">
        <v>1987</v>
      </c>
      <c r="B9" s="990">
        <v>104646.678269935</v>
      </c>
    </row>
    <row r="10" spans="1:3" x14ac:dyDescent="0.3">
      <c r="A10">
        <v>1988</v>
      </c>
      <c r="B10" s="990">
        <v>84367.626698981403</v>
      </c>
    </row>
    <row r="11" spans="1:3" x14ac:dyDescent="0.3">
      <c r="A11">
        <v>1989</v>
      </c>
      <c r="B11" s="990">
        <v>22968.456935236001</v>
      </c>
    </row>
    <row r="12" spans="1:3" x14ac:dyDescent="0.3">
      <c r="A12">
        <v>1990</v>
      </c>
      <c r="B12" s="990">
        <v>10985.2633053598</v>
      </c>
    </row>
    <row r="13" spans="1:3" x14ac:dyDescent="0.3">
      <c r="A13">
        <v>1991</v>
      </c>
      <c r="B13" s="990">
        <v>43372.229207014898</v>
      </c>
    </row>
    <row r="14" spans="1:3" x14ac:dyDescent="0.3">
      <c r="A14">
        <v>1992</v>
      </c>
      <c r="B14" s="990">
        <v>66842.645462195302</v>
      </c>
    </row>
    <row r="15" spans="1:3" x14ac:dyDescent="0.3">
      <c r="A15">
        <v>1993</v>
      </c>
      <c r="B15" s="990">
        <v>43627.608373209303</v>
      </c>
    </row>
    <row r="16" spans="1:3" x14ac:dyDescent="0.3">
      <c r="A16">
        <v>1994</v>
      </c>
      <c r="B16" s="990">
        <v>2381.2390636361401</v>
      </c>
    </row>
    <row r="17" spans="1:3" x14ac:dyDescent="0.3">
      <c r="A17">
        <v>1995</v>
      </c>
      <c r="B17" s="990">
        <v>5813.5004748459096</v>
      </c>
    </row>
    <row r="18" spans="1:3" x14ac:dyDescent="0.3">
      <c r="A18">
        <v>1996</v>
      </c>
      <c r="B18" s="990">
        <v>23262.300400812499</v>
      </c>
    </row>
    <row r="19" spans="1:3" x14ac:dyDescent="0.3">
      <c r="A19">
        <v>1997</v>
      </c>
      <c r="B19" s="990">
        <v>35741.953678547397</v>
      </c>
    </row>
    <row r="20" spans="1:3" x14ac:dyDescent="0.3">
      <c r="A20">
        <v>1998</v>
      </c>
      <c r="B20" s="990">
        <v>7458.1311189655298</v>
      </c>
    </row>
    <row r="21" spans="1:3" x14ac:dyDescent="0.3">
      <c r="A21">
        <v>1999</v>
      </c>
      <c r="B21" s="990">
        <v>13563.8008833161</v>
      </c>
    </row>
    <row r="22" spans="1:3" x14ac:dyDescent="0.3">
      <c r="A22">
        <v>2000</v>
      </c>
      <c r="B22" s="990">
        <v>82525.269172676402</v>
      </c>
    </row>
    <row r="23" spans="1:3" x14ac:dyDescent="0.3">
      <c r="A23">
        <v>2001</v>
      </c>
      <c r="B23" s="990">
        <v>94944.804023604302</v>
      </c>
    </row>
    <row r="24" spans="1:3" x14ac:dyDescent="0.3">
      <c r="A24">
        <v>2002</v>
      </c>
      <c r="B24" s="990">
        <v>13274.930190167001</v>
      </c>
    </row>
    <row r="25" spans="1:3" x14ac:dyDescent="0.3">
      <c r="A25">
        <v>2003</v>
      </c>
      <c r="B25" s="990">
        <v>39428.562635224902</v>
      </c>
    </row>
    <row r="26" spans="1:3" x14ac:dyDescent="0.3">
      <c r="A26">
        <v>2004</v>
      </c>
      <c r="B26" s="990">
        <v>108644.49511900199</v>
      </c>
    </row>
    <row r="27" spans="1:3" x14ac:dyDescent="0.3">
      <c r="A27">
        <v>2005</v>
      </c>
      <c r="B27" s="990">
        <v>67327.710818620806</v>
      </c>
    </row>
    <row r="28" spans="1:3" x14ac:dyDescent="0.3">
      <c r="A28">
        <v>2006</v>
      </c>
      <c r="B28" s="990">
        <v>27193.3139634578</v>
      </c>
    </row>
    <row r="29" spans="1:3" x14ac:dyDescent="0.3">
      <c r="A29">
        <v>2007</v>
      </c>
      <c r="B29" s="990">
        <v>25153.9551731229</v>
      </c>
    </row>
    <row r="30" spans="1:3" x14ac:dyDescent="0.3">
      <c r="A30">
        <v>2008</v>
      </c>
      <c r="B30" s="989">
        <v>195319.41285085899</v>
      </c>
      <c r="C30" s="700" t="s">
        <v>1193</v>
      </c>
    </row>
    <row r="31" spans="1:3" x14ac:dyDescent="0.3">
      <c r="A31">
        <v>2009</v>
      </c>
      <c r="B31" s="989">
        <v>128370.401508585</v>
      </c>
      <c r="C31" s="700" t="s">
        <v>1193</v>
      </c>
    </row>
    <row r="32" spans="1:3" x14ac:dyDescent="0.3">
      <c r="A32">
        <v>2010</v>
      </c>
      <c r="B32" s="989">
        <v>348363.78336477099</v>
      </c>
      <c r="C32" s="700" t="s">
        <v>1193</v>
      </c>
    </row>
    <row r="33" spans="1:3" x14ac:dyDescent="0.3">
      <c r="A33">
        <v>2011</v>
      </c>
      <c r="B33" s="989">
        <v>132808.57593190999</v>
      </c>
      <c r="C33" s="700" t="s">
        <v>1193</v>
      </c>
    </row>
    <row r="34" spans="1:3" x14ac:dyDescent="0.3">
      <c r="A34">
        <v>2012</v>
      </c>
      <c r="B34" s="989">
        <v>349099.86754989898</v>
      </c>
      <c r="C34" s="700" t="s">
        <v>1193</v>
      </c>
    </row>
    <row r="35" spans="1:3" x14ac:dyDescent="0.3">
      <c r="A35">
        <v>2013</v>
      </c>
      <c r="B35" s="989">
        <v>107734.77292210799</v>
      </c>
      <c r="C35" s="700" t="s">
        <v>1194</v>
      </c>
    </row>
    <row r="36" spans="1:3" x14ac:dyDescent="0.3">
      <c r="A36">
        <v>2014</v>
      </c>
      <c r="B36" s="989">
        <v>384080.77381255198</v>
      </c>
      <c r="C36" s="700" t="s">
        <v>1194</v>
      </c>
    </row>
    <row r="37" spans="1:3" x14ac:dyDescent="0.3">
      <c r="A37">
        <v>2015</v>
      </c>
      <c r="B37" s="989">
        <v>214286.145356672</v>
      </c>
      <c r="C37" s="700" t="s">
        <v>1194</v>
      </c>
    </row>
    <row r="38" spans="1:3" x14ac:dyDescent="0.3">
      <c r="A38">
        <v>2016</v>
      </c>
      <c r="B38" s="989">
        <v>156992.528489463</v>
      </c>
      <c r="C38" s="700" t="s">
        <v>1194</v>
      </c>
    </row>
    <row r="39" spans="1:3" x14ac:dyDescent="0.3">
      <c r="A39">
        <v>2017</v>
      </c>
      <c r="B39" s="989">
        <v>14557.178182150999</v>
      </c>
      <c r="C39" s="700" t="s">
        <v>1194</v>
      </c>
    </row>
    <row r="40" spans="1:3" x14ac:dyDescent="0.3">
      <c r="A40">
        <v>2018</v>
      </c>
      <c r="B40" s="989">
        <v>108211.68347605399</v>
      </c>
      <c r="C40" s="700" t="s">
        <v>1194</v>
      </c>
    </row>
    <row r="41" spans="1:3" x14ac:dyDescent="0.3">
      <c r="A41">
        <v>2019</v>
      </c>
      <c r="B41" s="989">
        <v>25373.6326419943</v>
      </c>
      <c r="C41" s="700" t="s">
        <v>1194</v>
      </c>
    </row>
    <row r="42" spans="1:3" x14ac:dyDescent="0.3">
      <c r="A42">
        <v>2020</v>
      </c>
      <c r="B42" s="989">
        <v>308120.98121235799</v>
      </c>
      <c r="C42" s="700" t="s">
        <v>1194</v>
      </c>
    </row>
    <row r="43" spans="1:3" x14ac:dyDescent="0.3">
      <c r="A43">
        <v>2021</v>
      </c>
      <c r="B43" s="989">
        <v>111773.18082203</v>
      </c>
      <c r="C43" s="700" t="s">
        <v>1194</v>
      </c>
    </row>
    <row r="44" spans="1:3" x14ac:dyDescent="0.3">
      <c r="A44">
        <v>2022</v>
      </c>
      <c r="B44" t="s">
        <v>1195</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6BAB60-4CE5-4319-8DB2-18C32AAFC78A}">
  <sheetPr codeName="Sheet21"/>
  <dimension ref="A1:B16"/>
  <sheetViews>
    <sheetView topLeftCell="A3" workbookViewId="0">
      <selection activeCell="B14" sqref="B14"/>
    </sheetView>
  </sheetViews>
  <sheetFormatPr defaultRowHeight="14.4" x14ac:dyDescent="0.3"/>
  <cols>
    <col min="1" max="1" width="21.33203125" bestFit="1" customWidth="1"/>
    <col min="2" max="2" width="12.6640625" bestFit="1" customWidth="1"/>
  </cols>
  <sheetData>
    <row r="1" spans="1:2" x14ac:dyDescent="0.3">
      <c r="A1" s="685" t="s">
        <v>1196</v>
      </c>
      <c r="B1" s="685"/>
    </row>
    <row r="2" spans="1:2" x14ac:dyDescent="0.3">
      <c r="A2" s="686"/>
      <c r="B2" s="686"/>
    </row>
    <row r="3" spans="1:2" x14ac:dyDescent="0.3">
      <c r="A3" s="688" t="s">
        <v>425</v>
      </c>
      <c r="B3" s="687">
        <v>6.2260780886096767E-2</v>
      </c>
    </row>
    <row r="4" spans="1:2" x14ac:dyDescent="0.3">
      <c r="A4" s="688" t="s">
        <v>741</v>
      </c>
      <c r="B4" s="687">
        <v>8.2458385170811055E-3</v>
      </c>
    </row>
    <row r="5" spans="1:2" x14ac:dyDescent="0.3">
      <c r="A5" s="688" t="s">
        <v>742</v>
      </c>
      <c r="B5" s="687">
        <v>4.7100861832621951E-2</v>
      </c>
    </row>
    <row r="6" spans="1:2" x14ac:dyDescent="0.3">
      <c r="A6" s="688" t="s">
        <v>1197</v>
      </c>
      <c r="B6" s="687">
        <f>B7/B3</f>
        <v>0.7835275730777288</v>
      </c>
    </row>
    <row r="7" spans="1:2" x14ac:dyDescent="0.3">
      <c r="A7" s="688" t="s">
        <v>744</v>
      </c>
      <c r="B7" s="687">
        <v>4.8783038545607643E-2</v>
      </c>
    </row>
    <row r="8" spans="1:2" x14ac:dyDescent="0.3">
      <c r="A8" s="688" t="s">
        <v>745</v>
      </c>
      <c r="B8" s="687">
        <v>2.3797848497422408E-3</v>
      </c>
    </row>
    <row r="9" spans="1:2" x14ac:dyDescent="0.3">
      <c r="A9" s="688" t="s">
        <v>746</v>
      </c>
      <c r="B9" s="689">
        <v>-0.12475647352943353</v>
      </c>
    </row>
    <row r="10" spans="1:2" x14ac:dyDescent="0.3">
      <c r="A10" s="688" t="s">
        <v>747</v>
      </c>
      <c r="B10" s="689">
        <v>0.95710833150725538</v>
      </c>
    </row>
    <row r="11" spans="1:2" x14ac:dyDescent="0.3">
      <c r="A11" s="688" t="s">
        <v>748</v>
      </c>
      <c r="B11" s="687">
        <v>0.17959534181172157</v>
      </c>
    </row>
    <row r="12" spans="1:2" x14ac:dyDescent="0.3">
      <c r="A12" s="688" t="s">
        <v>749</v>
      </c>
      <c r="B12" s="687">
        <v>2.8378881188189657E-3</v>
      </c>
    </row>
    <row r="13" spans="1:2" x14ac:dyDescent="0.3">
      <c r="A13" s="688" t="s">
        <v>750</v>
      </c>
      <c r="B13" s="687">
        <v>0.18243322993054054</v>
      </c>
    </row>
    <row r="14" spans="1:2" x14ac:dyDescent="0.3">
      <c r="A14" s="688" t="s">
        <v>751</v>
      </c>
      <c r="B14" s="689">
        <v>2.1791273310133867</v>
      </c>
    </row>
    <row r="15" spans="1:2" x14ac:dyDescent="0.3">
      <c r="A15" s="688" t="s">
        <v>752</v>
      </c>
      <c r="B15" s="686">
        <v>35</v>
      </c>
    </row>
    <row r="16" spans="1:2" x14ac:dyDescent="0.3">
      <c r="A16" s="688" t="s">
        <v>757</v>
      </c>
      <c r="B16" s="687">
        <v>1.6757560051058638E-2</v>
      </c>
    </row>
  </sheetData>
  <pageMargins left="0.7" right="0.7" top="0.75" bottom="0.75" header="0.3" footer="0.3"/>
  <pageSetup orientation="portrait" r:id="rId1"/>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BCB6D-1DCE-4228-A1AD-1687090E9C96}">
  <sheetPr codeName="Sheet13">
    <tabColor rgb="FF0070C0"/>
  </sheetPr>
  <dimension ref="A1:X147"/>
  <sheetViews>
    <sheetView zoomScaleNormal="100" workbookViewId="0">
      <pane xSplit="1" ySplit="4" topLeftCell="B5" activePane="bottomRight" state="frozen"/>
      <selection pane="topRight" activeCell="G8" sqref="G8"/>
      <selection pane="bottomLeft" activeCell="G8" sqref="G8"/>
      <selection pane="bottomRight" activeCell="O5" sqref="O5"/>
    </sheetView>
  </sheetViews>
  <sheetFormatPr defaultColWidth="8.6640625" defaultRowHeight="13.2" x14ac:dyDescent="0.25"/>
  <cols>
    <col min="1" max="1" width="16.109375" style="557" bestFit="1" customWidth="1"/>
    <col min="2" max="2" width="7.44140625" style="559" bestFit="1" customWidth="1"/>
    <col min="3" max="7" width="7.44140625" style="557" bestFit="1" customWidth="1"/>
    <col min="8" max="11" width="7.44140625" style="559" bestFit="1" customWidth="1"/>
    <col min="12" max="12" width="8" style="559" bestFit="1" customWidth="1"/>
    <col min="13" max="13" width="22" style="559" customWidth="1"/>
    <col min="14" max="14" width="2.44140625" style="559" customWidth="1"/>
    <col min="15" max="16" width="12.33203125" style="559" customWidth="1"/>
    <col min="17" max="17" width="8.33203125" style="559" bestFit="1" customWidth="1"/>
    <col min="18" max="16384" width="8.6640625" style="559"/>
  </cols>
  <sheetData>
    <row r="1" spans="1:24" ht="29.7" customHeight="1" x14ac:dyDescent="0.3">
      <c r="A1" s="2658" t="s">
        <v>1198</v>
      </c>
      <c r="B1" s="2659"/>
      <c r="C1" s="2659"/>
      <c r="D1" s="2659"/>
      <c r="E1" s="2659"/>
      <c r="F1" s="2659"/>
      <c r="G1" s="2659"/>
      <c r="H1" s="2659"/>
      <c r="I1" s="2659"/>
      <c r="J1" s="2659"/>
      <c r="K1" s="2659"/>
      <c r="L1" s="2660"/>
      <c r="M1" s="2664" t="s">
        <v>1199</v>
      </c>
      <c r="N1" s="2665"/>
      <c r="O1" s="2665"/>
      <c r="P1" s="2665"/>
      <c r="Q1" s="2665"/>
      <c r="R1" s="2665"/>
      <c r="S1" s="2665"/>
      <c r="T1" s="2665"/>
      <c r="U1" s="2665"/>
      <c r="V1" s="2665"/>
      <c r="W1" s="2665"/>
      <c r="X1" s="2665"/>
    </row>
    <row r="2" spans="1:24" ht="29.7" customHeight="1" thickBot="1" x14ac:dyDescent="0.3">
      <c r="A2" s="2661"/>
      <c r="B2" s="2662"/>
      <c r="C2" s="2662"/>
      <c r="D2" s="2662"/>
      <c r="E2" s="2662"/>
      <c r="F2" s="2662"/>
      <c r="G2" s="2662"/>
      <c r="H2" s="2662"/>
      <c r="I2" s="2662"/>
      <c r="J2" s="2662"/>
      <c r="K2" s="2662"/>
      <c r="L2" s="2663"/>
      <c r="M2" s="2666" t="s">
        <v>1200</v>
      </c>
      <c r="N2" s="2667"/>
      <c r="O2" s="2667"/>
      <c r="P2" s="2667"/>
      <c r="Q2" s="2667"/>
      <c r="R2" s="2667"/>
      <c r="S2" s="2667"/>
      <c r="T2" s="2667"/>
      <c r="U2" s="2667"/>
      <c r="V2" s="2667"/>
      <c r="W2" s="2667"/>
      <c r="X2" s="2667"/>
    </row>
    <row r="3" spans="1:24" ht="14.4" x14ac:dyDescent="0.3">
      <c r="A3" s="665" t="s">
        <v>1201</v>
      </c>
      <c r="B3" s="660" t="s">
        <v>357</v>
      </c>
      <c r="C3" s="663"/>
      <c r="D3" s="663"/>
      <c r="E3" s="663"/>
      <c r="F3" s="663"/>
      <c r="G3" s="663"/>
      <c r="H3" s="663"/>
      <c r="I3" s="663"/>
      <c r="J3" s="663"/>
      <c r="K3" s="663"/>
      <c r="L3" s="663"/>
      <c r="O3" s="2668" t="s">
        <v>1202</v>
      </c>
      <c r="P3" s="2668"/>
    </row>
    <row r="4" spans="1:24" s="557" customFormat="1" ht="14.4" x14ac:dyDescent="0.3">
      <c r="A4" s="662" t="s">
        <v>538</v>
      </c>
      <c r="B4">
        <v>1.1000000000000001</v>
      </c>
      <c r="C4">
        <v>1.2</v>
      </c>
      <c r="D4">
        <v>1.3</v>
      </c>
      <c r="E4">
        <v>2.1</v>
      </c>
      <c r="F4">
        <v>2.2000000000000002</v>
      </c>
      <c r="G4">
        <v>2.2999999999999998</v>
      </c>
      <c r="H4">
        <v>3.1</v>
      </c>
      <c r="I4">
        <v>3.2</v>
      </c>
      <c r="J4">
        <v>3.3</v>
      </c>
      <c r="K4">
        <v>4.0999999999999996</v>
      </c>
      <c r="L4" s="664" t="s">
        <v>221</v>
      </c>
      <c r="M4" s="559"/>
      <c r="N4" s="559"/>
      <c r="O4" s="653" t="s">
        <v>1203</v>
      </c>
      <c r="P4" s="654" t="s">
        <v>1204</v>
      </c>
      <c r="Q4" s="559" t="s">
        <v>1205</v>
      </c>
    </row>
    <row r="5" spans="1:24" ht="14.4" x14ac:dyDescent="0.3">
      <c r="A5" s="459">
        <v>1980</v>
      </c>
      <c r="B5" s="822">
        <v>5.2052052052052065E-2</v>
      </c>
      <c r="C5" s="822">
        <v>0.82582582582582598</v>
      </c>
      <c r="D5" s="822">
        <v>8.3083083083083098E-2</v>
      </c>
      <c r="E5" s="822">
        <v>2.3023023023023028E-2</v>
      </c>
      <c r="F5" s="822">
        <v>1.6016016016016019E-2</v>
      </c>
      <c r="G5" s="822">
        <v>0</v>
      </c>
      <c r="H5" s="822">
        <v>0</v>
      </c>
      <c r="I5" s="823">
        <v>0</v>
      </c>
      <c r="J5" s="823">
        <v>0</v>
      </c>
      <c r="K5" s="823">
        <v>0</v>
      </c>
      <c r="L5" s="824">
        <v>1</v>
      </c>
      <c r="M5" s="2669" t="s">
        <v>1206</v>
      </c>
      <c r="O5" s="655" t="e">
        <f t="shared" ref="O5:O47" si="0">VLOOKUP($A5,SockeyeReturnsData,23)</f>
        <v>#N/A</v>
      </c>
      <c r="P5" s="656" t="e">
        <f>(O5-L5)/O5</f>
        <v>#N/A</v>
      </c>
    </row>
    <row r="6" spans="1:24" ht="14.4" x14ac:dyDescent="0.3">
      <c r="A6" s="459">
        <v>1981</v>
      </c>
      <c r="B6" s="822">
        <v>5.2052052052052045E-2</v>
      </c>
      <c r="C6" s="822">
        <v>0.82582582582582564</v>
      </c>
      <c r="D6" s="822">
        <v>8.3083083083083084E-2</v>
      </c>
      <c r="E6" s="822">
        <v>2.3023023023023021E-2</v>
      </c>
      <c r="F6" s="822">
        <v>1.6016016016016016E-2</v>
      </c>
      <c r="G6" s="822">
        <v>0</v>
      </c>
      <c r="H6" s="822">
        <v>0</v>
      </c>
      <c r="I6" s="823">
        <v>0</v>
      </c>
      <c r="J6" s="823">
        <v>0</v>
      </c>
      <c r="K6" s="823">
        <v>0</v>
      </c>
      <c r="L6" s="824">
        <v>1</v>
      </c>
      <c r="M6" s="2669"/>
      <c r="O6" s="655" t="e">
        <f t="shared" si="0"/>
        <v>#N/A</v>
      </c>
      <c r="P6" s="656" t="e">
        <f t="shared" ref="P6:P47" si="1">(O6-L6)/O6</f>
        <v>#N/A</v>
      </c>
    </row>
    <row r="7" spans="1:24" ht="14.4" x14ac:dyDescent="0.3">
      <c r="A7" s="459">
        <v>1982</v>
      </c>
      <c r="B7" s="822">
        <v>5.2052052052052052E-2</v>
      </c>
      <c r="C7" s="822">
        <v>0.82582582582582575</v>
      </c>
      <c r="D7" s="822">
        <v>8.3083083083083098E-2</v>
      </c>
      <c r="E7" s="822">
        <v>2.3023023023023021E-2</v>
      </c>
      <c r="F7" s="822">
        <v>1.6016016016016016E-2</v>
      </c>
      <c r="G7" s="822">
        <v>0</v>
      </c>
      <c r="H7" s="822">
        <v>0</v>
      </c>
      <c r="I7" s="823">
        <v>0</v>
      </c>
      <c r="J7" s="823">
        <v>0</v>
      </c>
      <c r="K7" s="823">
        <v>0</v>
      </c>
      <c r="L7" s="824">
        <v>1</v>
      </c>
      <c r="M7" s="2669"/>
      <c r="O7" s="655" t="e">
        <f t="shared" si="0"/>
        <v>#N/A</v>
      </c>
      <c r="P7" s="656" t="e">
        <f t="shared" si="1"/>
        <v>#N/A</v>
      </c>
    </row>
    <row r="8" spans="1:24" ht="14.4" x14ac:dyDescent="0.3">
      <c r="A8" s="459">
        <v>1983</v>
      </c>
      <c r="B8" s="822">
        <v>5.2052052052052052E-2</v>
      </c>
      <c r="C8" s="822">
        <v>0.82582582582582587</v>
      </c>
      <c r="D8" s="822">
        <v>8.3083083083083098E-2</v>
      </c>
      <c r="E8" s="822">
        <v>2.3023023023023025E-2</v>
      </c>
      <c r="F8" s="822">
        <v>1.6016016016016019E-2</v>
      </c>
      <c r="G8" s="822">
        <v>0</v>
      </c>
      <c r="H8" s="822">
        <v>0</v>
      </c>
      <c r="I8" s="823">
        <v>0</v>
      </c>
      <c r="J8" s="823">
        <v>0</v>
      </c>
      <c r="K8" s="823">
        <v>0</v>
      </c>
      <c r="L8" s="824">
        <v>1</v>
      </c>
      <c r="M8" s="2669"/>
      <c r="O8" s="655" t="e">
        <f t="shared" si="0"/>
        <v>#N/A</v>
      </c>
      <c r="P8" s="656" t="e">
        <f t="shared" si="1"/>
        <v>#N/A</v>
      </c>
    </row>
    <row r="9" spans="1:24" ht="14.4" x14ac:dyDescent="0.3">
      <c r="A9" s="459">
        <v>1984</v>
      </c>
      <c r="B9" s="822">
        <v>5.2052052052052052E-2</v>
      </c>
      <c r="C9" s="822">
        <v>0.82582582582582575</v>
      </c>
      <c r="D9" s="822">
        <v>8.3083083083083084E-2</v>
      </c>
      <c r="E9" s="822">
        <v>2.3023023023023025E-2</v>
      </c>
      <c r="F9" s="822">
        <v>1.6016016016016016E-2</v>
      </c>
      <c r="G9" s="822">
        <v>0</v>
      </c>
      <c r="H9" s="822">
        <v>0</v>
      </c>
      <c r="I9" s="823">
        <v>0</v>
      </c>
      <c r="J9" s="823">
        <v>0</v>
      </c>
      <c r="K9" s="823">
        <v>0</v>
      </c>
      <c r="L9" s="824">
        <v>1</v>
      </c>
      <c r="M9" s="2669"/>
      <c r="O9" s="655" t="e">
        <f t="shared" si="0"/>
        <v>#N/A</v>
      </c>
      <c r="P9" s="656" t="e">
        <f t="shared" si="1"/>
        <v>#N/A</v>
      </c>
    </row>
    <row r="10" spans="1:24" ht="14.4" x14ac:dyDescent="0.3">
      <c r="A10" s="459">
        <v>1985</v>
      </c>
      <c r="B10" s="822">
        <v>6.9000000000000006E-2</v>
      </c>
      <c r="C10" s="822">
        <v>0.88</v>
      </c>
      <c r="D10" s="822">
        <v>6.0000000000000001E-3</v>
      </c>
      <c r="E10" s="822">
        <v>1.0999999999999999E-2</v>
      </c>
      <c r="F10" s="822">
        <v>3.4000000000000002E-2</v>
      </c>
      <c r="G10" s="822">
        <v>0</v>
      </c>
      <c r="H10" s="822">
        <v>0</v>
      </c>
      <c r="I10" s="823">
        <v>0</v>
      </c>
      <c r="J10" s="823">
        <v>0</v>
      </c>
      <c r="K10" s="823">
        <v>0</v>
      </c>
      <c r="L10" s="824">
        <v>1</v>
      </c>
      <c r="M10" s="2669"/>
      <c r="O10" s="655" t="e">
        <f t="shared" si="0"/>
        <v>#N/A</v>
      </c>
      <c r="P10" s="656" t="e">
        <f t="shared" si="1"/>
        <v>#N/A</v>
      </c>
    </row>
    <row r="11" spans="1:24" ht="14.4" x14ac:dyDescent="0.3">
      <c r="A11" s="459">
        <v>1986</v>
      </c>
      <c r="B11" s="822">
        <v>5.2052052052052045E-2</v>
      </c>
      <c r="C11" s="822">
        <v>0.82582582582582575</v>
      </c>
      <c r="D11" s="822">
        <v>8.3083083083083084E-2</v>
      </c>
      <c r="E11" s="822">
        <v>2.3023023023023021E-2</v>
      </c>
      <c r="F11" s="822">
        <v>1.6016016016016012E-2</v>
      </c>
      <c r="G11" s="822">
        <v>0</v>
      </c>
      <c r="H11" s="822">
        <v>0</v>
      </c>
      <c r="I11" s="823">
        <v>0</v>
      </c>
      <c r="J11" s="823">
        <v>0</v>
      </c>
      <c r="K11" s="823">
        <v>0</v>
      </c>
      <c r="L11" s="824">
        <v>1</v>
      </c>
      <c r="M11" s="2669"/>
      <c r="O11" s="655" t="e">
        <f t="shared" si="0"/>
        <v>#N/A</v>
      </c>
      <c r="P11" s="656" t="e">
        <f t="shared" si="1"/>
        <v>#N/A</v>
      </c>
    </row>
    <row r="12" spans="1:24" ht="14.4" x14ac:dyDescent="0.3">
      <c r="A12" s="459">
        <v>1987</v>
      </c>
      <c r="B12" s="822">
        <v>0.49199999999999994</v>
      </c>
      <c r="C12" s="822">
        <v>0.45999999999999996</v>
      </c>
      <c r="D12" s="822">
        <v>2.7999999999999997E-2</v>
      </c>
      <c r="E12" s="822">
        <v>9.9999999999999985E-3</v>
      </c>
      <c r="F12" s="822">
        <v>9.9999999999999985E-3</v>
      </c>
      <c r="G12" s="822">
        <v>0</v>
      </c>
      <c r="H12" s="822">
        <v>0</v>
      </c>
      <c r="I12" s="823">
        <v>0</v>
      </c>
      <c r="J12" s="823">
        <v>0</v>
      </c>
      <c r="K12" s="823">
        <v>0</v>
      </c>
      <c r="L12" s="824">
        <v>1</v>
      </c>
      <c r="M12" s="2669"/>
      <c r="O12" s="655" t="e">
        <f t="shared" si="0"/>
        <v>#N/A</v>
      </c>
      <c r="P12" s="656" t="e">
        <f t="shared" si="1"/>
        <v>#N/A</v>
      </c>
    </row>
    <row r="13" spans="1:24" ht="14.4" x14ac:dyDescent="0.3">
      <c r="A13" s="459">
        <v>1988</v>
      </c>
      <c r="B13" s="822">
        <v>2.0000000000000005E-3</v>
      </c>
      <c r="C13" s="822">
        <v>0.96900000000000008</v>
      </c>
      <c r="D13" s="822">
        <v>1.3000000000000003E-2</v>
      </c>
      <c r="E13" s="822">
        <v>1.0000000000000002E-2</v>
      </c>
      <c r="F13" s="822">
        <v>6.0000000000000019E-3</v>
      </c>
      <c r="G13" s="822">
        <v>0</v>
      </c>
      <c r="H13" s="822">
        <v>0</v>
      </c>
      <c r="I13" s="823">
        <v>0</v>
      </c>
      <c r="J13" s="823">
        <v>0</v>
      </c>
      <c r="K13" s="823">
        <v>0</v>
      </c>
      <c r="L13" s="824">
        <v>1</v>
      </c>
      <c r="M13" s="2669"/>
      <c r="O13" s="655" t="e">
        <f t="shared" si="0"/>
        <v>#N/A</v>
      </c>
      <c r="P13" s="656" t="e">
        <f t="shared" si="1"/>
        <v>#N/A</v>
      </c>
    </row>
    <row r="14" spans="1:24" ht="14.4" x14ac:dyDescent="0.3">
      <c r="A14" s="459">
        <v>1989</v>
      </c>
      <c r="B14" s="822">
        <v>3.003003003003003E-2</v>
      </c>
      <c r="C14" s="822">
        <v>0.93193193193193191</v>
      </c>
      <c r="D14" s="822">
        <v>2.7027027027027029E-2</v>
      </c>
      <c r="E14" s="822">
        <v>6.0060060060060068E-3</v>
      </c>
      <c r="F14" s="822">
        <v>5.0050050050050058E-3</v>
      </c>
      <c r="G14" s="822">
        <v>0</v>
      </c>
      <c r="H14" s="822">
        <v>0</v>
      </c>
      <c r="I14" s="823">
        <v>0</v>
      </c>
      <c r="J14" s="823">
        <v>0</v>
      </c>
      <c r="K14" s="823">
        <v>0</v>
      </c>
      <c r="L14" s="824">
        <v>1</v>
      </c>
      <c r="M14" s="2669"/>
      <c r="O14" s="655" t="e">
        <f t="shared" si="0"/>
        <v>#N/A</v>
      </c>
      <c r="P14" s="656" t="e">
        <f t="shared" si="1"/>
        <v>#N/A</v>
      </c>
    </row>
    <row r="15" spans="1:24" ht="14.4" x14ac:dyDescent="0.3">
      <c r="A15" s="459">
        <v>1990</v>
      </c>
      <c r="B15" s="822">
        <v>0.45199999999999996</v>
      </c>
      <c r="C15" s="822">
        <v>0.26200000000000001</v>
      </c>
      <c r="D15" s="822">
        <v>0.22599999999999998</v>
      </c>
      <c r="E15" s="822">
        <v>1.8999999999999996E-2</v>
      </c>
      <c r="F15" s="822">
        <v>3.4999999999999996E-2</v>
      </c>
      <c r="G15" s="822">
        <v>5.9999999999999993E-3</v>
      </c>
      <c r="H15" s="822">
        <v>0</v>
      </c>
      <c r="I15" s="823">
        <v>0</v>
      </c>
      <c r="J15" s="823">
        <v>0</v>
      </c>
      <c r="K15" s="823">
        <v>0</v>
      </c>
      <c r="L15" s="824">
        <v>1</v>
      </c>
      <c r="M15" s="2669"/>
      <c r="O15" s="655" t="e">
        <f t="shared" si="0"/>
        <v>#N/A</v>
      </c>
      <c r="P15" s="656" t="e">
        <f t="shared" si="1"/>
        <v>#N/A</v>
      </c>
    </row>
    <row r="16" spans="1:24" ht="14.4" x14ac:dyDescent="0.3">
      <c r="A16" s="459">
        <v>1991</v>
      </c>
      <c r="B16" s="822">
        <v>0.15400000000000003</v>
      </c>
      <c r="C16" s="822">
        <v>0.76000000000000023</v>
      </c>
      <c r="D16" s="822">
        <v>1.5000000000000003E-2</v>
      </c>
      <c r="E16" s="822">
        <v>6.7000000000000018E-2</v>
      </c>
      <c r="F16" s="822">
        <v>1.0000000000000002E-3</v>
      </c>
      <c r="G16" s="822">
        <v>3.0000000000000005E-3</v>
      </c>
      <c r="H16" s="822">
        <v>0</v>
      </c>
      <c r="I16" s="823">
        <v>0</v>
      </c>
      <c r="J16" s="823">
        <v>0</v>
      </c>
      <c r="K16" s="823">
        <v>0</v>
      </c>
      <c r="L16" s="824">
        <v>1</v>
      </c>
      <c r="M16" s="2669"/>
      <c r="O16" s="655" t="e">
        <f t="shared" si="0"/>
        <v>#N/A</v>
      </c>
      <c r="P16" s="656" t="e">
        <f t="shared" si="1"/>
        <v>#N/A</v>
      </c>
    </row>
    <row r="17" spans="1:16" ht="14.4" x14ac:dyDescent="0.3">
      <c r="A17" s="459">
        <v>1992</v>
      </c>
      <c r="B17" s="822">
        <v>0.16900000000000001</v>
      </c>
      <c r="C17" s="822">
        <v>0.73299999999999998</v>
      </c>
      <c r="D17" s="822">
        <v>1.4E-2</v>
      </c>
      <c r="E17" s="822">
        <v>7.0000000000000007E-2</v>
      </c>
      <c r="F17" s="822">
        <v>1.4E-2</v>
      </c>
      <c r="G17" s="822">
        <v>0</v>
      </c>
      <c r="H17" s="822">
        <v>0</v>
      </c>
      <c r="I17" s="823">
        <v>0</v>
      </c>
      <c r="J17" s="823">
        <v>0</v>
      </c>
      <c r="K17" s="823">
        <v>0</v>
      </c>
      <c r="L17" s="824">
        <v>1</v>
      </c>
      <c r="M17" s="2669"/>
      <c r="O17" s="655" t="e">
        <f t="shared" si="0"/>
        <v>#N/A</v>
      </c>
      <c r="P17" s="656" t="e">
        <f t="shared" si="1"/>
        <v>#N/A</v>
      </c>
    </row>
    <row r="18" spans="1:16" ht="14.4" x14ac:dyDescent="0.3">
      <c r="A18" s="459">
        <v>1993</v>
      </c>
      <c r="B18" s="822">
        <v>0</v>
      </c>
      <c r="C18" s="822">
        <v>0.88611388611388608</v>
      </c>
      <c r="D18" s="822">
        <v>5.2947052947052937E-2</v>
      </c>
      <c r="E18" s="822">
        <v>1.998001998001998E-3</v>
      </c>
      <c r="F18" s="822">
        <v>5.6943056943056937E-2</v>
      </c>
      <c r="G18" s="822">
        <v>1.998001998001998E-3</v>
      </c>
      <c r="H18" s="822">
        <v>0</v>
      </c>
      <c r="I18" s="823">
        <v>0</v>
      </c>
      <c r="J18" s="823">
        <v>0</v>
      </c>
      <c r="K18" s="823">
        <v>0</v>
      </c>
      <c r="L18" s="824">
        <v>1</v>
      </c>
      <c r="M18" s="2669"/>
      <c r="O18" s="655" t="e">
        <f t="shared" si="0"/>
        <v>#N/A</v>
      </c>
      <c r="P18" s="656" t="e">
        <f t="shared" si="1"/>
        <v>#N/A</v>
      </c>
    </row>
    <row r="19" spans="1:16" ht="14.4" x14ac:dyDescent="0.3">
      <c r="A19" s="459">
        <v>1994</v>
      </c>
      <c r="B19" s="822">
        <v>0.14299999999999999</v>
      </c>
      <c r="C19" s="822">
        <v>0.126</v>
      </c>
      <c r="D19" s="822">
        <v>0.69799999999999995</v>
      </c>
      <c r="E19" s="822">
        <v>1.6E-2</v>
      </c>
      <c r="F19" s="822">
        <v>1.7000000000000001E-2</v>
      </c>
      <c r="G19" s="822">
        <v>0</v>
      </c>
      <c r="H19" s="822">
        <v>0</v>
      </c>
      <c r="I19" s="823">
        <v>0</v>
      </c>
      <c r="J19" s="823">
        <v>0</v>
      </c>
      <c r="K19" s="823">
        <v>0</v>
      </c>
      <c r="L19" s="824">
        <v>1</v>
      </c>
      <c r="M19" s="2669"/>
      <c r="O19" s="655" t="e">
        <f t="shared" si="0"/>
        <v>#N/A</v>
      </c>
      <c r="P19" s="656" t="e">
        <f t="shared" si="1"/>
        <v>#N/A</v>
      </c>
    </row>
    <row r="20" spans="1:16" ht="14.4" x14ac:dyDescent="0.3">
      <c r="A20" s="459">
        <v>1995</v>
      </c>
      <c r="B20" s="822">
        <v>0.41382765531062121</v>
      </c>
      <c r="C20" s="822">
        <v>0.51503006012024044</v>
      </c>
      <c r="D20" s="822">
        <v>1.3026052104208414E-2</v>
      </c>
      <c r="E20" s="822">
        <v>5.8116232464929862E-2</v>
      </c>
      <c r="F20" s="822">
        <v>0</v>
      </c>
      <c r="G20" s="822">
        <v>0</v>
      </c>
      <c r="H20" s="822">
        <v>0</v>
      </c>
      <c r="I20" s="823">
        <v>0</v>
      </c>
      <c r="J20" s="823">
        <v>0</v>
      </c>
      <c r="K20" s="823">
        <v>0</v>
      </c>
      <c r="L20" s="824">
        <v>1</v>
      </c>
      <c r="O20" s="655" t="e">
        <f t="shared" si="0"/>
        <v>#N/A</v>
      </c>
      <c r="P20" s="656" t="e">
        <f t="shared" si="1"/>
        <v>#N/A</v>
      </c>
    </row>
    <row r="21" spans="1:16" ht="14.4" x14ac:dyDescent="0.3">
      <c r="A21" s="459">
        <v>1996</v>
      </c>
      <c r="B21" s="822">
        <v>7.5999999999999998E-2</v>
      </c>
      <c r="C21" s="822">
        <v>0.85899999999999999</v>
      </c>
      <c r="D21" s="822">
        <v>3.7999999999999999E-2</v>
      </c>
      <c r="E21" s="822">
        <v>0</v>
      </c>
      <c r="F21" s="822">
        <v>2.6999999999999996E-2</v>
      </c>
      <c r="G21" s="822">
        <v>0</v>
      </c>
      <c r="H21" s="822">
        <v>0</v>
      </c>
      <c r="I21" s="823">
        <v>0</v>
      </c>
      <c r="J21" s="823">
        <v>0</v>
      </c>
      <c r="K21" s="823">
        <v>0</v>
      </c>
      <c r="L21" s="824">
        <v>1</v>
      </c>
      <c r="O21" s="655" t="e">
        <f t="shared" si="0"/>
        <v>#N/A</v>
      </c>
      <c r="P21" s="656" t="e">
        <f t="shared" si="1"/>
        <v>#N/A</v>
      </c>
    </row>
    <row r="22" spans="1:16" ht="14.4" x14ac:dyDescent="0.3">
      <c r="A22" s="459">
        <v>1997</v>
      </c>
      <c r="B22" s="822">
        <v>0</v>
      </c>
      <c r="C22" s="822">
        <v>0.95699999999999985</v>
      </c>
      <c r="D22" s="822">
        <v>3.3999999999999996E-2</v>
      </c>
      <c r="E22" s="822">
        <v>8.9999999999999976E-3</v>
      </c>
      <c r="F22" s="822">
        <v>0</v>
      </c>
      <c r="G22" s="822">
        <v>0</v>
      </c>
      <c r="H22" s="822">
        <v>0</v>
      </c>
      <c r="I22" s="823">
        <v>0</v>
      </c>
      <c r="J22" s="823">
        <v>0</v>
      </c>
      <c r="K22" s="823">
        <v>0</v>
      </c>
      <c r="L22" s="824">
        <v>1</v>
      </c>
      <c r="O22" s="655" t="e">
        <f t="shared" si="0"/>
        <v>#N/A</v>
      </c>
      <c r="P22" s="656" t="e">
        <f t="shared" si="1"/>
        <v>#N/A</v>
      </c>
    </row>
    <row r="23" spans="1:16" ht="14.4" x14ac:dyDescent="0.3">
      <c r="A23" s="459">
        <v>1998</v>
      </c>
      <c r="B23" s="822">
        <v>5.2999999999999999E-2</v>
      </c>
      <c r="C23" s="822">
        <v>0.78900000000000003</v>
      </c>
      <c r="D23" s="822">
        <v>0.158</v>
      </c>
      <c r="E23" s="822">
        <v>0</v>
      </c>
      <c r="F23" s="822">
        <v>0</v>
      </c>
      <c r="G23" s="822">
        <v>0</v>
      </c>
      <c r="H23" s="822">
        <v>0</v>
      </c>
      <c r="I23" s="823">
        <v>0</v>
      </c>
      <c r="J23" s="823">
        <v>0</v>
      </c>
      <c r="K23" s="823">
        <v>0</v>
      </c>
      <c r="L23" s="824">
        <v>1</v>
      </c>
      <c r="O23" s="655" t="e">
        <f t="shared" si="0"/>
        <v>#N/A</v>
      </c>
      <c r="P23" s="656" t="e">
        <f t="shared" si="1"/>
        <v>#N/A</v>
      </c>
    </row>
    <row r="24" spans="1:16" ht="14.4" x14ac:dyDescent="0.3">
      <c r="A24" s="459">
        <v>1999</v>
      </c>
      <c r="B24" s="822">
        <v>0.11388611388611389</v>
      </c>
      <c r="C24" s="822">
        <v>0.84815184815184819</v>
      </c>
      <c r="D24" s="822">
        <v>0</v>
      </c>
      <c r="E24" s="822">
        <v>3.796203796203796E-2</v>
      </c>
      <c r="F24" s="822">
        <v>0</v>
      </c>
      <c r="G24" s="822">
        <v>0</v>
      </c>
      <c r="H24" s="822">
        <v>0</v>
      </c>
      <c r="I24" s="823">
        <v>0</v>
      </c>
      <c r="J24" s="823">
        <v>0</v>
      </c>
      <c r="K24" s="823">
        <v>0</v>
      </c>
      <c r="L24" s="824">
        <v>1</v>
      </c>
      <c r="O24" s="655" t="e">
        <f t="shared" si="0"/>
        <v>#N/A</v>
      </c>
      <c r="P24" s="656" t="e">
        <f t="shared" si="1"/>
        <v>#N/A</v>
      </c>
    </row>
    <row r="25" spans="1:16" ht="14.4" x14ac:dyDescent="0.3">
      <c r="A25" s="459">
        <v>2000</v>
      </c>
      <c r="B25" s="822">
        <v>0.13</v>
      </c>
      <c r="C25" s="822">
        <v>0.84</v>
      </c>
      <c r="D25" s="822">
        <v>0.01</v>
      </c>
      <c r="E25" s="822">
        <v>0.01</v>
      </c>
      <c r="F25" s="822">
        <v>0.01</v>
      </c>
      <c r="G25" s="822">
        <v>0</v>
      </c>
      <c r="H25" s="822">
        <v>0</v>
      </c>
      <c r="I25" s="823">
        <v>0</v>
      </c>
      <c r="J25" s="823">
        <v>0</v>
      </c>
      <c r="K25" s="823">
        <v>0</v>
      </c>
      <c r="L25" s="824">
        <v>1</v>
      </c>
      <c r="O25" s="655" t="e">
        <f t="shared" si="0"/>
        <v>#N/A</v>
      </c>
      <c r="P25" s="656" t="e">
        <f t="shared" si="1"/>
        <v>#N/A</v>
      </c>
    </row>
    <row r="26" spans="1:16" ht="14.4" x14ac:dyDescent="0.3">
      <c r="A26" s="459">
        <v>2001</v>
      </c>
      <c r="B26" s="822">
        <v>3.3000660013200261E-2</v>
      </c>
      <c r="C26" s="822">
        <v>0.94401888037760739</v>
      </c>
      <c r="D26" s="822">
        <v>2.2000440008800172E-2</v>
      </c>
      <c r="E26" s="822">
        <v>4.9000980019600388E-4</v>
      </c>
      <c r="F26" s="822">
        <v>4.9000980019600388E-4</v>
      </c>
      <c r="G26" s="822">
        <v>0</v>
      </c>
      <c r="H26" s="822">
        <v>0</v>
      </c>
      <c r="I26" s="823">
        <v>0</v>
      </c>
      <c r="J26" s="823">
        <v>0</v>
      </c>
      <c r="K26" s="823">
        <v>0</v>
      </c>
      <c r="L26" s="824">
        <v>1</v>
      </c>
      <c r="O26" s="655" t="e">
        <f t="shared" si="0"/>
        <v>#N/A</v>
      </c>
      <c r="P26" s="656" t="e">
        <f t="shared" si="1"/>
        <v>#N/A</v>
      </c>
    </row>
    <row r="27" spans="1:16" ht="14.4" x14ac:dyDescent="0.3">
      <c r="A27" s="459">
        <v>2002</v>
      </c>
      <c r="B27" s="822">
        <v>0.02</v>
      </c>
      <c r="C27" s="822">
        <v>0.497</v>
      </c>
      <c r="D27" s="822">
        <v>0.14799999999999999</v>
      </c>
      <c r="E27" s="822">
        <v>1.2999999999999999E-2</v>
      </c>
      <c r="F27" s="822">
        <v>0.221</v>
      </c>
      <c r="G27" s="822">
        <v>0.10100000000000001</v>
      </c>
      <c r="H27" s="822">
        <v>0</v>
      </c>
      <c r="I27" s="823">
        <v>0</v>
      </c>
      <c r="J27" s="823">
        <v>0</v>
      </c>
      <c r="K27" s="823">
        <v>0</v>
      </c>
      <c r="L27" s="824">
        <v>1</v>
      </c>
      <c r="O27" s="655" t="e">
        <f t="shared" si="0"/>
        <v>#N/A</v>
      </c>
      <c r="P27" s="656" t="e">
        <f t="shared" si="1"/>
        <v>#N/A</v>
      </c>
    </row>
    <row r="28" spans="1:16" ht="14.4" x14ac:dyDescent="0.3">
      <c r="A28" s="459">
        <v>2003</v>
      </c>
      <c r="B28" s="822">
        <v>0.27400000000000002</v>
      </c>
      <c r="C28" s="822">
        <v>0.48999999999999994</v>
      </c>
      <c r="D28" s="822">
        <v>1.9E-2</v>
      </c>
      <c r="E28" s="822">
        <v>5.2999999999999999E-2</v>
      </c>
      <c r="F28" s="822">
        <v>8.0000000000000002E-3</v>
      </c>
      <c r="G28" s="822">
        <v>8.9999999999999993E-3</v>
      </c>
      <c r="H28" s="822">
        <v>6.9999999999999993E-2</v>
      </c>
      <c r="I28" s="823">
        <v>2.8000000000000001E-2</v>
      </c>
      <c r="J28" s="823">
        <v>1E-3</v>
      </c>
      <c r="K28" s="823">
        <v>4.8000000000000001E-2</v>
      </c>
      <c r="L28" s="824">
        <v>1</v>
      </c>
      <c r="O28" s="655" t="e">
        <f t="shared" si="0"/>
        <v>#N/A</v>
      </c>
      <c r="P28" s="656" t="e">
        <f t="shared" si="1"/>
        <v>#N/A</v>
      </c>
    </row>
    <row r="29" spans="1:16" ht="14.4" x14ac:dyDescent="0.3">
      <c r="A29" s="459">
        <v>2004</v>
      </c>
      <c r="B29" s="822">
        <v>3.0969030969030965E-2</v>
      </c>
      <c r="C29" s="822">
        <v>0.933066933066933</v>
      </c>
      <c r="D29" s="822">
        <v>0</v>
      </c>
      <c r="E29" s="822">
        <v>2.997002997002997E-3</v>
      </c>
      <c r="F29" s="822">
        <v>1.4985014985014982E-2</v>
      </c>
      <c r="G29" s="822">
        <v>0</v>
      </c>
      <c r="H29" s="822">
        <v>1.7982017982017977E-2</v>
      </c>
      <c r="I29" s="823">
        <v>0</v>
      </c>
      <c r="J29" s="823">
        <v>0</v>
      </c>
      <c r="K29" s="823">
        <v>0</v>
      </c>
      <c r="L29" s="824">
        <v>1</v>
      </c>
      <c r="O29" s="655" t="e">
        <f t="shared" si="0"/>
        <v>#N/A</v>
      </c>
      <c r="P29" s="656" t="e">
        <f t="shared" si="1"/>
        <v>#N/A</v>
      </c>
    </row>
    <row r="30" spans="1:16" ht="14.4" x14ac:dyDescent="0.3">
      <c r="A30" s="459">
        <v>2005</v>
      </c>
      <c r="B30" s="822">
        <v>1.4985014985014982E-2</v>
      </c>
      <c r="C30" s="822">
        <v>0.89010989010989006</v>
      </c>
      <c r="D30" s="822">
        <v>3.896103896103896E-2</v>
      </c>
      <c r="E30" s="822">
        <v>2.2977022977022976E-2</v>
      </c>
      <c r="F30" s="822">
        <v>1.898101898101898E-2</v>
      </c>
      <c r="G30" s="822">
        <v>1.3986013986013984E-2</v>
      </c>
      <c r="H30" s="822">
        <v>0</v>
      </c>
      <c r="I30" s="823">
        <v>0</v>
      </c>
      <c r="J30" s="823">
        <v>0</v>
      </c>
      <c r="K30" s="823">
        <v>0</v>
      </c>
      <c r="L30" s="824">
        <v>1</v>
      </c>
      <c r="O30" s="655" t="e">
        <f t="shared" si="0"/>
        <v>#N/A</v>
      </c>
      <c r="P30" s="656" t="e">
        <f t="shared" si="1"/>
        <v>#N/A</v>
      </c>
    </row>
    <row r="31" spans="1:16" ht="14.4" x14ac:dyDescent="0.3">
      <c r="A31" s="459">
        <v>2006</v>
      </c>
      <c r="B31" s="822">
        <v>2.3809523809523816E-3</v>
      </c>
      <c r="C31" s="822">
        <v>0.88333333333333341</v>
      </c>
      <c r="D31" s="822">
        <v>0.10952380952380952</v>
      </c>
      <c r="E31" s="822">
        <v>0</v>
      </c>
      <c r="F31" s="822">
        <v>4.7619047619047632E-3</v>
      </c>
      <c r="G31" s="822">
        <v>0</v>
      </c>
      <c r="H31" s="822">
        <v>0</v>
      </c>
      <c r="I31" s="823">
        <v>0</v>
      </c>
      <c r="J31" s="823">
        <v>0</v>
      </c>
      <c r="K31" s="823">
        <v>0</v>
      </c>
      <c r="L31" s="824">
        <v>1</v>
      </c>
      <c r="O31" s="655" t="e">
        <f t="shared" si="0"/>
        <v>#N/A</v>
      </c>
      <c r="P31" s="656" t="e">
        <f t="shared" si="1"/>
        <v>#N/A</v>
      </c>
    </row>
    <row r="32" spans="1:16" ht="14.4" x14ac:dyDescent="0.3">
      <c r="A32" s="459">
        <v>2007</v>
      </c>
      <c r="B32" s="822">
        <v>0.2831168831168831</v>
      </c>
      <c r="C32" s="822">
        <v>0.51168831168831164</v>
      </c>
      <c r="D32" s="822">
        <v>0.12987012987012986</v>
      </c>
      <c r="E32" s="822">
        <v>6.4935064935064901E-2</v>
      </c>
      <c r="F32" s="822">
        <v>1.038961038961039E-2</v>
      </c>
      <c r="G32" s="822">
        <v>0</v>
      </c>
      <c r="H32" s="822">
        <v>0</v>
      </c>
      <c r="I32" s="823">
        <v>0</v>
      </c>
      <c r="J32" s="823">
        <v>0</v>
      </c>
      <c r="K32" s="823">
        <v>0</v>
      </c>
      <c r="L32" s="824">
        <v>1</v>
      </c>
      <c r="O32" s="655" t="e">
        <f t="shared" si="0"/>
        <v>#N/A</v>
      </c>
      <c r="P32" s="656" t="e">
        <f t="shared" si="1"/>
        <v>#N/A</v>
      </c>
    </row>
    <row r="33" spans="1:16" ht="14.4" x14ac:dyDescent="0.3">
      <c r="A33" s="459">
        <v>2008</v>
      </c>
      <c r="B33" s="822">
        <v>4.6382189239332086E-2</v>
      </c>
      <c r="C33" s="822">
        <v>0.94063079777365477</v>
      </c>
      <c r="D33" s="822">
        <v>9.2764378478664179E-3</v>
      </c>
      <c r="E33" s="822">
        <v>0</v>
      </c>
      <c r="F33" s="822">
        <v>3.7105751391465673E-3</v>
      </c>
      <c r="G33" s="822">
        <v>0</v>
      </c>
      <c r="H33" s="822">
        <v>0</v>
      </c>
      <c r="I33" s="823">
        <v>0</v>
      </c>
      <c r="J33" s="823">
        <v>0</v>
      </c>
      <c r="K33" s="823">
        <v>0</v>
      </c>
      <c r="L33" s="824">
        <v>1</v>
      </c>
      <c r="O33" s="655" t="e">
        <f t="shared" si="0"/>
        <v>#N/A</v>
      </c>
      <c r="P33" s="656" t="e">
        <f t="shared" si="1"/>
        <v>#N/A</v>
      </c>
    </row>
    <row r="34" spans="1:16" ht="14.4" x14ac:dyDescent="0.3">
      <c r="A34" s="459">
        <v>2009</v>
      </c>
      <c r="B34" s="822">
        <v>3.4979423868312751E-2</v>
      </c>
      <c r="C34" s="822">
        <v>0.87860082304526743</v>
      </c>
      <c r="D34" s="822">
        <v>5.3497942386831268E-2</v>
      </c>
      <c r="E34" s="822">
        <v>0</v>
      </c>
      <c r="F34" s="822">
        <v>3.2921810699588473E-2</v>
      </c>
      <c r="G34" s="822">
        <v>0</v>
      </c>
      <c r="H34" s="822">
        <v>0</v>
      </c>
      <c r="I34" s="823">
        <v>0</v>
      </c>
      <c r="J34" s="823">
        <v>0</v>
      </c>
      <c r="K34" s="823">
        <v>0</v>
      </c>
      <c r="L34" s="824">
        <v>1</v>
      </c>
      <c r="O34" s="655" t="e">
        <f t="shared" si="0"/>
        <v>#N/A</v>
      </c>
      <c r="P34" s="656" t="e">
        <f t="shared" si="1"/>
        <v>#N/A</v>
      </c>
    </row>
    <row r="35" spans="1:16" ht="14.4" x14ac:dyDescent="0.3">
      <c r="A35" s="459">
        <v>2010</v>
      </c>
      <c r="B35" s="822">
        <v>8.8199443637909519E-3</v>
      </c>
      <c r="C35" s="822">
        <v>0.89416243162338116</v>
      </c>
      <c r="D35" s="822">
        <v>7.4013445123188151E-2</v>
      </c>
      <c r="E35" s="822">
        <v>1.7003088744516202E-2</v>
      </c>
      <c r="F35" s="822">
        <v>6.0010901451233644E-3</v>
      </c>
      <c r="G35" s="822">
        <v>0</v>
      </c>
      <c r="H35" s="822">
        <v>0</v>
      </c>
      <c r="I35" s="823">
        <v>0</v>
      </c>
      <c r="J35" s="823">
        <v>0</v>
      </c>
      <c r="K35" s="823">
        <v>0</v>
      </c>
      <c r="L35" s="824">
        <v>1</v>
      </c>
      <c r="O35" s="655" t="e">
        <f t="shared" si="0"/>
        <v>#N/A</v>
      </c>
      <c r="P35" s="656" t="e">
        <f t="shared" si="1"/>
        <v>#N/A</v>
      </c>
    </row>
    <row r="36" spans="1:16" ht="14.4" x14ac:dyDescent="0.3">
      <c r="A36" s="459">
        <v>2011</v>
      </c>
      <c r="B36" s="822">
        <v>0.182</v>
      </c>
      <c r="C36" s="822">
        <v>0.66400000000000003</v>
      </c>
      <c r="D36" s="822">
        <v>7.0999999999999994E-2</v>
      </c>
      <c r="E36" s="822">
        <v>4.2999999999999997E-2</v>
      </c>
      <c r="F36" s="822">
        <v>0.04</v>
      </c>
      <c r="G36" s="822">
        <v>0</v>
      </c>
      <c r="H36" s="822">
        <v>0</v>
      </c>
      <c r="I36" s="823">
        <v>0</v>
      </c>
      <c r="J36" s="823">
        <v>0</v>
      </c>
      <c r="K36" s="823">
        <v>0</v>
      </c>
      <c r="L36" s="824">
        <v>1</v>
      </c>
      <c r="O36" s="655" t="e">
        <f t="shared" si="0"/>
        <v>#N/A</v>
      </c>
      <c r="P36" s="656" t="e">
        <f t="shared" si="1"/>
        <v>#N/A</v>
      </c>
    </row>
    <row r="37" spans="1:16" ht="14.4" x14ac:dyDescent="0.3">
      <c r="A37" s="459">
        <v>2012</v>
      </c>
      <c r="B37" s="822">
        <v>3.0000000000000005E-3</v>
      </c>
      <c r="C37" s="822">
        <v>0.97100000000000009</v>
      </c>
      <c r="D37" s="822">
        <v>7.000000000000001E-3</v>
      </c>
      <c r="E37" s="822">
        <v>7.000000000000001E-3</v>
      </c>
      <c r="F37" s="822">
        <v>1.2000000000000002E-2</v>
      </c>
      <c r="G37" s="822">
        <v>0</v>
      </c>
      <c r="H37" s="822">
        <v>0</v>
      </c>
      <c r="I37" s="823">
        <v>0</v>
      </c>
      <c r="J37" s="823">
        <v>0</v>
      </c>
      <c r="K37" s="823">
        <v>0</v>
      </c>
      <c r="L37" s="824">
        <v>1</v>
      </c>
      <c r="O37" s="655" t="e">
        <f t="shared" si="0"/>
        <v>#N/A</v>
      </c>
      <c r="P37" s="656" t="e">
        <f t="shared" si="1"/>
        <v>#N/A</v>
      </c>
    </row>
    <row r="38" spans="1:16" ht="14.4" x14ac:dyDescent="0.3">
      <c r="A38" s="2336">
        <v>2013</v>
      </c>
      <c r="B38" s="2337">
        <v>0.23499999999999996</v>
      </c>
      <c r="C38" s="2337">
        <v>0.6339999999999999</v>
      </c>
      <c r="D38" s="2337">
        <v>8.0999999999999989E-2</v>
      </c>
      <c r="E38" s="2337">
        <v>0</v>
      </c>
      <c r="F38" s="2337">
        <v>4.9999999999999996E-2</v>
      </c>
      <c r="G38" s="2337">
        <v>0</v>
      </c>
      <c r="H38" s="2337">
        <v>0</v>
      </c>
      <c r="I38" s="2338">
        <v>0</v>
      </c>
      <c r="J38" s="2338">
        <v>0</v>
      </c>
      <c r="K38" s="2338">
        <v>0</v>
      </c>
      <c r="L38" s="824">
        <v>1</v>
      </c>
      <c r="O38" s="655" t="e">
        <f t="shared" si="0"/>
        <v>#N/A</v>
      </c>
      <c r="P38" s="656" t="e">
        <f t="shared" si="1"/>
        <v>#N/A</v>
      </c>
    </row>
    <row r="39" spans="1:16" ht="14.4" x14ac:dyDescent="0.3">
      <c r="A39" s="459">
        <v>2014</v>
      </c>
      <c r="B39" s="822">
        <v>8.2183563287342526E-2</v>
      </c>
      <c r="C39" s="822">
        <v>0.8838232353529295</v>
      </c>
      <c r="D39" s="822">
        <v>2.9994001199760052E-2</v>
      </c>
      <c r="E39" s="822">
        <v>0</v>
      </c>
      <c r="F39" s="822">
        <v>3.9992001599680064E-3</v>
      </c>
      <c r="G39" s="822">
        <v>0</v>
      </c>
      <c r="H39" s="822">
        <v>0</v>
      </c>
      <c r="I39" s="823">
        <v>0</v>
      </c>
      <c r="J39" s="823">
        <v>0</v>
      </c>
      <c r="K39" s="823">
        <v>0</v>
      </c>
      <c r="L39" s="824">
        <v>1</v>
      </c>
      <c r="O39" s="655" t="e">
        <f t="shared" si="0"/>
        <v>#N/A</v>
      </c>
      <c r="P39" s="656" t="e">
        <f t="shared" si="1"/>
        <v>#N/A</v>
      </c>
    </row>
    <row r="40" spans="1:16" ht="14.4" x14ac:dyDescent="0.3">
      <c r="A40" s="459">
        <v>2015</v>
      </c>
      <c r="B40" s="822">
        <v>1.0010010010010012E-3</v>
      </c>
      <c r="C40" s="822">
        <v>0.97597597597597607</v>
      </c>
      <c r="D40" s="822">
        <v>1.0010010010010012E-3</v>
      </c>
      <c r="E40" s="822">
        <v>0</v>
      </c>
      <c r="F40" s="822">
        <v>2.2022022022022022E-2</v>
      </c>
      <c r="G40" s="822">
        <v>0</v>
      </c>
      <c r="H40" s="822">
        <v>0</v>
      </c>
      <c r="I40" s="823">
        <v>0</v>
      </c>
      <c r="J40" s="823">
        <v>0</v>
      </c>
      <c r="K40" s="823">
        <v>0</v>
      </c>
      <c r="L40" s="824">
        <v>1</v>
      </c>
      <c r="O40" s="655" t="e">
        <f t="shared" si="0"/>
        <v>#N/A</v>
      </c>
      <c r="P40" s="656" t="e">
        <f t="shared" si="1"/>
        <v>#N/A</v>
      </c>
    </row>
    <row r="41" spans="1:16" ht="14.4" x14ac:dyDescent="0.3">
      <c r="A41" s="459">
        <v>2016</v>
      </c>
      <c r="B41" s="822">
        <v>0.01</v>
      </c>
      <c r="C41" s="822">
        <v>0.95699999999999985</v>
      </c>
      <c r="D41" s="822">
        <v>2.5000000000000001E-2</v>
      </c>
      <c r="E41" s="822">
        <v>3.0000000000000001E-3</v>
      </c>
      <c r="F41" s="822">
        <v>5.0000000000000001E-3</v>
      </c>
      <c r="G41" s="822">
        <v>0</v>
      </c>
      <c r="H41" s="822">
        <v>0</v>
      </c>
      <c r="I41" s="823">
        <v>0</v>
      </c>
      <c r="J41" s="823">
        <v>0</v>
      </c>
      <c r="K41" s="823">
        <v>0</v>
      </c>
      <c r="L41" s="824">
        <v>1</v>
      </c>
      <c r="O41" s="655" t="e">
        <f t="shared" si="0"/>
        <v>#N/A</v>
      </c>
      <c r="P41" s="656" t="e">
        <f t="shared" si="1"/>
        <v>#N/A</v>
      </c>
    </row>
    <row r="42" spans="1:16" ht="14.4" x14ac:dyDescent="0.3">
      <c r="A42" s="459">
        <v>2017</v>
      </c>
      <c r="B42" s="822">
        <v>3.7999999999999992E-2</v>
      </c>
      <c r="C42" s="822">
        <v>0.75900000000000001</v>
      </c>
      <c r="D42" s="822">
        <v>0.18099999999999999</v>
      </c>
      <c r="E42" s="822">
        <v>1.4999999999999998E-2</v>
      </c>
      <c r="F42" s="822">
        <v>6.9999999999999993E-3</v>
      </c>
      <c r="G42" s="822">
        <v>0</v>
      </c>
      <c r="H42" s="822">
        <v>0</v>
      </c>
      <c r="I42" s="823">
        <v>0</v>
      </c>
      <c r="J42" s="823">
        <v>0</v>
      </c>
      <c r="K42" s="823">
        <v>0</v>
      </c>
      <c r="L42" s="824">
        <v>1</v>
      </c>
      <c r="O42" s="655" t="e">
        <f t="shared" si="0"/>
        <v>#N/A</v>
      </c>
      <c r="P42" s="656" t="e">
        <f t="shared" si="1"/>
        <v>#N/A</v>
      </c>
    </row>
    <row r="43" spans="1:16" ht="14.4" x14ac:dyDescent="0.3">
      <c r="A43" s="459">
        <v>2018</v>
      </c>
      <c r="B43" s="822">
        <v>2.600520104020804E-3</v>
      </c>
      <c r="C43" s="822">
        <v>0.97119423884776945</v>
      </c>
      <c r="D43" s="822">
        <v>2.1004200840168033E-2</v>
      </c>
      <c r="E43" s="822">
        <v>2.600520104020804E-3</v>
      </c>
      <c r="F43" s="822">
        <v>2.600520104020804E-3</v>
      </c>
      <c r="G43" s="822">
        <v>0</v>
      </c>
      <c r="H43" s="822">
        <v>0</v>
      </c>
      <c r="I43" s="823">
        <v>0</v>
      </c>
      <c r="J43" s="823">
        <v>0</v>
      </c>
      <c r="K43" s="823">
        <v>0</v>
      </c>
      <c r="L43" s="824">
        <v>1</v>
      </c>
      <c r="O43" s="655" t="e">
        <f t="shared" si="0"/>
        <v>#N/A</v>
      </c>
      <c r="P43" s="656" t="e">
        <f t="shared" si="1"/>
        <v>#N/A</v>
      </c>
    </row>
    <row r="44" spans="1:16" ht="14.4" x14ac:dyDescent="0.3">
      <c r="A44" s="459">
        <v>2019</v>
      </c>
      <c r="B44" s="822">
        <v>0.185</v>
      </c>
      <c r="C44" s="822">
        <v>0.54200000000000004</v>
      </c>
      <c r="D44" s="822">
        <v>0.26700000000000002</v>
      </c>
      <c r="E44" s="822">
        <v>2E-3</v>
      </c>
      <c r="F44" s="822">
        <v>4.0000000000000001E-3</v>
      </c>
      <c r="G44" s="822">
        <v>0</v>
      </c>
      <c r="H44" s="822">
        <v>0</v>
      </c>
      <c r="I44" s="823">
        <v>0</v>
      </c>
      <c r="J44" s="823">
        <v>0</v>
      </c>
      <c r="K44" s="823">
        <v>0</v>
      </c>
      <c r="L44" s="824">
        <v>1</v>
      </c>
      <c r="O44" s="655" t="e">
        <f t="shared" si="0"/>
        <v>#N/A</v>
      </c>
      <c r="P44" s="656" t="e">
        <f t="shared" si="1"/>
        <v>#N/A</v>
      </c>
    </row>
    <row r="45" spans="1:16" ht="14.4" x14ac:dyDescent="0.3">
      <c r="A45" s="459">
        <v>2020</v>
      </c>
      <c r="B45" s="822">
        <v>1.0999999999999999E-2</v>
      </c>
      <c r="C45" s="822">
        <v>0.97099999999999986</v>
      </c>
      <c r="D45" s="822">
        <v>1.7999999999999999E-2</v>
      </c>
      <c r="E45" s="822">
        <v>0</v>
      </c>
      <c r="F45" s="822">
        <v>0</v>
      </c>
      <c r="G45" s="822">
        <v>0</v>
      </c>
      <c r="H45" s="822">
        <v>0</v>
      </c>
      <c r="I45" s="823">
        <v>0</v>
      </c>
      <c r="J45" s="823">
        <v>0</v>
      </c>
      <c r="K45" s="823">
        <v>0</v>
      </c>
      <c r="L45" s="824">
        <v>1</v>
      </c>
      <c r="O45" s="655" t="e">
        <f t="shared" si="0"/>
        <v>#N/A</v>
      </c>
      <c r="P45" s="656" t="e">
        <f t="shared" si="1"/>
        <v>#N/A</v>
      </c>
    </row>
    <row r="46" spans="1:16" ht="15" thickBot="1" x14ac:dyDescent="0.35">
      <c r="A46" s="459">
        <v>2021</v>
      </c>
      <c r="B46" s="822">
        <v>0.17799999999999999</v>
      </c>
      <c r="C46" s="822">
        <v>0.76500000000000001</v>
      </c>
      <c r="D46" s="822">
        <v>5.7000000000000002E-2</v>
      </c>
      <c r="E46" s="822">
        <v>0</v>
      </c>
      <c r="F46" s="822">
        <v>0</v>
      </c>
      <c r="G46" s="822">
        <v>0</v>
      </c>
      <c r="H46" s="822">
        <v>0</v>
      </c>
      <c r="I46" s="823">
        <v>0</v>
      </c>
      <c r="J46" s="823">
        <v>0</v>
      </c>
      <c r="K46" s="823">
        <v>0</v>
      </c>
      <c r="L46" s="824">
        <v>1</v>
      </c>
      <c r="O46" s="657" t="e">
        <f t="shared" si="0"/>
        <v>#N/A</v>
      </c>
      <c r="P46" s="658" t="e">
        <f t="shared" si="1"/>
        <v>#N/A</v>
      </c>
    </row>
    <row r="47" spans="1:16" ht="15" thickBot="1" x14ac:dyDescent="0.35">
      <c r="A47" s="459">
        <v>2022</v>
      </c>
      <c r="B47" s="825">
        <v>1.9E-2</v>
      </c>
      <c r="C47" s="825">
        <v>0.86099999999999999</v>
      </c>
      <c r="D47" s="825">
        <v>0.11999999999999998</v>
      </c>
      <c r="E47" s="825">
        <v>0</v>
      </c>
      <c r="F47" s="825">
        <v>0</v>
      </c>
      <c r="G47" s="825">
        <v>0</v>
      </c>
      <c r="H47" s="825">
        <v>0</v>
      </c>
      <c r="I47" s="825">
        <v>0</v>
      </c>
      <c r="J47" s="825">
        <v>0</v>
      </c>
      <c r="K47" s="825">
        <v>0</v>
      </c>
      <c r="L47" s="825">
        <v>1</v>
      </c>
      <c r="O47" s="659" t="e">
        <f t="shared" si="0"/>
        <v>#N/A</v>
      </c>
      <c r="P47" s="658" t="e">
        <f t="shared" si="1"/>
        <v>#N/A</v>
      </c>
    </row>
    <row r="48" spans="1:16" x14ac:dyDescent="0.25">
      <c r="A48" s="559" t="s">
        <v>1149</v>
      </c>
      <c r="B48" s="826">
        <f>AVERAGE(B5:B47)</f>
        <v>0.10012733243878974</v>
      </c>
      <c r="C48" s="826">
        <f t="shared" ref="C48:L48" si="2">AVERAGE(C5:C47)</f>
        <v>0.7811345937783235</v>
      </c>
      <c r="D48" s="826">
        <f t="shared" si="2"/>
        <v>7.7084676217194892E-2</v>
      </c>
      <c r="E48" s="826">
        <f t="shared" si="2"/>
        <v>1.6540072700626463E-2</v>
      </c>
      <c r="F48" s="826">
        <f t="shared" si="2"/>
        <v>1.8137370586785405E-2</v>
      </c>
      <c r="G48" s="826">
        <f t="shared" si="2"/>
        <v>3.1391631624189766E-3</v>
      </c>
      <c r="H48" s="826">
        <f t="shared" si="2"/>
        <v>2.0460934414422783E-3</v>
      </c>
      <c r="I48" s="826">
        <f t="shared" si="2"/>
        <v>6.5116279069767438E-4</v>
      </c>
      <c r="J48" s="826">
        <f t="shared" si="2"/>
        <v>2.3255813953488374E-5</v>
      </c>
      <c r="K48" s="826">
        <f t="shared" si="2"/>
        <v>1.1162790697674418E-3</v>
      </c>
      <c r="L48" s="826">
        <f t="shared" si="2"/>
        <v>1</v>
      </c>
    </row>
    <row r="49" s="559" customFormat="1" x14ac:dyDescent="0.25"/>
    <row r="50" s="559" customFormat="1" x14ac:dyDescent="0.25"/>
    <row r="51" s="559" customFormat="1" x14ac:dyDescent="0.25"/>
    <row r="52" s="559" customFormat="1" x14ac:dyDescent="0.25"/>
    <row r="53" s="559" customFormat="1" x14ac:dyDescent="0.25"/>
    <row r="54" s="559" customFormat="1" x14ac:dyDescent="0.25"/>
    <row r="55" s="559" customFormat="1" x14ac:dyDescent="0.25"/>
    <row r="56" s="559" customFormat="1" x14ac:dyDescent="0.25"/>
    <row r="57" s="559" customFormat="1" x14ac:dyDescent="0.25"/>
    <row r="58" s="559" customFormat="1" x14ac:dyDescent="0.25"/>
    <row r="59" s="559" customFormat="1" x14ac:dyDescent="0.25"/>
    <row r="60" s="559" customFormat="1" x14ac:dyDescent="0.25"/>
    <row r="61" s="559" customFormat="1" x14ac:dyDescent="0.25"/>
    <row r="62" s="559" customFormat="1" x14ac:dyDescent="0.25"/>
    <row r="63" s="559" customFormat="1" x14ac:dyDescent="0.25"/>
    <row r="64" s="559" customFormat="1" x14ac:dyDescent="0.25"/>
    <row r="65" s="559" customFormat="1" x14ac:dyDescent="0.25"/>
    <row r="66" s="559" customFormat="1" x14ac:dyDescent="0.25"/>
    <row r="67" s="559" customFormat="1" x14ac:dyDescent="0.25"/>
    <row r="68" s="559" customFormat="1" x14ac:dyDescent="0.25"/>
    <row r="69" s="559" customFormat="1" x14ac:dyDescent="0.25"/>
    <row r="70" s="559" customFormat="1" x14ac:dyDescent="0.25"/>
    <row r="71" s="559" customFormat="1" x14ac:dyDescent="0.25"/>
    <row r="72" s="559" customFormat="1" x14ac:dyDescent="0.25"/>
    <row r="73" s="559" customFormat="1" x14ac:dyDescent="0.25"/>
    <row r="74" s="559" customFormat="1" x14ac:dyDescent="0.25"/>
    <row r="75" s="559" customFormat="1" x14ac:dyDescent="0.25"/>
    <row r="76" s="559" customFormat="1" x14ac:dyDescent="0.25"/>
    <row r="77" s="559" customFormat="1" x14ac:dyDescent="0.25"/>
    <row r="78" s="559" customFormat="1" x14ac:dyDescent="0.25"/>
    <row r="79" s="559" customFormat="1" x14ac:dyDescent="0.25"/>
    <row r="80" s="559" customFormat="1" x14ac:dyDescent="0.25"/>
    <row r="81" s="559" customFormat="1" x14ac:dyDescent="0.25"/>
    <row r="82" s="559" customFormat="1" x14ac:dyDescent="0.25"/>
    <row r="83" s="559" customFormat="1" x14ac:dyDescent="0.25"/>
    <row r="84" s="559" customFormat="1" x14ac:dyDescent="0.25"/>
    <row r="85" s="559" customFormat="1" x14ac:dyDescent="0.25"/>
    <row r="86" s="559" customFormat="1" x14ac:dyDescent="0.25"/>
    <row r="87" s="559" customFormat="1" x14ac:dyDescent="0.25"/>
    <row r="88" s="559" customFormat="1" x14ac:dyDescent="0.25"/>
    <row r="89" s="559" customFormat="1" x14ac:dyDescent="0.25"/>
    <row r="90" s="559" customFormat="1" x14ac:dyDescent="0.25"/>
    <row r="91" s="559" customFormat="1" x14ac:dyDescent="0.25"/>
    <row r="92" s="559" customFormat="1" x14ac:dyDescent="0.25"/>
    <row r="93" s="559" customFormat="1" x14ac:dyDescent="0.25"/>
    <row r="94" s="559" customFormat="1" x14ac:dyDescent="0.25"/>
    <row r="95" s="559" customFormat="1" x14ac:dyDescent="0.25"/>
    <row r="96" s="559" customFormat="1" x14ac:dyDescent="0.25"/>
    <row r="97" s="559" customFormat="1" x14ac:dyDescent="0.25"/>
    <row r="98" s="559" customFormat="1" x14ac:dyDescent="0.25"/>
    <row r="99" s="559" customFormat="1" x14ac:dyDescent="0.25"/>
    <row r="100" s="559" customFormat="1" x14ac:dyDescent="0.25"/>
    <row r="101" s="559" customFormat="1" x14ac:dyDescent="0.25"/>
    <row r="102" s="559" customFormat="1" x14ac:dyDescent="0.25"/>
    <row r="103" s="559" customFormat="1" x14ac:dyDescent="0.25"/>
    <row r="104" s="559" customFormat="1" x14ac:dyDescent="0.25"/>
    <row r="105" s="559" customFormat="1" x14ac:dyDescent="0.25"/>
    <row r="106" s="559" customFormat="1" x14ac:dyDescent="0.25"/>
    <row r="107" s="559" customFormat="1" x14ac:dyDescent="0.25"/>
    <row r="108" s="559" customFormat="1" x14ac:dyDescent="0.25"/>
    <row r="109" s="559" customFormat="1" x14ac:dyDescent="0.25"/>
    <row r="110" s="559" customFormat="1" x14ac:dyDescent="0.25"/>
    <row r="111" s="559" customFormat="1" x14ac:dyDescent="0.25"/>
    <row r="112" s="559" customFormat="1" x14ac:dyDescent="0.25"/>
    <row r="113" s="559" customFormat="1" x14ac:dyDescent="0.25"/>
    <row r="114" s="559" customFormat="1" x14ac:dyDescent="0.25"/>
    <row r="115" s="559" customFormat="1" x14ac:dyDescent="0.25"/>
    <row r="116" s="559" customFormat="1" x14ac:dyDescent="0.25"/>
    <row r="117" s="559" customFormat="1" x14ac:dyDescent="0.25"/>
    <row r="118" s="559" customFormat="1" x14ac:dyDescent="0.25"/>
    <row r="119" s="559" customFormat="1" x14ac:dyDescent="0.25"/>
    <row r="120" s="559" customFormat="1" x14ac:dyDescent="0.25"/>
    <row r="121" s="559" customFormat="1" x14ac:dyDescent="0.25"/>
    <row r="122" s="559" customFormat="1" x14ac:dyDescent="0.25"/>
    <row r="123" s="559" customFormat="1" x14ac:dyDescent="0.25"/>
    <row r="124" s="559" customFormat="1" x14ac:dyDescent="0.25"/>
    <row r="125" s="559" customFormat="1" x14ac:dyDescent="0.25"/>
    <row r="126" s="559" customFormat="1" x14ac:dyDescent="0.25"/>
    <row r="127" s="559" customFormat="1" x14ac:dyDescent="0.25"/>
    <row r="128" s="559" customFormat="1" x14ac:dyDescent="0.25"/>
    <row r="129" s="559" customFormat="1" x14ac:dyDescent="0.25"/>
    <row r="130" s="559" customFormat="1" x14ac:dyDescent="0.25"/>
    <row r="131" s="559" customFormat="1" x14ac:dyDescent="0.25"/>
    <row r="132" s="559" customFormat="1" x14ac:dyDescent="0.25"/>
    <row r="133" s="559" customFormat="1" x14ac:dyDescent="0.25"/>
    <row r="134" s="559" customFormat="1" x14ac:dyDescent="0.25"/>
    <row r="135" s="559" customFormat="1" x14ac:dyDescent="0.25"/>
    <row r="136" s="559" customFormat="1" x14ac:dyDescent="0.25"/>
    <row r="137" s="559" customFormat="1" x14ac:dyDescent="0.25"/>
    <row r="138" s="559" customFormat="1" x14ac:dyDescent="0.25"/>
    <row r="139" s="559" customFormat="1" x14ac:dyDescent="0.25"/>
    <row r="140" s="559" customFormat="1" x14ac:dyDescent="0.25"/>
    <row r="141" s="559" customFormat="1" x14ac:dyDescent="0.25"/>
    <row r="142" s="559" customFormat="1" x14ac:dyDescent="0.25"/>
    <row r="143" s="559" customFormat="1" x14ac:dyDescent="0.25"/>
    <row r="144" s="559" customFormat="1" x14ac:dyDescent="0.25"/>
    <row r="145" s="559" customFormat="1" x14ac:dyDescent="0.25"/>
    <row r="146" s="559" customFormat="1" x14ac:dyDescent="0.25"/>
    <row r="147" s="559" customFormat="1" x14ac:dyDescent="0.25"/>
  </sheetData>
  <mergeCells count="5">
    <mergeCell ref="A1:L2"/>
    <mergeCell ref="M1:X1"/>
    <mergeCell ref="M2:X2"/>
    <mergeCell ref="O3:P3"/>
    <mergeCell ref="M5:M19"/>
  </mergeCells>
  <conditionalFormatting sqref="P5:P47">
    <cfRule type="colorScale" priority="1">
      <colorScale>
        <cfvo type="min"/>
        <cfvo type="max"/>
        <color rgb="FFFCFCFF"/>
        <color rgb="FFF8696B"/>
      </colorScale>
    </cfRule>
  </conditionalFormatting>
  <pageMargins left="0.7" right="0.7" top="0.75" bottom="0.75" header="0.3" footer="0.3"/>
  <pageSetup orientation="portrait" r:id="rId2"/>
  <legacyDrawing r:id="rId3"/>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B022D8-A9AB-4435-BD7A-0D545BC19C42}">
  <sheetPr codeName="Sheet14">
    <tabColor rgb="FF0070C0"/>
  </sheetPr>
  <dimension ref="A1:N174"/>
  <sheetViews>
    <sheetView zoomScaleNormal="100" workbookViewId="0">
      <pane xSplit="1" ySplit="4" topLeftCell="B8" activePane="bottomRight" state="frozen"/>
      <selection pane="topRight" activeCell="G8" sqref="G8"/>
      <selection pane="bottomLeft" activeCell="G8" sqref="G8"/>
      <selection pane="bottomRight" activeCell="G8" sqref="G8"/>
    </sheetView>
  </sheetViews>
  <sheetFormatPr defaultColWidth="8.6640625" defaultRowHeight="13.2" x14ac:dyDescent="0.25"/>
  <cols>
    <col min="1" max="1" width="16.109375" style="557" bestFit="1" customWidth="1"/>
    <col min="2" max="12" width="7.88671875" style="559" bestFit="1" customWidth="1"/>
    <col min="13" max="13" width="42.6640625" style="559" customWidth="1"/>
    <col min="14" max="14" width="10.44140625" style="559" bestFit="1" customWidth="1"/>
    <col min="15" max="16384" width="8.6640625" style="559"/>
  </cols>
  <sheetData>
    <row r="1" spans="1:14" ht="28.2" customHeight="1" x14ac:dyDescent="0.25">
      <c r="A1" s="2658" t="s">
        <v>1207</v>
      </c>
      <c r="B1" s="2659"/>
      <c r="C1" s="2659"/>
      <c r="D1" s="2659"/>
      <c r="E1" s="2659"/>
      <c r="F1" s="2659"/>
      <c r="G1" s="2659"/>
      <c r="H1" s="2659"/>
      <c r="I1" s="2659"/>
      <c r="J1" s="2659"/>
      <c r="K1" s="2659"/>
      <c r="L1" s="2660"/>
    </row>
    <row r="2" spans="1:14" ht="28.2" customHeight="1" thickBot="1" x14ac:dyDescent="0.3">
      <c r="A2" s="2661"/>
      <c r="B2" s="2662"/>
      <c r="C2" s="2662"/>
      <c r="D2" s="2662"/>
      <c r="E2" s="2662"/>
      <c r="F2" s="2662"/>
      <c r="G2" s="2662"/>
      <c r="H2" s="2662"/>
      <c r="I2" s="2662"/>
      <c r="J2" s="2662"/>
      <c r="K2" s="2662"/>
      <c r="L2" s="2663"/>
    </row>
    <row r="3" spans="1:14" ht="14.4" x14ac:dyDescent="0.3">
      <c r="A3" s="661" t="s">
        <v>1201</v>
      </c>
      <c r="B3" s="660" t="s">
        <v>357</v>
      </c>
      <c r="C3"/>
      <c r="D3"/>
      <c r="E3"/>
      <c r="F3"/>
      <c r="G3"/>
      <c r="H3"/>
      <c r="I3"/>
      <c r="J3"/>
      <c r="K3"/>
      <c r="L3"/>
    </row>
    <row r="4" spans="1:14" s="557" customFormat="1" ht="14.4" x14ac:dyDescent="0.3">
      <c r="A4" s="668" t="s">
        <v>540</v>
      </c>
      <c r="B4" s="669">
        <v>1.1000000000000001</v>
      </c>
      <c r="C4" s="669">
        <v>1.2</v>
      </c>
      <c r="D4" s="669">
        <v>1.3</v>
      </c>
      <c r="E4" s="669">
        <v>2.1</v>
      </c>
      <c r="F4" s="669">
        <v>2.2000000000000002</v>
      </c>
      <c r="G4" s="669">
        <v>2.2999999999999998</v>
      </c>
      <c r="H4" s="669">
        <v>3.1</v>
      </c>
      <c r="I4" s="669">
        <v>3.2</v>
      </c>
      <c r="J4" s="669">
        <v>3.3</v>
      </c>
      <c r="K4" s="669">
        <v>4.0999999999999996</v>
      </c>
      <c r="L4" s="669" t="s">
        <v>221</v>
      </c>
      <c r="M4" s="559"/>
      <c r="N4" s="559"/>
    </row>
    <row r="5" spans="1:14" ht="14.4" x14ac:dyDescent="0.3">
      <c r="A5" s="669">
        <v>1977</v>
      </c>
      <c r="B5" s="667"/>
      <c r="C5" s="667"/>
      <c r="D5" s="667">
        <v>3243.9798476300798</v>
      </c>
      <c r="E5" s="667"/>
      <c r="F5" s="667"/>
      <c r="G5" s="667"/>
      <c r="H5" s="667"/>
      <c r="I5" s="667"/>
      <c r="J5" s="667"/>
      <c r="K5" s="667"/>
      <c r="L5" s="667">
        <v>3243.9798476300798</v>
      </c>
    </row>
    <row r="6" spans="1:14" ht="14.4" x14ac:dyDescent="0.3">
      <c r="A6" s="669">
        <v>1978</v>
      </c>
      <c r="B6" s="667"/>
      <c r="C6" s="667">
        <v>32244.378003551996</v>
      </c>
      <c r="D6" s="667">
        <v>3512.2226487717094</v>
      </c>
      <c r="E6" s="667"/>
      <c r="F6" s="667">
        <v>625.34551279615994</v>
      </c>
      <c r="G6" s="667"/>
      <c r="H6" s="667"/>
      <c r="I6" s="667"/>
      <c r="J6" s="667"/>
      <c r="K6" s="667"/>
      <c r="L6" s="667">
        <v>36381.946165119865</v>
      </c>
    </row>
    <row r="7" spans="1:14" ht="14.4" x14ac:dyDescent="0.3">
      <c r="A7" s="669">
        <v>1979</v>
      </c>
      <c r="B7" s="667">
        <v>2032.3729165875197</v>
      </c>
      <c r="C7" s="667">
        <v>34910.646810080238</v>
      </c>
      <c r="D7" s="667">
        <v>2243.2296361014801</v>
      </c>
      <c r="E7" s="667">
        <v>898.93417464447987</v>
      </c>
      <c r="F7" s="667">
        <v>677.05496843791991</v>
      </c>
      <c r="G7" s="667"/>
      <c r="H7" s="667"/>
      <c r="I7" s="667"/>
      <c r="J7" s="667"/>
      <c r="K7" s="667"/>
      <c r="L7" s="667">
        <v>40762.238505851637</v>
      </c>
    </row>
    <row r="8" spans="1:14" ht="14.4" x14ac:dyDescent="0.3">
      <c r="A8" s="669">
        <v>1980</v>
      </c>
      <c r="B8" s="667">
        <v>2200.4286474232395</v>
      </c>
      <c r="C8" s="667">
        <v>22297.162045586996</v>
      </c>
      <c r="D8" s="667">
        <v>3208.3350002002903</v>
      </c>
      <c r="E8" s="667">
        <v>973.26651712950979</v>
      </c>
      <c r="F8" s="667">
        <v>432.42980936895998</v>
      </c>
      <c r="G8" s="667"/>
      <c r="H8" s="667"/>
      <c r="I8" s="667"/>
      <c r="J8" s="667"/>
      <c r="K8" s="667"/>
      <c r="L8" s="667">
        <v>29111.622019708997</v>
      </c>
    </row>
    <row r="9" spans="1:14" ht="14.4" x14ac:dyDescent="0.3">
      <c r="A9" s="669">
        <v>1981</v>
      </c>
      <c r="B9" s="667">
        <v>1405.3968804491199</v>
      </c>
      <c r="C9" s="667">
        <v>31890.07680921975</v>
      </c>
      <c r="D9" s="667">
        <v>11720.538826495798</v>
      </c>
      <c r="E9" s="667">
        <v>621.61785096787992</v>
      </c>
      <c r="F9" s="667">
        <v>618.47421690608007</v>
      </c>
      <c r="G9" s="667"/>
      <c r="H9" s="667"/>
      <c r="I9" s="667"/>
      <c r="J9" s="667"/>
      <c r="K9" s="667"/>
      <c r="L9" s="667">
        <v>46256.104584038629</v>
      </c>
    </row>
    <row r="10" spans="1:14" ht="14.4" x14ac:dyDescent="0.3">
      <c r="A10" s="669">
        <v>1982</v>
      </c>
      <c r="B10" s="667">
        <v>2010.04120494476</v>
      </c>
      <c r="C10" s="667">
        <v>116499.33170914497</v>
      </c>
      <c r="D10" s="667">
        <v>727.33799999999997</v>
      </c>
      <c r="E10" s="667">
        <v>889.05668680249005</v>
      </c>
      <c r="F10" s="667">
        <v>2259.3809786015995</v>
      </c>
      <c r="G10" s="667"/>
      <c r="H10" s="667"/>
      <c r="I10" s="667"/>
      <c r="J10" s="667"/>
      <c r="K10" s="667"/>
      <c r="L10" s="667">
        <v>122385.14857949383</v>
      </c>
    </row>
    <row r="11" spans="1:14" ht="14.4" x14ac:dyDescent="0.3">
      <c r="A11" s="669">
        <v>1983</v>
      </c>
      <c r="B11" s="667">
        <v>7342.9881804551987</v>
      </c>
      <c r="C11" s="667">
        <v>106676.24</v>
      </c>
      <c r="D11" s="667">
        <v>4078.2050000000004</v>
      </c>
      <c r="E11" s="667">
        <v>3247.8601567397995</v>
      </c>
      <c r="F11" s="667">
        <v>4121.5820000000003</v>
      </c>
      <c r="G11" s="667"/>
      <c r="H11" s="667"/>
      <c r="I11" s="667"/>
      <c r="J11" s="667"/>
      <c r="K11" s="667"/>
      <c r="L11" s="667">
        <v>125466.875337195</v>
      </c>
    </row>
    <row r="12" spans="1:14" ht="14.4" x14ac:dyDescent="0.3">
      <c r="A12" s="669">
        <v>1984</v>
      </c>
      <c r="B12" s="667">
        <v>8364.3870000000006</v>
      </c>
      <c r="C12" s="667">
        <v>40536.375</v>
      </c>
      <c r="D12" s="667">
        <v>2777.7400000000002</v>
      </c>
      <c r="E12" s="667">
        <v>1333.453</v>
      </c>
      <c r="F12" s="667">
        <v>786.16</v>
      </c>
      <c r="G12" s="667"/>
      <c r="H12" s="667"/>
      <c r="I12" s="667"/>
      <c r="J12" s="667"/>
      <c r="K12" s="667"/>
      <c r="L12" s="667">
        <v>53798.115000000005</v>
      </c>
    </row>
    <row r="13" spans="1:14" ht="14.4" x14ac:dyDescent="0.3">
      <c r="A13" s="669">
        <v>1985</v>
      </c>
      <c r="B13" s="667">
        <v>2555.02</v>
      </c>
      <c r="C13" s="667">
        <v>45634.3</v>
      </c>
      <c r="D13" s="667">
        <v>1019.044</v>
      </c>
      <c r="E13" s="667">
        <v>1130.105</v>
      </c>
      <c r="F13" s="667">
        <v>992.05000000000007</v>
      </c>
      <c r="G13" s="667"/>
      <c r="H13" s="667"/>
      <c r="I13" s="667"/>
      <c r="J13" s="667"/>
      <c r="K13" s="667"/>
      <c r="L13" s="670">
        <v>51330.519000000008</v>
      </c>
      <c r="M13" s="2670" t="s">
        <v>1208</v>
      </c>
    </row>
    <row r="14" spans="1:14" ht="14.4" x14ac:dyDescent="0.3">
      <c r="A14" s="669">
        <v>1986</v>
      </c>
      <c r="B14" s="667">
        <v>48808.86</v>
      </c>
      <c r="C14" s="667">
        <v>75957.971999999994</v>
      </c>
      <c r="D14" s="667">
        <v>492.91199999999998</v>
      </c>
      <c r="E14" s="667">
        <v>992.05000000000007</v>
      </c>
      <c r="F14" s="667">
        <v>470.32800000000003</v>
      </c>
      <c r="G14" s="667"/>
      <c r="H14" s="667"/>
      <c r="I14" s="667"/>
      <c r="J14" s="667"/>
      <c r="K14" s="667"/>
      <c r="L14" s="670">
        <v>126722.12199999999</v>
      </c>
      <c r="M14" s="2671"/>
    </row>
    <row r="15" spans="1:14" ht="14.4" x14ac:dyDescent="0.3">
      <c r="A15" s="669">
        <v>1987</v>
      </c>
      <c r="B15" s="667">
        <v>156.77600000000001</v>
      </c>
      <c r="C15" s="667">
        <v>16996.335999999999</v>
      </c>
      <c r="D15" s="667">
        <v>2800.8180000000002</v>
      </c>
      <c r="E15" s="667">
        <v>783.88</v>
      </c>
      <c r="F15" s="667">
        <v>91.28</v>
      </c>
      <c r="G15" s="667">
        <v>74.358000000000004</v>
      </c>
      <c r="H15" s="667"/>
      <c r="I15" s="667"/>
      <c r="J15" s="667"/>
      <c r="K15" s="667"/>
      <c r="L15" s="670">
        <v>20903.448</v>
      </c>
      <c r="M15" s="2671"/>
    </row>
    <row r="16" spans="1:14" ht="14.4" x14ac:dyDescent="0.3">
      <c r="A16" s="669">
        <v>1988</v>
      </c>
      <c r="B16" s="667">
        <v>547.67999999999995</v>
      </c>
      <c r="C16" s="667">
        <v>3246.9660000000003</v>
      </c>
      <c r="D16" s="667">
        <v>596.47500000000002</v>
      </c>
      <c r="E16" s="667">
        <v>109.536</v>
      </c>
      <c r="F16" s="667">
        <v>433.75500000000005</v>
      </c>
      <c r="G16" s="667"/>
      <c r="H16" s="667"/>
      <c r="I16" s="667"/>
      <c r="J16" s="667"/>
      <c r="K16" s="667"/>
      <c r="L16" s="670">
        <v>4934.4120000000003</v>
      </c>
      <c r="M16" s="2671"/>
    </row>
    <row r="17" spans="1:13" ht="14.4" x14ac:dyDescent="0.3">
      <c r="A17" s="669">
        <v>1989</v>
      </c>
      <c r="B17" s="667">
        <v>5601.6360000000004</v>
      </c>
      <c r="C17" s="667">
        <v>30221.4</v>
      </c>
      <c r="D17" s="667">
        <v>853.86</v>
      </c>
      <c r="E17" s="667">
        <v>235.46699999999998</v>
      </c>
      <c r="F17" s="667">
        <v>39.765000000000001</v>
      </c>
      <c r="G17" s="667">
        <v>119.295</v>
      </c>
      <c r="H17" s="667"/>
      <c r="I17" s="667"/>
      <c r="J17" s="667"/>
      <c r="K17" s="667"/>
      <c r="L17" s="670">
        <v>37071.422999999995</v>
      </c>
      <c r="M17" s="2671"/>
    </row>
    <row r="18" spans="1:13" ht="14.4" x14ac:dyDescent="0.3">
      <c r="A18" s="669">
        <v>1990</v>
      </c>
      <c r="B18" s="667">
        <v>6123.8099999999995</v>
      </c>
      <c r="C18" s="667">
        <v>44705.67</v>
      </c>
      <c r="D18" s="667">
        <v>2122.7559999999999</v>
      </c>
      <c r="E18" s="667">
        <v>2664.2550000000001</v>
      </c>
      <c r="F18" s="667">
        <v>853.86</v>
      </c>
      <c r="G18" s="667">
        <v>80.103999999999999</v>
      </c>
      <c r="H18" s="667"/>
      <c r="I18" s="667"/>
      <c r="J18" s="667"/>
      <c r="K18" s="667"/>
      <c r="L18" s="670">
        <v>56550.454999999994</v>
      </c>
    </row>
    <row r="19" spans="1:13" ht="14.4" x14ac:dyDescent="0.3">
      <c r="A19" s="669">
        <v>1991</v>
      </c>
      <c r="B19" s="667">
        <v>10307.310000000001</v>
      </c>
      <c r="C19" s="667">
        <v>35526.124000000003</v>
      </c>
      <c r="D19" s="667">
        <v>1536.9959999999999</v>
      </c>
      <c r="E19" s="667">
        <v>4269.3</v>
      </c>
      <c r="F19" s="667">
        <v>2282.9639999999999</v>
      </c>
      <c r="G19" s="667"/>
      <c r="H19" s="667"/>
      <c r="I19" s="667"/>
      <c r="J19" s="667"/>
      <c r="K19" s="667"/>
      <c r="L19" s="670">
        <v>53922.69400000001</v>
      </c>
    </row>
    <row r="20" spans="1:13" ht="14.4" x14ac:dyDescent="0.3">
      <c r="A20" s="669">
        <v>1992</v>
      </c>
      <c r="B20" s="667">
        <v>0</v>
      </c>
      <c r="C20" s="667">
        <v>277.452</v>
      </c>
      <c r="D20" s="667">
        <v>68.093999999999994</v>
      </c>
      <c r="E20" s="667">
        <v>80.103999999999999</v>
      </c>
      <c r="F20" s="667">
        <v>37.434000000000005</v>
      </c>
      <c r="G20" s="667"/>
      <c r="H20" s="667"/>
      <c r="I20" s="667"/>
      <c r="J20" s="667"/>
      <c r="K20" s="667"/>
      <c r="L20" s="670">
        <v>463.084</v>
      </c>
    </row>
    <row r="21" spans="1:13" ht="14.4" x14ac:dyDescent="0.3">
      <c r="A21" s="669">
        <v>1993</v>
      </c>
      <c r="B21" s="667">
        <v>314.88599999999997</v>
      </c>
      <c r="C21" s="667">
        <v>2692.3319999999999</v>
      </c>
      <c r="D21" s="667">
        <v>880.07999999999993</v>
      </c>
      <c r="E21" s="667">
        <v>35.231999999999999</v>
      </c>
      <c r="F21" s="667">
        <v>0</v>
      </c>
      <c r="G21" s="667"/>
      <c r="H21" s="667"/>
      <c r="I21" s="667"/>
      <c r="J21" s="667"/>
      <c r="K21" s="667"/>
      <c r="L21" s="670">
        <v>3922.5299999999997</v>
      </c>
    </row>
    <row r="22" spans="1:13" ht="14.4" x14ac:dyDescent="0.3">
      <c r="A22" s="669">
        <v>1994</v>
      </c>
      <c r="B22" s="667">
        <v>2163.2939999999999</v>
      </c>
      <c r="C22" s="667">
        <v>19894.439999999999</v>
      </c>
      <c r="D22" s="667">
        <v>1227.23</v>
      </c>
      <c r="E22" s="667">
        <v>303.80400000000003</v>
      </c>
      <c r="F22" s="667">
        <v>625.31999999999994</v>
      </c>
      <c r="G22" s="667"/>
      <c r="H22" s="667"/>
      <c r="I22" s="667"/>
      <c r="J22" s="667"/>
      <c r="K22" s="667"/>
      <c r="L22" s="670">
        <v>24214.087999999996</v>
      </c>
    </row>
    <row r="23" spans="1:13" ht="14.4" x14ac:dyDescent="0.3">
      <c r="A23" s="669">
        <v>1995</v>
      </c>
      <c r="B23" s="667">
        <v>1760.1599999999999</v>
      </c>
      <c r="C23" s="667">
        <v>34542.915000000001</v>
      </c>
      <c r="D23" s="667">
        <v>1217.3900000000001</v>
      </c>
      <c r="E23" s="667">
        <v>0</v>
      </c>
      <c r="F23" s="667">
        <v>0</v>
      </c>
      <c r="G23" s="667"/>
      <c r="H23" s="667"/>
      <c r="I23" s="667"/>
      <c r="J23" s="667"/>
      <c r="K23" s="667"/>
      <c r="L23" s="670">
        <v>37520.464999999997</v>
      </c>
    </row>
    <row r="24" spans="1:13" ht="14.4" x14ac:dyDescent="0.3">
      <c r="A24" s="669">
        <v>1996</v>
      </c>
      <c r="B24" s="667">
        <v>0</v>
      </c>
      <c r="C24" s="667">
        <v>6079.2449999999999</v>
      </c>
      <c r="D24" s="667">
        <v>0</v>
      </c>
      <c r="E24" s="667">
        <v>324.85499999999996</v>
      </c>
      <c r="F24" s="667">
        <v>0</v>
      </c>
      <c r="G24" s="667"/>
      <c r="H24" s="667"/>
      <c r="I24" s="667"/>
      <c r="J24" s="667"/>
      <c r="K24" s="667"/>
      <c r="L24" s="670">
        <v>6404.0999999999995</v>
      </c>
    </row>
    <row r="25" spans="1:13" ht="14.4" x14ac:dyDescent="0.3">
      <c r="A25" s="669">
        <v>1997</v>
      </c>
      <c r="B25" s="667">
        <v>408.36500000000001</v>
      </c>
      <c r="C25" s="667">
        <v>14191.035</v>
      </c>
      <c r="D25" s="667">
        <v>738.66</v>
      </c>
      <c r="E25" s="667">
        <v>0</v>
      </c>
      <c r="F25" s="667">
        <v>0</v>
      </c>
      <c r="G25" s="667"/>
      <c r="H25" s="667"/>
      <c r="I25" s="667"/>
      <c r="J25" s="667"/>
      <c r="K25" s="667"/>
      <c r="L25" s="670">
        <v>15338.06</v>
      </c>
    </row>
    <row r="26" spans="1:13" ht="14.4" x14ac:dyDescent="0.3">
      <c r="A26" s="669">
        <v>1998</v>
      </c>
      <c r="B26" s="667">
        <v>1905.51</v>
      </c>
      <c r="C26" s="667">
        <v>62047.439999999995</v>
      </c>
      <c r="D26" s="667">
        <v>1841.5539999999999</v>
      </c>
      <c r="E26" s="667">
        <v>635.16999999999996</v>
      </c>
      <c r="F26" s="667">
        <v>738.66</v>
      </c>
      <c r="G26" s="667"/>
      <c r="H26" s="667"/>
      <c r="I26" s="667"/>
      <c r="J26" s="667"/>
      <c r="K26" s="667"/>
      <c r="L26" s="670">
        <v>67168.334000000003</v>
      </c>
    </row>
    <row r="27" spans="1:13" ht="14.4" x14ac:dyDescent="0.3">
      <c r="A27" s="669">
        <v>1999</v>
      </c>
      <c r="B27" s="667">
        <v>9602.58</v>
      </c>
      <c r="C27" s="667">
        <v>79019.407999999996</v>
      </c>
      <c r="D27" s="667">
        <v>2132.0879999999997</v>
      </c>
      <c r="E27" s="667">
        <v>738.66</v>
      </c>
      <c r="F27" s="667">
        <v>41.01643</v>
      </c>
      <c r="G27" s="667">
        <v>1455.0060000000001</v>
      </c>
      <c r="H27" s="667"/>
      <c r="I27" s="667"/>
      <c r="J27" s="667"/>
      <c r="K27" s="667"/>
      <c r="L27" s="670">
        <v>92988.758430000002</v>
      </c>
    </row>
    <row r="28" spans="1:13" ht="14.4" x14ac:dyDescent="0.3">
      <c r="A28" s="669">
        <v>2000</v>
      </c>
      <c r="B28" s="667">
        <v>2762.3310000000001</v>
      </c>
      <c r="C28" s="667">
        <v>7159.7820000000002</v>
      </c>
      <c r="D28" s="667">
        <v>664.84799999999996</v>
      </c>
      <c r="E28" s="667">
        <v>41.01643</v>
      </c>
      <c r="F28" s="667">
        <v>3183.7260000000001</v>
      </c>
      <c r="G28" s="667">
        <v>314.928</v>
      </c>
      <c r="H28" s="667"/>
      <c r="I28" s="667"/>
      <c r="J28" s="667">
        <v>34.991999999999997</v>
      </c>
      <c r="K28" s="667"/>
      <c r="L28" s="670">
        <v>14161.623430000001</v>
      </c>
    </row>
    <row r="29" spans="1:13" ht="14.4" x14ac:dyDescent="0.3">
      <c r="A29" s="669">
        <v>2001</v>
      </c>
      <c r="B29" s="667">
        <v>288.12</v>
      </c>
      <c r="C29" s="667">
        <v>17146.079999999998</v>
      </c>
      <c r="D29" s="667">
        <v>0</v>
      </c>
      <c r="E29" s="667">
        <v>187.27799999999999</v>
      </c>
      <c r="F29" s="667">
        <v>279.93599999999998</v>
      </c>
      <c r="G29" s="667">
        <v>0</v>
      </c>
      <c r="H29" s="667"/>
      <c r="I29" s="667">
        <v>979.77600000000007</v>
      </c>
      <c r="J29" s="667"/>
      <c r="K29" s="667"/>
      <c r="L29" s="670">
        <v>18881.189999999999</v>
      </c>
    </row>
    <row r="30" spans="1:13" ht="14.4" x14ac:dyDescent="0.3">
      <c r="A30" s="669">
        <v>2002</v>
      </c>
      <c r="B30" s="667">
        <v>9587.8080000000009</v>
      </c>
      <c r="C30" s="667">
        <v>85504.898000000001</v>
      </c>
      <c r="D30" s="667">
        <v>2307.63</v>
      </c>
      <c r="E30" s="667">
        <v>1854.576</v>
      </c>
      <c r="F30" s="667">
        <v>1373.2049999999999</v>
      </c>
      <c r="G30" s="667">
        <v>828.38</v>
      </c>
      <c r="H30" s="667">
        <v>2449.4399999999996</v>
      </c>
      <c r="I30" s="667"/>
      <c r="J30" s="667"/>
      <c r="K30" s="667">
        <v>1679.616</v>
      </c>
      <c r="L30" s="670">
        <v>105585.55300000001</v>
      </c>
    </row>
    <row r="31" spans="1:13" ht="14.4" x14ac:dyDescent="0.3">
      <c r="A31" s="669">
        <v>2003</v>
      </c>
      <c r="B31" s="667">
        <v>2837.9569999999999</v>
      </c>
      <c r="C31" s="667">
        <v>52720.47</v>
      </c>
      <c r="D31" s="667">
        <v>3024.6095238095236</v>
      </c>
      <c r="E31" s="667">
        <v>274.64100000000002</v>
      </c>
      <c r="F31" s="667">
        <v>1124.23</v>
      </c>
      <c r="G31" s="667">
        <v>0</v>
      </c>
      <c r="H31" s="667">
        <v>1647.8459999999998</v>
      </c>
      <c r="I31" s="667"/>
      <c r="J31" s="667"/>
      <c r="K31" s="667"/>
      <c r="L31" s="670">
        <v>61629.75352380953</v>
      </c>
    </row>
    <row r="32" spans="1:13" ht="14.4" x14ac:dyDescent="0.3">
      <c r="A32" s="669">
        <v>2004</v>
      </c>
      <c r="B32" s="667">
        <v>887.55</v>
      </c>
      <c r="C32" s="667">
        <v>24394.133333333331</v>
      </c>
      <c r="D32" s="667">
        <v>2901.8181818181815</v>
      </c>
      <c r="E32" s="667">
        <v>1360.91</v>
      </c>
      <c r="F32" s="667">
        <v>131.50476190476192</v>
      </c>
      <c r="G32" s="667">
        <v>0</v>
      </c>
      <c r="H32" s="667"/>
      <c r="I32" s="667"/>
      <c r="J32" s="667"/>
      <c r="K32" s="667"/>
      <c r="L32" s="670">
        <v>29675.916277056273</v>
      </c>
    </row>
    <row r="33" spans="1:12" ht="14.4" x14ac:dyDescent="0.3">
      <c r="A33" s="669">
        <v>2005</v>
      </c>
      <c r="B33" s="667">
        <v>65.75238095238096</v>
      </c>
      <c r="C33" s="667">
        <v>11433.163636363635</v>
      </c>
      <c r="D33" s="667">
        <v>1770.1205936920223</v>
      </c>
      <c r="E33" s="667">
        <v>0</v>
      </c>
      <c r="F33" s="667">
        <v>232.14545454545456</v>
      </c>
      <c r="G33" s="667"/>
      <c r="H33" s="667"/>
      <c r="I33" s="667"/>
      <c r="J33" s="667"/>
      <c r="K33" s="667"/>
      <c r="L33" s="670">
        <v>13501.182065553494</v>
      </c>
    </row>
    <row r="34" spans="1:12" ht="14.4" x14ac:dyDescent="0.3">
      <c r="A34" s="669">
        <v>2006</v>
      </c>
      <c r="B34" s="667">
        <v>6325.9636363636364</v>
      </c>
      <c r="C34" s="667">
        <v>179490.22820037106</v>
      </c>
      <c r="D34" s="667">
        <v>8267.8930041152271</v>
      </c>
      <c r="E34" s="667">
        <v>1450.9090909090901</v>
      </c>
      <c r="F34" s="667">
        <v>708.04823747680894</v>
      </c>
      <c r="G34" s="667">
        <v>0</v>
      </c>
      <c r="H34" s="667"/>
      <c r="I34" s="667"/>
      <c r="J34" s="667"/>
      <c r="K34" s="667"/>
      <c r="L34" s="670">
        <v>196243.04216923582</v>
      </c>
    </row>
    <row r="35" spans="1:12" ht="14.4" x14ac:dyDescent="0.3">
      <c r="A35" s="669">
        <v>2007</v>
      </c>
      <c r="B35" s="667">
        <v>8850.6029684601108</v>
      </c>
      <c r="C35" s="667">
        <v>135784.24279835392</v>
      </c>
      <c r="D35" s="667">
        <v>26272.737999999998</v>
      </c>
      <c r="E35" s="667">
        <v>0</v>
      </c>
      <c r="F35" s="667">
        <v>5087.9341563786011</v>
      </c>
      <c r="G35" s="667"/>
      <c r="H35" s="667"/>
      <c r="I35" s="667"/>
      <c r="J35" s="667"/>
      <c r="K35" s="667"/>
      <c r="L35" s="670">
        <v>175995.51792319264</v>
      </c>
    </row>
    <row r="36" spans="1:12" ht="14.4" x14ac:dyDescent="0.3">
      <c r="A36" s="669">
        <v>2008</v>
      </c>
      <c r="B36" s="667">
        <v>5405.9300411522636</v>
      </c>
      <c r="C36" s="667">
        <v>317403.07799999998</v>
      </c>
      <c r="D36" s="667">
        <v>12181.611999999999</v>
      </c>
      <c r="E36" s="667">
        <v>0</v>
      </c>
      <c r="F36" s="667">
        <v>2130.2220000000002</v>
      </c>
      <c r="G36" s="667">
        <v>0</v>
      </c>
      <c r="H36" s="667"/>
      <c r="I36" s="667"/>
      <c r="J36" s="667"/>
      <c r="K36" s="667"/>
      <c r="L36" s="670">
        <v>337120.8420411523</v>
      </c>
    </row>
    <row r="37" spans="1:12" ht="14.4" x14ac:dyDescent="0.3">
      <c r="A37" s="669">
        <v>2009</v>
      </c>
      <c r="B37" s="667">
        <v>3130.8377425044091</v>
      </c>
      <c r="C37" s="667">
        <v>113923.808</v>
      </c>
      <c r="D37" s="667">
        <v>3232.355</v>
      </c>
      <c r="E37" s="667">
        <v>6035.6290000000008</v>
      </c>
      <c r="F37" s="667">
        <v>6862.88</v>
      </c>
      <c r="G37" s="667"/>
      <c r="H37" s="667"/>
      <c r="I37" s="667"/>
      <c r="J37" s="667"/>
      <c r="K37" s="667"/>
      <c r="L37" s="670">
        <v>133185.50974250442</v>
      </c>
    </row>
    <row r="38" spans="1:12" ht="14.4" x14ac:dyDescent="0.3">
      <c r="A38" s="669">
        <v>2010</v>
      </c>
      <c r="B38" s="667">
        <v>31226.103999999999</v>
      </c>
      <c r="C38" s="667">
        <v>448373.815</v>
      </c>
      <c r="D38" s="667">
        <v>12906.459000000001</v>
      </c>
      <c r="E38" s="667">
        <v>7377.5959999999995</v>
      </c>
      <c r="F38" s="667">
        <v>5541.18</v>
      </c>
      <c r="G38" s="667"/>
      <c r="H38" s="667"/>
      <c r="I38" s="667"/>
      <c r="J38" s="667"/>
      <c r="K38" s="667"/>
      <c r="L38" s="670">
        <v>505425.15399999998</v>
      </c>
    </row>
    <row r="39" spans="1:12" ht="14.4" x14ac:dyDescent="0.3">
      <c r="A39" s="669">
        <v>2011</v>
      </c>
      <c r="B39" s="667">
        <v>1385.2950000000001</v>
      </c>
      <c r="C39" s="667">
        <v>101020.92600000001</v>
      </c>
      <c r="D39" s="667">
        <v>16164.57</v>
      </c>
      <c r="E39" s="667">
        <v>3232.355</v>
      </c>
      <c r="F39" s="667">
        <v>7966.9500000000007</v>
      </c>
      <c r="G39" s="667"/>
      <c r="H39" s="667"/>
      <c r="I39" s="667"/>
      <c r="J39" s="667"/>
      <c r="K39" s="667"/>
      <c r="L39" s="670">
        <v>129770.09599999999</v>
      </c>
    </row>
    <row r="40" spans="1:12" ht="14.4" x14ac:dyDescent="0.3">
      <c r="A40" s="669">
        <v>2012</v>
      </c>
      <c r="B40" s="667">
        <v>37444.665000000001</v>
      </c>
      <c r="C40" s="667">
        <v>476315.99599999998</v>
      </c>
      <c r="D40" s="667">
        <v>437.68700000000001</v>
      </c>
      <c r="E40" s="667">
        <v>0</v>
      </c>
      <c r="F40" s="667">
        <v>2155.2759999999998</v>
      </c>
      <c r="G40" s="667"/>
      <c r="H40" s="667"/>
      <c r="I40" s="667"/>
      <c r="J40" s="667"/>
      <c r="K40" s="667"/>
      <c r="L40" s="670">
        <v>516353.62399999995</v>
      </c>
    </row>
    <row r="41" spans="1:12" ht="14.4" x14ac:dyDescent="0.3">
      <c r="A41" s="669">
        <v>2013</v>
      </c>
      <c r="B41" s="667">
        <v>44290.921799999996</v>
      </c>
      <c r="C41" s="667">
        <v>426744.82500000001</v>
      </c>
      <c r="D41" s="667">
        <v>6885.6750000000002</v>
      </c>
      <c r="E41" s="667">
        <v>0</v>
      </c>
      <c r="F41" s="667">
        <v>9629.1139999999996</v>
      </c>
      <c r="G41" s="667"/>
      <c r="H41" s="667"/>
      <c r="I41" s="667"/>
      <c r="J41" s="667"/>
      <c r="K41" s="667"/>
      <c r="L41" s="670">
        <v>487550.53580000001</v>
      </c>
    </row>
    <row r="42" spans="1:12" ht="14.4" x14ac:dyDescent="0.3">
      <c r="A42" s="669">
        <v>2014</v>
      </c>
      <c r="B42" s="667">
        <v>437.68700000000001</v>
      </c>
      <c r="C42" s="667">
        <v>263583.63899999997</v>
      </c>
      <c r="D42" s="667">
        <v>10518.091</v>
      </c>
      <c r="E42" s="667">
        <v>0</v>
      </c>
      <c r="F42" s="667">
        <v>1377.135</v>
      </c>
      <c r="G42" s="667">
        <v>0</v>
      </c>
      <c r="H42" s="667"/>
      <c r="I42" s="667"/>
      <c r="J42" s="667"/>
      <c r="K42" s="667"/>
      <c r="L42" s="670">
        <v>275916.55199999997</v>
      </c>
    </row>
    <row r="43" spans="1:12" ht="14.4" x14ac:dyDescent="0.3">
      <c r="A43" s="669">
        <v>2015</v>
      </c>
      <c r="B43" s="667">
        <v>2754.27</v>
      </c>
      <c r="C43" s="667">
        <v>44106.249000000003</v>
      </c>
      <c r="D43" s="667">
        <v>3928.5330000000004</v>
      </c>
      <c r="E43" s="667">
        <v>826.28100000000006</v>
      </c>
      <c r="F43" s="667">
        <v>406.77699999999999</v>
      </c>
      <c r="G43" s="667"/>
      <c r="H43" s="667"/>
      <c r="I43" s="667"/>
      <c r="J43" s="667"/>
      <c r="K43" s="667"/>
      <c r="L43" s="670">
        <v>52022.110000000008</v>
      </c>
    </row>
    <row r="44" spans="1:12" ht="14.4" x14ac:dyDescent="0.3">
      <c r="A44" s="669">
        <v>2016</v>
      </c>
      <c r="B44" s="667">
        <v>2208.2179999999998</v>
      </c>
      <c r="C44" s="667">
        <v>181647.883</v>
      </c>
      <c r="D44" s="667">
        <v>14564.85</v>
      </c>
      <c r="E44" s="667">
        <v>871.66499999999996</v>
      </c>
      <c r="F44" s="667">
        <v>486.38979999999998</v>
      </c>
      <c r="G44" s="667">
        <v>0</v>
      </c>
      <c r="H44" s="667"/>
      <c r="I44" s="667"/>
      <c r="J44" s="667"/>
      <c r="K44" s="667"/>
      <c r="L44" s="670">
        <v>199779.00580000001</v>
      </c>
    </row>
    <row r="45" spans="1:12" ht="14.4" x14ac:dyDescent="0.3">
      <c r="A45" s="669">
        <v>2017</v>
      </c>
      <c r="B45" s="667">
        <v>486.38979999999998</v>
      </c>
      <c r="C45" s="667">
        <v>29566.100000000002</v>
      </c>
      <c r="D45" s="667">
        <v>5557.95</v>
      </c>
      <c r="E45" s="667">
        <v>486.38979999999998</v>
      </c>
      <c r="F45" s="667">
        <v>218.20000000000002</v>
      </c>
      <c r="G45" s="667">
        <v>0</v>
      </c>
      <c r="H45" s="667"/>
      <c r="I45" s="667"/>
      <c r="J45" s="667"/>
      <c r="K45" s="667"/>
      <c r="L45" s="670">
        <v>36315.029599999994</v>
      </c>
    </row>
    <row r="46" spans="1:12" ht="14.4" x14ac:dyDescent="0.3">
      <c r="A46" s="669">
        <v>2018</v>
      </c>
      <c r="B46" s="667">
        <v>10091.75</v>
      </c>
      <c r="C46" s="667">
        <v>299820.52499999997</v>
      </c>
      <c r="D46" s="667">
        <v>6500.223</v>
      </c>
      <c r="E46" s="667">
        <v>109.10000000000001</v>
      </c>
      <c r="F46" s="667">
        <v>0</v>
      </c>
      <c r="G46" s="667">
        <v>0</v>
      </c>
      <c r="H46" s="667"/>
      <c r="I46" s="667"/>
      <c r="J46" s="667"/>
      <c r="K46" s="667"/>
      <c r="L46" s="670">
        <v>316521.59799999994</v>
      </c>
    </row>
    <row r="47" spans="1:12" ht="14.4" x14ac:dyDescent="0.3">
      <c r="A47" s="669">
        <v>2019</v>
      </c>
      <c r="B47" s="667">
        <v>3396.5249999999996</v>
      </c>
      <c r="C47" s="667">
        <v>87239.835000000006</v>
      </c>
      <c r="D47" s="667">
        <v>69906.599999999991</v>
      </c>
      <c r="E47" s="667">
        <v>0</v>
      </c>
      <c r="F47" s="667">
        <v>0</v>
      </c>
      <c r="G47" s="667">
        <v>0</v>
      </c>
      <c r="H47" s="667"/>
      <c r="I47" s="667"/>
      <c r="J47" s="667"/>
      <c r="K47" s="667"/>
      <c r="L47" s="670">
        <v>160542.96</v>
      </c>
    </row>
    <row r="48" spans="1:12" ht="14.4" x14ac:dyDescent="0.3">
      <c r="A48" s="669">
        <v>2020</v>
      </c>
      <c r="B48" s="667">
        <v>20298.941999999999</v>
      </c>
      <c r="C48" s="667">
        <v>501579.85499999998</v>
      </c>
      <c r="D48" s="667">
        <v>19880.448</v>
      </c>
      <c r="E48" s="667">
        <v>0</v>
      </c>
      <c r="F48" s="667">
        <v>0</v>
      </c>
      <c r="G48" s="667">
        <v>0</v>
      </c>
      <c r="H48" s="667"/>
      <c r="I48" s="667"/>
      <c r="J48" s="667"/>
      <c r="K48" s="667"/>
      <c r="L48" s="667">
        <v>541759.245</v>
      </c>
    </row>
    <row r="49" spans="1:12" ht="14.4" x14ac:dyDescent="0.3">
      <c r="A49" s="669">
        <v>2021</v>
      </c>
      <c r="B49" s="667">
        <v>11068.545</v>
      </c>
      <c r="C49" s="667">
        <v>168155.45600000001</v>
      </c>
      <c r="D49" s="667"/>
      <c r="E49" s="667">
        <v>0</v>
      </c>
      <c r="F49" s="667">
        <v>0</v>
      </c>
      <c r="G49" s="667"/>
      <c r="H49" s="667"/>
      <c r="I49" s="667"/>
      <c r="J49" s="667"/>
      <c r="K49" s="667"/>
      <c r="L49" s="667">
        <v>179224.00100000002</v>
      </c>
    </row>
    <row r="50" spans="1:12" ht="14.4" x14ac:dyDescent="0.3">
      <c r="A50">
        <v>2022</v>
      </c>
      <c r="B50" s="667">
        <v>18430.831999999999</v>
      </c>
      <c r="C50" s="667"/>
      <c r="D50" s="667"/>
      <c r="E50" s="667">
        <v>621.26400000000001</v>
      </c>
      <c r="F50" s="667"/>
      <c r="G50" s="667"/>
      <c r="H50" s="667"/>
      <c r="I50" s="667"/>
      <c r="J50" s="667"/>
      <c r="K50" s="667"/>
      <c r="L50" s="667">
        <v>19052.095999999998</v>
      </c>
    </row>
    <row r="51" spans="1:12" x14ac:dyDescent="0.25">
      <c r="A51" s="559"/>
    </row>
    <row r="52" spans="1:12" x14ac:dyDescent="0.25">
      <c r="A52" s="559"/>
    </row>
    <row r="53" spans="1:12" x14ac:dyDescent="0.25">
      <c r="A53" s="559"/>
    </row>
    <row r="54" spans="1:12" x14ac:dyDescent="0.25">
      <c r="A54" s="559"/>
    </row>
    <row r="55" spans="1:12" x14ac:dyDescent="0.25">
      <c r="A55" s="559"/>
    </row>
    <row r="56" spans="1:12" x14ac:dyDescent="0.25">
      <c r="A56" s="559"/>
    </row>
    <row r="57" spans="1:12" x14ac:dyDescent="0.25">
      <c r="A57" s="559"/>
    </row>
    <row r="58" spans="1:12" x14ac:dyDescent="0.25">
      <c r="A58" s="559"/>
    </row>
    <row r="59" spans="1:12" x14ac:dyDescent="0.25">
      <c r="A59" s="559"/>
    </row>
    <row r="60" spans="1:12" x14ac:dyDescent="0.25">
      <c r="A60" s="559"/>
    </row>
    <row r="61" spans="1:12" x14ac:dyDescent="0.25">
      <c r="A61" s="559"/>
    </row>
    <row r="62" spans="1:12" x14ac:dyDescent="0.25">
      <c r="A62" s="559"/>
    </row>
    <row r="63" spans="1:12" x14ac:dyDescent="0.25">
      <c r="A63" s="559"/>
    </row>
    <row r="64" spans="1:12" x14ac:dyDescent="0.25">
      <c r="A64" s="559"/>
    </row>
    <row r="65" spans="1:1" x14ac:dyDescent="0.25">
      <c r="A65" s="559"/>
    </row>
    <row r="66" spans="1:1" x14ac:dyDescent="0.25">
      <c r="A66" s="559"/>
    </row>
    <row r="67" spans="1:1" x14ac:dyDescent="0.25">
      <c r="A67" s="559"/>
    </row>
    <row r="68" spans="1:1" x14ac:dyDescent="0.25">
      <c r="A68" s="559"/>
    </row>
    <row r="69" spans="1:1" x14ac:dyDescent="0.25">
      <c r="A69" s="559"/>
    </row>
    <row r="70" spans="1:1" x14ac:dyDescent="0.25">
      <c r="A70" s="559"/>
    </row>
    <row r="71" spans="1:1" x14ac:dyDescent="0.25">
      <c r="A71" s="559"/>
    </row>
    <row r="72" spans="1:1" x14ac:dyDescent="0.25">
      <c r="A72" s="559"/>
    </row>
    <row r="73" spans="1:1" x14ac:dyDescent="0.25">
      <c r="A73" s="559"/>
    </row>
    <row r="74" spans="1:1" x14ac:dyDescent="0.25">
      <c r="A74" s="559"/>
    </row>
    <row r="75" spans="1:1" x14ac:dyDescent="0.25">
      <c r="A75" s="559"/>
    </row>
    <row r="76" spans="1:1" x14ac:dyDescent="0.25">
      <c r="A76" s="559"/>
    </row>
    <row r="77" spans="1:1" x14ac:dyDescent="0.25">
      <c r="A77" s="559"/>
    </row>
    <row r="78" spans="1:1" x14ac:dyDescent="0.25">
      <c r="A78" s="559"/>
    </row>
    <row r="79" spans="1:1" x14ac:dyDescent="0.25">
      <c r="A79" s="559"/>
    </row>
    <row r="80" spans="1:1" x14ac:dyDescent="0.25">
      <c r="A80" s="559"/>
    </row>
    <row r="81" spans="1:1" x14ac:dyDescent="0.25">
      <c r="A81" s="559"/>
    </row>
    <row r="82" spans="1:1" x14ac:dyDescent="0.25">
      <c r="A82" s="559"/>
    </row>
    <row r="83" spans="1:1" x14ac:dyDescent="0.25">
      <c r="A83" s="559"/>
    </row>
    <row r="84" spans="1:1" x14ac:dyDescent="0.25">
      <c r="A84" s="559"/>
    </row>
    <row r="85" spans="1:1" x14ac:dyDescent="0.25">
      <c r="A85" s="559"/>
    </row>
    <row r="86" spans="1:1" x14ac:dyDescent="0.25">
      <c r="A86" s="559"/>
    </row>
    <row r="87" spans="1:1" x14ac:dyDescent="0.25">
      <c r="A87" s="559"/>
    </row>
    <row r="88" spans="1:1" x14ac:dyDescent="0.25">
      <c r="A88" s="559"/>
    </row>
    <row r="89" spans="1:1" x14ac:dyDescent="0.25">
      <c r="A89" s="559"/>
    </row>
    <row r="90" spans="1:1" x14ac:dyDescent="0.25">
      <c r="A90" s="559"/>
    </row>
    <row r="91" spans="1:1" x14ac:dyDescent="0.25">
      <c r="A91" s="559"/>
    </row>
    <row r="92" spans="1:1" x14ac:dyDescent="0.25">
      <c r="A92" s="559"/>
    </row>
    <row r="93" spans="1:1" x14ac:dyDescent="0.25">
      <c r="A93" s="559"/>
    </row>
    <row r="94" spans="1:1" x14ac:dyDescent="0.25">
      <c r="A94" s="559"/>
    </row>
    <row r="95" spans="1:1" x14ac:dyDescent="0.25">
      <c r="A95" s="559"/>
    </row>
    <row r="96" spans="1:1" x14ac:dyDescent="0.25">
      <c r="A96" s="559"/>
    </row>
    <row r="97" spans="1:1" x14ac:dyDescent="0.25">
      <c r="A97" s="559"/>
    </row>
    <row r="98" spans="1:1" x14ac:dyDescent="0.25">
      <c r="A98" s="559"/>
    </row>
    <row r="99" spans="1:1" x14ac:dyDescent="0.25">
      <c r="A99" s="559"/>
    </row>
    <row r="100" spans="1:1" x14ac:dyDescent="0.25">
      <c r="A100" s="559"/>
    </row>
    <row r="101" spans="1:1" x14ac:dyDescent="0.25">
      <c r="A101" s="559"/>
    </row>
    <row r="102" spans="1:1" x14ac:dyDescent="0.25">
      <c r="A102" s="559"/>
    </row>
    <row r="103" spans="1:1" x14ac:dyDescent="0.25">
      <c r="A103" s="559"/>
    </row>
    <row r="104" spans="1:1" x14ac:dyDescent="0.25">
      <c r="A104" s="559"/>
    </row>
    <row r="105" spans="1:1" x14ac:dyDescent="0.25">
      <c r="A105" s="559"/>
    </row>
    <row r="106" spans="1:1" x14ac:dyDescent="0.25">
      <c r="A106" s="559"/>
    </row>
    <row r="107" spans="1:1" x14ac:dyDescent="0.25">
      <c r="A107" s="559"/>
    </row>
    <row r="108" spans="1:1" x14ac:dyDescent="0.25">
      <c r="A108" s="559"/>
    </row>
    <row r="109" spans="1:1" x14ac:dyDescent="0.25">
      <c r="A109" s="559"/>
    </row>
    <row r="110" spans="1:1" x14ac:dyDescent="0.25">
      <c r="A110" s="559"/>
    </row>
    <row r="111" spans="1:1" x14ac:dyDescent="0.25">
      <c r="A111" s="559"/>
    </row>
    <row r="112" spans="1:1" x14ac:dyDescent="0.25">
      <c r="A112" s="559"/>
    </row>
    <row r="113" spans="1:1" x14ac:dyDescent="0.25">
      <c r="A113" s="559"/>
    </row>
    <row r="114" spans="1:1" x14ac:dyDescent="0.25">
      <c r="A114" s="559"/>
    </row>
    <row r="115" spans="1:1" x14ac:dyDescent="0.25">
      <c r="A115" s="559"/>
    </row>
    <row r="116" spans="1:1" x14ac:dyDescent="0.25">
      <c r="A116" s="559"/>
    </row>
    <row r="117" spans="1:1" x14ac:dyDescent="0.25">
      <c r="A117" s="559"/>
    </row>
    <row r="118" spans="1:1" x14ac:dyDescent="0.25">
      <c r="A118" s="559"/>
    </row>
    <row r="119" spans="1:1" x14ac:dyDescent="0.25">
      <c r="A119" s="559"/>
    </row>
    <row r="120" spans="1:1" x14ac:dyDescent="0.25">
      <c r="A120" s="559"/>
    </row>
    <row r="121" spans="1:1" x14ac:dyDescent="0.25">
      <c r="A121" s="559"/>
    </row>
    <row r="122" spans="1:1" x14ac:dyDescent="0.25">
      <c r="A122" s="559"/>
    </row>
    <row r="123" spans="1:1" x14ac:dyDescent="0.25">
      <c r="A123" s="559"/>
    </row>
    <row r="124" spans="1:1" x14ac:dyDescent="0.25">
      <c r="A124" s="559"/>
    </row>
    <row r="125" spans="1:1" x14ac:dyDescent="0.25">
      <c r="A125" s="559"/>
    </row>
    <row r="126" spans="1:1" x14ac:dyDescent="0.25">
      <c r="A126" s="559"/>
    </row>
    <row r="127" spans="1:1" x14ac:dyDescent="0.25">
      <c r="A127" s="559"/>
    </row>
    <row r="128" spans="1:1" x14ac:dyDescent="0.25">
      <c r="A128" s="559"/>
    </row>
    <row r="129" spans="1:1" x14ac:dyDescent="0.25">
      <c r="A129" s="559"/>
    </row>
    <row r="130" spans="1:1" x14ac:dyDescent="0.25">
      <c r="A130" s="559"/>
    </row>
    <row r="131" spans="1:1" x14ac:dyDescent="0.25">
      <c r="A131" s="559"/>
    </row>
    <row r="132" spans="1:1" x14ac:dyDescent="0.25">
      <c r="A132" s="559"/>
    </row>
    <row r="133" spans="1:1" x14ac:dyDescent="0.25">
      <c r="A133" s="559"/>
    </row>
    <row r="134" spans="1:1" x14ac:dyDescent="0.25">
      <c r="A134" s="559"/>
    </row>
    <row r="135" spans="1:1" x14ac:dyDescent="0.25">
      <c r="A135" s="559"/>
    </row>
    <row r="136" spans="1:1" x14ac:dyDescent="0.25">
      <c r="A136" s="559"/>
    </row>
    <row r="137" spans="1:1" x14ac:dyDescent="0.25">
      <c r="A137" s="559"/>
    </row>
    <row r="138" spans="1:1" x14ac:dyDescent="0.25">
      <c r="A138" s="559"/>
    </row>
    <row r="139" spans="1:1" x14ac:dyDescent="0.25">
      <c r="A139" s="559"/>
    </row>
    <row r="140" spans="1:1" x14ac:dyDescent="0.25">
      <c r="A140" s="559"/>
    </row>
    <row r="141" spans="1:1" x14ac:dyDescent="0.25">
      <c r="A141" s="559"/>
    </row>
    <row r="142" spans="1:1" x14ac:dyDescent="0.25">
      <c r="A142" s="559"/>
    </row>
    <row r="143" spans="1:1" x14ac:dyDescent="0.25">
      <c r="A143" s="559"/>
    </row>
    <row r="144" spans="1:1" x14ac:dyDescent="0.25">
      <c r="A144" s="559"/>
    </row>
    <row r="145" spans="1:1" x14ac:dyDescent="0.25">
      <c r="A145" s="559"/>
    </row>
    <row r="146" spans="1:1" x14ac:dyDescent="0.25">
      <c r="A146" s="559"/>
    </row>
    <row r="147" spans="1:1" x14ac:dyDescent="0.25">
      <c r="A147" s="559"/>
    </row>
    <row r="148" spans="1:1" x14ac:dyDescent="0.25">
      <c r="A148" s="559"/>
    </row>
    <row r="149" spans="1:1" x14ac:dyDescent="0.25">
      <c r="A149" s="559"/>
    </row>
    <row r="150" spans="1:1" x14ac:dyDescent="0.25">
      <c r="A150" s="559"/>
    </row>
    <row r="151" spans="1:1" x14ac:dyDescent="0.25">
      <c r="A151" s="559"/>
    </row>
    <row r="152" spans="1:1" x14ac:dyDescent="0.25">
      <c r="A152" s="559"/>
    </row>
    <row r="153" spans="1:1" x14ac:dyDescent="0.25">
      <c r="A153" s="559"/>
    </row>
    <row r="154" spans="1:1" x14ac:dyDescent="0.25">
      <c r="A154" s="559"/>
    </row>
    <row r="155" spans="1:1" x14ac:dyDescent="0.25">
      <c r="A155" s="559"/>
    </row>
    <row r="156" spans="1:1" x14ac:dyDescent="0.25">
      <c r="A156" s="559"/>
    </row>
    <row r="157" spans="1:1" x14ac:dyDescent="0.25">
      <c r="A157" s="559"/>
    </row>
    <row r="158" spans="1:1" x14ac:dyDescent="0.25">
      <c r="A158" s="559"/>
    </row>
    <row r="159" spans="1:1" x14ac:dyDescent="0.25">
      <c r="A159" s="559"/>
    </row>
    <row r="160" spans="1:1" x14ac:dyDescent="0.25">
      <c r="A160" s="559"/>
    </row>
    <row r="161" spans="1:1" x14ac:dyDescent="0.25">
      <c r="A161" s="559"/>
    </row>
    <row r="162" spans="1:1" x14ac:dyDescent="0.25">
      <c r="A162" s="559"/>
    </row>
    <row r="163" spans="1:1" x14ac:dyDescent="0.25">
      <c r="A163" s="559"/>
    </row>
    <row r="164" spans="1:1" x14ac:dyDescent="0.25">
      <c r="A164" s="559"/>
    </row>
    <row r="165" spans="1:1" x14ac:dyDescent="0.25">
      <c r="A165" s="559"/>
    </row>
    <row r="166" spans="1:1" x14ac:dyDescent="0.25">
      <c r="A166" s="559"/>
    </row>
    <row r="167" spans="1:1" x14ac:dyDescent="0.25">
      <c r="A167" s="559"/>
    </row>
    <row r="168" spans="1:1" x14ac:dyDescent="0.25">
      <c r="A168" s="559"/>
    </row>
    <row r="169" spans="1:1" x14ac:dyDescent="0.25">
      <c r="A169" s="559"/>
    </row>
    <row r="170" spans="1:1" x14ac:dyDescent="0.25">
      <c r="A170" s="559"/>
    </row>
    <row r="171" spans="1:1" x14ac:dyDescent="0.25">
      <c r="A171" s="559"/>
    </row>
    <row r="172" spans="1:1" x14ac:dyDescent="0.25">
      <c r="A172" s="559"/>
    </row>
    <row r="173" spans="1:1" x14ac:dyDescent="0.25">
      <c r="A173" s="559"/>
    </row>
    <row r="174" spans="1:1" x14ac:dyDescent="0.25">
      <c r="A174" s="559"/>
    </row>
  </sheetData>
  <mergeCells count="2">
    <mergeCell ref="A1:L2"/>
    <mergeCell ref="M13:M17"/>
  </mergeCells>
  <pageMargins left="0.7" right="0.7" top="0.75" bottom="0.75" header="0.3" footer="0.3"/>
  <pageSetup orientation="portrait" r:id="rId2"/>
  <legacyDrawing r:id="rId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8C0465-18DD-4D00-AFC4-1E3A06B9082D}">
  <sheetPr codeName="Sheet23">
    <tabColor theme="1"/>
  </sheetPr>
  <dimension ref="A1:L24"/>
  <sheetViews>
    <sheetView workbookViewId="0">
      <pane xSplit="1" ySplit="1" topLeftCell="B2" activePane="bottomRight" state="frozen"/>
      <selection pane="topRight" activeCell="G8" sqref="G8"/>
      <selection pane="bottomLeft" activeCell="G8" sqref="G8"/>
      <selection pane="bottomRight" activeCell="P25" sqref="P25"/>
    </sheetView>
  </sheetViews>
  <sheetFormatPr defaultRowHeight="14.4" x14ac:dyDescent="0.3"/>
  <cols>
    <col min="1" max="1" width="12.33203125" bestFit="1" customWidth="1"/>
    <col min="2" max="2" width="12.33203125" customWidth="1"/>
    <col min="3" max="3" width="25.33203125" customWidth="1"/>
    <col min="4" max="4" width="8.33203125" bestFit="1" customWidth="1"/>
    <col min="5" max="5" width="10.5546875" customWidth="1"/>
    <col min="11" max="11" width="8.5546875" bestFit="1" customWidth="1"/>
    <col min="12" max="12" width="3.6640625" bestFit="1" customWidth="1"/>
  </cols>
  <sheetData>
    <row r="1" spans="1:12" ht="29.4" thickBot="1" x14ac:dyDescent="0.35">
      <c r="A1" s="754" t="s">
        <v>539</v>
      </c>
      <c r="B1" s="755" t="s">
        <v>1209</v>
      </c>
      <c r="C1" s="755" t="s">
        <v>1210</v>
      </c>
      <c r="D1" s="756" t="s">
        <v>1211</v>
      </c>
    </row>
    <row r="2" spans="1:12" ht="48.6" customHeight="1" x14ac:dyDescent="0.3">
      <c r="A2" s="757">
        <v>2021</v>
      </c>
      <c r="B2" s="752">
        <v>418790</v>
      </c>
      <c r="C2" s="753" t="s">
        <v>1212</v>
      </c>
      <c r="D2" s="765"/>
      <c r="F2" s="815" t="s">
        <v>1213</v>
      </c>
    </row>
    <row r="3" spans="1:12" ht="39" customHeight="1" x14ac:dyDescent="0.3">
      <c r="A3" s="758">
        <v>2020</v>
      </c>
      <c r="B3" s="710">
        <v>4099703</v>
      </c>
      <c r="C3" s="747" t="s">
        <v>1214</v>
      </c>
      <c r="D3" s="291"/>
      <c r="F3" t="s">
        <v>1215</v>
      </c>
    </row>
    <row r="4" spans="1:12" ht="36" customHeight="1" x14ac:dyDescent="0.3">
      <c r="A4" s="759">
        <v>2019</v>
      </c>
      <c r="B4" s="710">
        <v>641182</v>
      </c>
      <c r="C4" s="747" t="s">
        <v>1216</v>
      </c>
      <c r="D4" s="291"/>
    </row>
    <row r="5" spans="1:12" ht="42.6" customHeight="1" x14ac:dyDescent="0.3">
      <c r="A5" s="760">
        <v>2018</v>
      </c>
      <c r="B5" s="710">
        <v>4107296</v>
      </c>
      <c r="C5" s="748" t="s">
        <v>1217</v>
      </c>
      <c r="D5" s="291"/>
    </row>
    <row r="6" spans="1:12" ht="34.950000000000003" customHeight="1" x14ac:dyDescent="0.3">
      <c r="A6" s="760">
        <v>2017</v>
      </c>
      <c r="B6" s="749">
        <v>1232712</v>
      </c>
      <c r="C6" s="748" t="s">
        <v>1218</v>
      </c>
      <c r="D6" s="291"/>
    </row>
    <row r="7" spans="1:12" x14ac:dyDescent="0.3">
      <c r="A7" s="760">
        <v>2016</v>
      </c>
      <c r="B7" s="666">
        <v>4493577</v>
      </c>
      <c r="C7" s="748"/>
      <c r="D7" s="291"/>
    </row>
    <row r="8" spans="1:12" x14ac:dyDescent="0.3">
      <c r="A8" s="760">
        <v>2015</v>
      </c>
      <c r="B8" s="666">
        <v>357578</v>
      </c>
      <c r="C8" s="748"/>
      <c r="D8" s="291"/>
    </row>
    <row r="9" spans="1:12" x14ac:dyDescent="0.3">
      <c r="A9" s="760">
        <v>2014</v>
      </c>
      <c r="B9" s="666">
        <v>1761794</v>
      </c>
      <c r="C9" s="748"/>
      <c r="D9" s="291"/>
    </row>
    <row r="10" spans="1:12" x14ac:dyDescent="0.3">
      <c r="A10" s="760">
        <v>2013</v>
      </c>
      <c r="B10" s="666"/>
      <c r="C10" s="748" t="s">
        <v>1219</v>
      </c>
      <c r="D10" s="291"/>
    </row>
    <row r="11" spans="1:12" x14ac:dyDescent="0.3">
      <c r="A11" s="761">
        <v>2012</v>
      </c>
      <c r="B11" s="750">
        <v>869300</v>
      </c>
      <c r="C11" s="751" t="s">
        <v>1220</v>
      </c>
      <c r="D11" s="766">
        <f>B11/933</f>
        <v>931.72561629153267</v>
      </c>
      <c r="E11" t="s">
        <v>1221</v>
      </c>
      <c r="K11" s="713">
        <f>895*933</f>
        <v>835035</v>
      </c>
      <c r="L11" t="s">
        <v>1222</v>
      </c>
    </row>
    <row r="12" spans="1:12" x14ac:dyDescent="0.3">
      <c r="A12" s="761">
        <v>2011</v>
      </c>
      <c r="B12" s="746">
        <v>837800</v>
      </c>
      <c r="C12" s="751" t="s">
        <v>1220</v>
      </c>
      <c r="D12" s="766">
        <f>B12/933</f>
        <v>897.96355841371917</v>
      </c>
      <c r="F12" t="s">
        <v>1223</v>
      </c>
    </row>
    <row r="13" spans="1:12" x14ac:dyDescent="0.3">
      <c r="A13" s="760">
        <v>2010</v>
      </c>
      <c r="B13" s="709">
        <v>900000</v>
      </c>
      <c r="C13" s="748"/>
      <c r="D13" s="767"/>
    </row>
    <row r="14" spans="1:12" x14ac:dyDescent="0.3">
      <c r="A14" s="761">
        <v>2009</v>
      </c>
      <c r="B14" s="746">
        <v>432400</v>
      </c>
      <c r="C14" s="751" t="s">
        <v>1220</v>
      </c>
      <c r="D14" s="766">
        <f>B14/933</f>
        <v>463.4512325830654</v>
      </c>
    </row>
    <row r="15" spans="1:12" x14ac:dyDescent="0.3">
      <c r="A15" s="760">
        <v>2009</v>
      </c>
      <c r="B15" s="666">
        <v>448300</v>
      </c>
      <c r="C15" s="748" t="s">
        <v>1224</v>
      </c>
      <c r="D15" s="291"/>
    </row>
    <row r="16" spans="1:12" x14ac:dyDescent="0.3">
      <c r="A16" s="760">
        <v>2008</v>
      </c>
      <c r="B16" s="666">
        <v>1614300</v>
      </c>
      <c r="C16" s="748"/>
      <c r="D16" s="291"/>
    </row>
    <row r="17" spans="1:4" x14ac:dyDescent="0.3">
      <c r="A17" s="760">
        <v>2007</v>
      </c>
      <c r="B17" s="666">
        <v>885500</v>
      </c>
      <c r="C17" s="748"/>
      <c r="D17" s="291"/>
    </row>
    <row r="18" spans="1:4" x14ac:dyDescent="0.3">
      <c r="A18" s="760">
        <v>2006</v>
      </c>
      <c r="B18" s="710">
        <v>1479000</v>
      </c>
      <c r="C18" s="748"/>
      <c r="D18" s="291"/>
    </row>
    <row r="19" spans="1:4" x14ac:dyDescent="0.3">
      <c r="A19" s="760">
        <v>2005</v>
      </c>
      <c r="B19" s="710">
        <v>1384000</v>
      </c>
      <c r="C19" s="748"/>
      <c r="D19" s="291"/>
    </row>
    <row r="20" spans="1:4" x14ac:dyDescent="0.3">
      <c r="A20" s="760">
        <v>2004</v>
      </c>
      <c r="B20" s="710">
        <v>1205500</v>
      </c>
      <c r="C20" s="748"/>
      <c r="D20" s="291"/>
    </row>
    <row r="21" spans="1:4" ht="15" thickBot="1" x14ac:dyDescent="0.35">
      <c r="A21" s="762">
        <v>2003</v>
      </c>
      <c r="B21" s="763">
        <v>352500</v>
      </c>
      <c r="C21" s="764"/>
      <c r="D21" s="293"/>
    </row>
    <row r="22" spans="1:4" x14ac:dyDescent="0.3">
      <c r="C22" s="318"/>
    </row>
    <row r="23" spans="1:4" x14ac:dyDescent="0.3">
      <c r="A23" t="s">
        <v>1225</v>
      </c>
      <c r="B23" s="711">
        <v>1946</v>
      </c>
      <c r="C23" t="s">
        <v>1226</v>
      </c>
    </row>
    <row r="24" spans="1:4" x14ac:dyDescent="0.3">
      <c r="A24" t="s">
        <v>1227</v>
      </c>
      <c r="B24" s="711">
        <v>933</v>
      </c>
      <c r="C24" t="s">
        <v>1228</v>
      </c>
    </row>
  </sheetData>
  <pageMargins left="0.7" right="0.7" top="0.75" bottom="0.75" header="0.3" footer="0.3"/>
  <pageSetup orientation="portrait" r:id="rId1"/>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6AA5B8-DAF7-4643-BA9A-E2C843850744}">
  <sheetPr codeName="Sheet20">
    <tabColor theme="1"/>
  </sheetPr>
  <dimension ref="A1:AC73"/>
  <sheetViews>
    <sheetView topLeftCell="A39" workbookViewId="0">
      <selection activeCell="C15" sqref="C15"/>
    </sheetView>
  </sheetViews>
  <sheetFormatPr defaultRowHeight="14.4" x14ac:dyDescent="0.3"/>
  <cols>
    <col min="7" max="7" width="11.33203125" bestFit="1" customWidth="1"/>
    <col min="8" max="8" width="10.33203125" customWidth="1"/>
    <col min="10" max="10" width="16.44140625" bestFit="1" customWidth="1"/>
    <col min="17" max="17" width="11.33203125" bestFit="1" customWidth="1"/>
    <col min="18" max="18" width="10.33203125" bestFit="1" customWidth="1"/>
    <col min="28" max="29" width="13.6640625" bestFit="1" customWidth="1"/>
  </cols>
  <sheetData>
    <row r="1" spans="1:19" ht="144.6" thickBot="1" x14ac:dyDescent="0.35">
      <c r="A1" s="974" t="s">
        <v>1229</v>
      </c>
      <c r="B1" s="975" t="s">
        <v>1230</v>
      </c>
      <c r="C1" s="975" t="s">
        <v>1231</v>
      </c>
      <c r="D1" s="975" t="s">
        <v>1232</v>
      </c>
      <c r="E1" s="975" t="s">
        <v>1233</v>
      </c>
      <c r="F1" s="976" t="s">
        <v>1234</v>
      </c>
    </row>
    <row r="2" spans="1:19" x14ac:dyDescent="0.3">
      <c r="A2" s="977">
        <v>2011</v>
      </c>
      <c r="B2" s="978">
        <v>42105</v>
      </c>
      <c r="C2" s="979"/>
      <c r="D2" s="978"/>
      <c r="E2" s="978"/>
      <c r="F2" s="980"/>
    </row>
    <row r="3" spans="1:19" x14ac:dyDescent="0.3">
      <c r="A3" s="968">
        <v>2013</v>
      </c>
      <c r="B3" s="966">
        <v>6840</v>
      </c>
      <c r="C3" s="967">
        <f t="shared" ref="C3:C9" si="0">D3/B3</f>
        <v>0.19795321637426899</v>
      </c>
      <c r="D3" s="966">
        <v>1354</v>
      </c>
      <c r="E3" s="966">
        <v>29009</v>
      </c>
      <c r="F3" s="969">
        <f t="shared" ref="F3:F9" si="1">D3/E3</f>
        <v>4.6675169774897447E-2</v>
      </c>
    </row>
    <row r="4" spans="1:19" x14ac:dyDescent="0.3">
      <c r="A4" s="968">
        <v>2014</v>
      </c>
      <c r="B4" s="966">
        <v>20916</v>
      </c>
      <c r="C4" s="967">
        <f t="shared" si="0"/>
        <v>0.20501051826353031</v>
      </c>
      <c r="D4" s="966">
        <v>4288</v>
      </c>
      <c r="E4" s="966">
        <v>99888</v>
      </c>
      <c r="F4" s="969">
        <f t="shared" si="1"/>
        <v>4.2928079448982859E-2</v>
      </c>
    </row>
    <row r="5" spans="1:19" x14ac:dyDescent="0.3">
      <c r="A5" s="968">
        <v>2015</v>
      </c>
      <c r="B5" s="966">
        <v>1632</v>
      </c>
      <c r="C5" s="967">
        <f t="shared" si="0"/>
        <v>0</v>
      </c>
      <c r="D5" s="966">
        <v>0</v>
      </c>
      <c r="E5" s="966">
        <v>51533</v>
      </c>
      <c r="F5" s="969">
        <f t="shared" si="1"/>
        <v>0</v>
      </c>
    </row>
    <row r="6" spans="1:19" x14ac:dyDescent="0.3">
      <c r="A6" s="968">
        <v>2016</v>
      </c>
      <c r="B6" s="966">
        <v>4016</v>
      </c>
      <c r="C6" s="967">
        <f t="shared" si="0"/>
        <v>6.9970119521912344E-2</v>
      </c>
      <c r="D6" s="966">
        <v>281</v>
      </c>
      <c r="E6" s="966">
        <v>73697</v>
      </c>
      <c r="F6" s="969">
        <f t="shared" si="1"/>
        <v>3.8129096164022957E-3</v>
      </c>
    </row>
    <row r="7" spans="1:19" x14ac:dyDescent="0.3">
      <c r="A7" s="968">
        <v>2017</v>
      </c>
      <c r="B7" s="966">
        <v>5600</v>
      </c>
      <c r="C7" s="967">
        <f t="shared" si="0"/>
        <v>0.02</v>
      </c>
      <c r="D7" s="966">
        <v>112</v>
      </c>
      <c r="E7" s="966">
        <v>23854</v>
      </c>
      <c r="F7" s="969">
        <f t="shared" si="1"/>
        <v>4.6952293116458458E-3</v>
      </c>
    </row>
    <row r="8" spans="1:19" x14ac:dyDescent="0.3">
      <c r="A8" s="968">
        <v>2018</v>
      </c>
      <c r="B8" s="966">
        <v>23500</v>
      </c>
      <c r="C8" s="967">
        <f t="shared" si="0"/>
        <v>4.3829787234042549E-3</v>
      </c>
      <c r="D8" s="966">
        <v>103</v>
      </c>
      <c r="E8" s="966">
        <v>13962</v>
      </c>
      <c r="F8" s="969">
        <f t="shared" si="1"/>
        <v>7.3771665950436898E-3</v>
      </c>
    </row>
    <row r="9" spans="1:19" x14ac:dyDescent="0.3">
      <c r="A9" s="968">
        <v>2019</v>
      </c>
      <c r="B9" s="966">
        <v>2588</v>
      </c>
      <c r="C9" s="967">
        <f t="shared" si="0"/>
        <v>0.50502318392581147</v>
      </c>
      <c r="D9" s="966">
        <v>1307</v>
      </c>
      <c r="E9" s="966">
        <v>8875</v>
      </c>
      <c r="F9" s="969">
        <f t="shared" si="1"/>
        <v>0.14726760563380281</v>
      </c>
    </row>
    <row r="10" spans="1:19" x14ac:dyDescent="0.3">
      <c r="A10" s="968">
        <v>2020</v>
      </c>
      <c r="B10" s="966"/>
      <c r="C10" s="967"/>
      <c r="D10" s="966"/>
      <c r="E10" s="966"/>
      <c r="F10" s="969"/>
    </row>
    <row r="11" spans="1:19" x14ac:dyDescent="0.3">
      <c r="A11" s="968">
        <v>2021</v>
      </c>
      <c r="B11" s="966"/>
      <c r="C11" s="967"/>
      <c r="D11" s="966"/>
      <c r="E11" s="966"/>
      <c r="F11" s="969"/>
    </row>
    <row r="12" spans="1:19" ht="15" thickBot="1" x14ac:dyDescent="0.35">
      <c r="A12" s="970">
        <v>2022</v>
      </c>
      <c r="B12" s="971">
        <v>40000</v>
      </c>
      <c r="C12" s="972"/>
      <c r="D12" s="971"/>
      <c r="E12" s="971"/>
      <c r="F12" s="973"/>
    </row>
    <row r="13" spans="1:19" ht="14.7" customHeight="1" x14ac:dyDescent="0.3">
      <c r="A13" s="2672" t="s">
        <v>1235</v>
      </c>
      <c r="B13" s="2672"/>
      <c r="C13" s="2672"/>
      <c r="D13" s="2672"/>
      <c r="E13" s="700" t="s">
        <v>1236</v>
      </c>
      <c r="F13" s="965"/>
    </row>
    <row r="14" spans="1:19" ht="14.7" customHeight="1" x14ac:dyDescent="0.3">
      <c r="A14" s="2673"/>
      <c r="B14" s="2673"/>
      <c r="C14" s="2673"/>
      <c r="D14" s="2673"/>
      <c r="E14" s="2674" t="s">
        <v>1237</v>
      </c>
      <c r="F14" s="2674"/>
      <c r="G14" s="2674"/>
    </row>
    <row r="15" spans="1:19" ht="15" thickBot="1" x14ac:dyDescent="0.35">
      <c r="A15" s="981"/>
      <c r="B15" s="981"/>
      <c r="C15" s="981"/>
      <c r="D15" s="981"/>
      <c r="E15" s="2674"/>
      <c r="F15" s="2674"/>
      <c r="G15" s="2674"/>
      <c r="J15" s="1033" t="s">
        <v>1238</v>
      </c>
      <c r="Q15" s="1033" t="s">
        <v>1239</v>
      </c>
    </row>
    <row r="16" spans="1:19" ht="15" thickBot="1" x14ac:dyDescent="0.35">
      <c r="A16" s="981"/>
      <c r="B16" s="981"/>
      <c r="C16" s="981"/>
      <c r="D16" s="981"/>
      <c r="E16" s="1094"/>
      <c r="F16" s="1094"/>
      <c r="J16" s="984" t="s">
        <v>1240</v>
      </c>
      <c r="K16" s="983" t="s">
        <v>383</v>
      </c>
      <c r="L16" s="983" t="s">
        <v>1241</v>
      </c>
      <c r="M16" s="983" t="s">
        <v>1019</v>
      </c>
      <c r="N16" s="1211" t="s">
        <v>1242</v>
      </c>
      <c r="O16" s="664" t="s">
        <v>1243</v>
      </c>
      <c r="Q16" s="1049" t="s">
        <v>383</v>
      </c>
      <c r="R16" s="1069" t="s">
        <v>1244</v>
      </c>
      <c r="S16" s="1070" t="s">
        <v>1245</v>
      </c>
    </row>
    <row r="17" spans="1:29" x14ac:dyDescent="0.3">
      <c r="A17" s="981"/>
      <c r="B17" s="981"/>
      <c r="C17" s="981"/>
      <c r="D17" s="981"/>
      <c r="E17" s="1094"/>
      <c r="F17" s="1094"/>
      <c r="J17" s="759" t="s">
        <v>1246</v>
      </c>
      <c r="K17" s="1145">
        <v>2008</v>
      </c>
      <c r="L17" s="1034">
        <v>0.93700000000000006</v>
      </c>
      <c r="M17" s="1035">
        <f>1-L17</f>
        <v>6.2999999999999945E-2</v>
      </c>
      <c r="N17" s="1209">
        <v>127602.45454545454</v>
      </c>
      <c r="O17" s="1209">
        <f>N17*0.995</f>
        <v>126964.44227272728</v>
      </c>
      <c r="Q17" s="1057">
        <v>2014</v>
      </c>
      <c r="R17" s="726">
        <v>7826</v>
      </c>
      <c r="S17" s="1071">
        <v>711.4545454545455</v>
      </c>
    </row>
    <row r="18" spans="1:29" x14ac:dyDescent="0.3">
      <c r="E18" s="1094"/>
      <c r="F18" s="1094"/>
      <c r="J18" s="760" t="s">
        <v>1246</v>
      </c>
      <c r="K18" s="459">
        <v>2009</v>
      </c>
      <c r="L18" s="1010">
        <v>0.875</v>
      </c>
      <c r="M18" s="1011">
        <f t="shared" ref="M18:M32" si="2">1-L18</f>
        <v>0.125</v>
      </c>
      <c r="N18" s="1210">
        <v>64141.36363636364</v>
      </c>
      <c r="O18" s="1209">
        <f t="shared" ref="O18:O30" si="3">N18*0.99</f>
        <v>63499.950000000004</v>
      </c>
      <c r="Q18" s="1057">
        <v>2015</v>
      </c>
      <c r="R18" s="726">
        <v>11917</v>
      </c>
      <c r="S18" s="1071">
        <v>1083.3636363636363</v>
      </c>
    </row>
    <row r="19" spans="1:29" ht="15" thickBot="1" x14ac:dyDescent="0.35">
      <c r="A19" s="1033" t="s">
        <v>1247</v>
      </c>
      <c r="E19" s="1094"/>
      <c r="F19" s="1094"/>
      <c r="J19" s="760" t="s">
        <v>1246</v>
      </c>
      <c r="K19" s="459">
        <v>2010</v>
      </c>
      <c r="L19" s="1010">
        <v>0.96699999999999997</v>
      </c>
      <c r="M19" s="1011">
        <f t="shared" si="2"/>
        <v>3.3000000000000029E-2</v>
      </c>
      <c r="N19" s="1210">
        <v>209974</v>
      </c>
      <c r="O19" s="1209">
        <f t="shared" si="3"/>
        <v>207874.26</v>
      </c>
      <c r="Q19" s="1057">
        <v>2016</v>
      </c>
      <c r="R19" s="726">
        <v>5227</v>
      </c>
      <c r="S19" s="1071">
        <v>475.18181818181819</v>
      </c>
    </row>
    <row r="20" spans="1:29" ht="58.2" thickBot="1" x14ac:dyDescent="0.35">
      <c r="A20" s="1108" t="s">
        <v>383</v>
      </c>
      <c r="B20" s="1109" t="s">
        <v>1242</v>
      </c>
      <c r="C20" s="1109" t="s">
        <v>1248</v>
      </c>
      <c r="D20" s="1110" t="s">
        <v>1249</v>
      </c>
      <c r="E20" s="1111" t="s">
        <v>1243</v>
      </c>
      <c r="F20" s="1115" t="s">
        <v>1250</v>
      </c>
      <c r="G20" s="1100" t="s">
        <v>1251</v>
      </c>
      <c r="H20" s="1073" t="s">
        <v>1252</v>
      </c>
      <c r="J20" s="760" t="s">
        <v>1246</v>
      </c>
      <c r="K20" s="459">
        <v>2011</v>
      </c>
      <c r="L20" s="1010">
        <v>0.95899999999999996</v>
      </c>
      <c r="M20" s="1011">
        <f t="shared" si="2"/>
        <v>4.1000000000000036E-2</v>
      </c>
      <c r="N20" s="1210">
        <v>77650</v>
      </c>
      <c r="O20" s="1209">
        <f t="shared" si="3"/>
        <v>76873.5</v>
      </c>
      <c r="Q20" s="1057">
        <v>2017</v>
      </c>
      <c r="R20" s="726">
        <v>5330</v>
      </c>
      <c r="S20" s="1071">
        <v>484.54545454545456</v>
      </c>
    </row>
    <row r="21" spans="1:29" x14ac:dyDescent="0.3">
      <c r="A21" s="998">
        <v>2004</v>
      </c>
      <c r="B21" s="1112">
        <v>50296</v>
      </c>
      <c r="C21" s="1113">
        <v>1</v>
      </c>
      <c r="D21" s="1114">
        <f t="shared" ref="D21:D27" si="4">B21</f>
        <v>50296</v>
      </c>
      <c r="E21" s="881">
        <v>0</v>
      </c>
      <c r="F21" s="1116">
        <f>E21/B21</f>
        <v>0</v>
      </c>
      <c r="G21" s="1101">
        <v>60027</v>
      </c>
      <c r="H21" s="1075"/>
      <c r="J21" s="760" t="s">
        <v>1246</v>
      </c>
      <c r="K21" s="459">
        <v>2012</v>
      </c>
      <c r="L21" s="1010">
        <v>0.97499999999999998</v>
      </c>
      <c r="M21" s="1011">
        <f t="shared" si="2"/>
        <v>2.5000000000000022E-2</v>
      </c>
      <c r="N21" s="1210">
        <v>94071.318181818177</v>
      </c>
      <c r="O21" s="1209">
        <f t="shared" si="3"/>
        <v>93130.604999999996</v>
      </c>
      <c r="Q21" s="1057">
        <v>2018</v>
      </c>
      <c r="R21" s="726">
        <v>14104</v>
      </c>
      <c r="S21" s="1071">
        <v>1282.1818181818182</v>
      </c>
    </row>
    <row r="22" spans="1:29" x14ac:dyDescent="0.3">
      <c r="A22" s="290">
        <v>2005</v>
      </c>
      <c r="B22" s="1102">
        <v>66290</v>
      </c>
      <c r="C22" s="1103">
        <v>1</v>
      </c>
      <c r="D22" s="1104">
        <f t="shared" si="4"/>
        <v>66290</v>
      </c>
      <c r="E22" s="1072">
        <v>0</v>
      </c>
      <c r="F22" s="1116">
        <f t="shared" ref="F22:F38" si="5">E22/B22</f>
        <v>0</v>
      </c>
      <c r="G22" s="1101">
        <v>78951</v>
      </c>
      <c r="H22" s="1075"/>
      <c r="J22" s="760" t="s">
        <v>1246</v>
      </c>
      <c r="K22" s="459">
        <v>2013</v>
      </c>
      <c r="L22" s="1010">
        <v>0.77100000000000002</v>
      </c>
      <c r="M22" s="1011">
        <f t="shared" si="2"/>
        <v>0.22899999999999998</v>
      </c>
      <c r="N22" s="1210">
        <v>36557</v>
      </c>
      <c r="O22" s="1209">
        <f t="shared" si="3"/>
        <v>36191.43</v>
      </c>
      <c r="Q22" s="1057">
        <v>2019</v>
      </c>
      <c r="R22" s="726"/>
      <c r="S22" s="1071"/>
    </row>
    <row r="23" spans="1:29" x14ac:dyDescent="0.3">
      <c r="A23" s="290">
        <v>2006</v>
      </c>
      <c r="B23" s="1102">
        <v>34643</v>
      </c>
      <c r="C23" s="1103">
        <v>1</v>
      </c>
      <c r="D23" s="1104">
        <f t="shared" si="4"/>
        <v>34643</v>
      </c>
      <c r="E23" s="1072">
        <v>0</v>
      </c>
      <c r="F23" s="1116">
        <f t="shared" si="5"/>
        <v>0</v>
      </c>
      <c r="G23" s="1101">
        <v>38616</v>
      </c>
      <c r="H23" s="1075"/>
      <c r="J23" s="760" t="s">
        <v>1246</v>
      </c>
      <c r="K23" s="1146">
        <v>2014</v>
      </c>
      <c r="L23" s="1412">
        <f>1-M23</f>
        <v>0.97399999999999998</v>
      </c>
      <c r="M23" s="1411">
        <v>2.5999999999999999E-2</v>
      </c>
      <c r="N23" s="1210">
        <v>146700.86363636365</v>
      </c>
      <c r="O23" s="1209">
        <f t="shared" si="3"/>
        <v>145233.85500000001</v>
      </c>
      <c r="Q23" s="1057">
        <v>2020</v>
      </c>
      <c r="R23" s="726">
        <v>127719</v>
      </c>
      <c r="S23" s="1071">
        <v>11610.818181818182</v>
      </c>
    </row>
    <row r="24" spans="1:29" x14ac:dyDescent="0.3">
      <c r="A24" s="290">
        <v>2007</v>
      </c>
      <c r="B24" s="1102">
        <v>90150</v>
      </c>
      <c r="C24" s="1103">
        <v>1</v>
      </c>
      <c r="D24" s="1104">
        <f t="shared" si="4"/>
        <v>90150</v>
      </c>
      <c r="E24" s="1072">
        <v>0</v>
      </c>
      <c r="F24" s="1116">
        <f t="shared" si="5"/>
        <v>0</v>
      </c>
      <c r="G24" s="1101">
        <v>109974</v>
      </c>
      <c r="H24" s="1075"/>
      <c r="J24" s="760" t="s">
        <v>1246</v>
      </c>
      <c r="K24" s="459">
        <v>2015</v>
      </c>
      <c r="L24" s="1010">
        <v>0.98099999999999998</v>
      </c>
      <c r="M24" s="1135">
        <f t="shared" si="2"/>
        <v>1.9000000000000017E-2</v>
      </c>
      <c r="N24" s="1210">
        <v>10443</v>
      </c>
      <c r="O24" s="1209">
        <f t="shared" si="3"/>
        <v>10338.57</v>
      </c>
      <c r="Q24" s="1057">
        <v>2021</v>
      </c>
      <c r="R24" s="726">
        <v>13810</v>
      </c>
      <c r="S24" s="1071">
        <v>1255.4545454545455</v>
      </c>
    </row>
    <row r="25" spans="1:29" x14ac:dyDescent="0.3">
      <c r="A25" s="290">
        <v>2008</v>
      </c>
      <c r="B25" s="1102">
        <v>40490</v>
      </c>
      <c r="C25" s="1103">
        <v>1</v>
      </c>
      <c r="D25" s="1104">
        <f t="shared" si="4"/>
        <v>40490</v>
      </c>
      <c r="E25" s="1072">
        <v>0</v>
      </c>
      <c r="F25" s="1116">
        <f t="shared" si="5"/>
        <v>0</v>
      </c>
      <c r="G25" s="1101">
        <v>66040</v>
      </c>
      <c r="H25" s="1075"/>
      <c r="J25" s="760" t="s">
        <v>1246</v>
      </c>
      <c r="K25" s="1146">
        <v>2016</v>
      </c>
      <c r="L25" s="1412">
        <f>1-M25</f>
        <v>0.99299999999999999</v>
      </c>
      <c r="M25" s="1411">
        <v>7.0000000000000001E-3</v>
      </c>
      <c r="N25" s="1210">
        <v>55190</v>
      </c>
      <c r="O25" s="1209">
        <f t="shared" si="3"/>
        <v>54638.1</v>
      </c>
      <c r="Q25" s="1057"/>
      <c r="R25" s="813"/>
      <c r="S25" s="291"/>
    </row>
    <row r="26" spans="1:29" x14ac:dyDescent="0.3">
      <c r="A26" s="290">
        <v>2009</v>
      </c>
      <c r="B26" s="1102">
        <v>40922</v>
      </c>
      <c r="C26" s="1103">
        <v>1</v>
      </c>
      <c r="D26" s="1104">
        <f t="shared" si="4"/>
        <v>40922</v>
      </c>
      <c r="E26" s="1072">
        <v>0</v>
      </c>
      <c r="F26" s="1116">
        <f t="shared" si="5"/>
        <v>0</v>
      </c>
      <c r="G26" s="1101">
        <v>48552</v>
      </c>
      <c r="H26" s="1075"/>
      <c r="J26" s="760" t="s">
        <v>1246</v>
      </c>
      <c r="K26" s="1146">
        <v>2017</v>
      </c>
      <c r="L26" s="1412">
        <f>1-M26</f>
        <v>1</v>
      </c>
      <c r="M26" s="1411">
        <v>0</v>
      </c>
      <c r="N26" s="1210">
        <v>10040</v>
      </c>
      <c r="O26" s="1209">
        <f t="shared" si="3"/>
        <v>9939.6</v>
      </c>
      <c r="Q26" s="1057"/>
      <c r="R26" s="813"/>
      <c r="S26" s="291"/>
    </row>
    <row r="27" spans="1:29" ht="15" thickBot="1" x14ac:dyDescent="0.35">
      <c r="A27" s="290">
        <v>2010</v>
      </c>
      <c r="B27" s="1102">
        <v>31086</v>
      </c>
      <c r="C27" s="1103">
        <v>1</v>
      </c>
      <c r="D27" s="1104">
        <f t="shared" si="4"/>
        <v>31086</v>
      </c>
      <c r="E27" s="1072">
        <v>0</v>
      </c>
      <c r="F27" s="1116">
        <f t="shared" si="5"/>
        <v>0</v>
      </c>
      <c r="G27" s="1101">
        <v>43248</v>
      </c>
      <c r="H27" s="1075"/>
      <c r="J27" s="1015" t="s">
        <v>1246</v>
      </c>
      <c r="K27" s="1147">
        <v>2018</v>
      </c>
      <c r="L27" s="1036">
        <v>0.96099999999999997</v>
      </c>
      <c r="M27" s="1037">
        <f t="shared" si="2"/>
        <v>3.9000000000000035E-2</v>
      </c>
      <c r="N27" s="1210">
        <v>31001</v>
      </c>
      <c r="O27" s="1209">
        <f t="shared" si="3"/>
        <v>30690.989999999998</v>
      </c>
      <c r="Q27" s="292"/>
      <c r="R27" s="999"/>
      <c r="S27" s="293"/>
    </row>
    <row r="28" spans="1:29" x14ac:dyDescent="0.3">
      <c r="A28" s="290">
        <v>2011</v>
      </c>
      <c r="B28" s="1119">
        <f>D43</f>
        <v>49325</v>
      </c>
      <c r="C28" s="1105">
        <v>0.97</v>
      </c>
      <c r="D28" s="1104">
        <f t="shared" ref="D28:D38" si="6">B28*C28</f>
        <v>47845.25</v>
      </c>
      <c r="E28" s="1106">
        <f>B28*(1-C28)</f>
        <v>1479.7500000000014</v>
      </c>
      <c r="F28" s="1116">
        <f t="shared" si="5"/>
        <v>3.0000000000000027E-2</v>
      </c>
      <c r="G28" s="1101">
        <v>41781</v>
      </c>
      <c r="H28" s="1074">
        <v>11106</v>
      </c>
      <c r="J28" s="1016" t="s">
        <v>1253</v>
      </c>
      <c r="K28" s="1146">
        <v>2019</v>
      </c>
      <c r="L28" s="1133">
        <v>0.95</v>
      </c>
      <c r="M28" s="1134">
        <v>0.04</v>
      </c>
      <c r="N28" s="1210">
        <v>13108</v>
      </c>
      <c r="O28" s="1209">
        <f t="shared" si="3"/>
        <v>12976.92</v>
      </c>
      <c r="Q28" s="1068" t="s">
        <v>1254</v>
      </c>
    </row>
    <row r="29" spans="1:29" x14ac:dyDescent="0.3">
      <c r="A29" s="290">
        <v>2012</v>
      </c>
      <c r="B29" s="1119">
        <f t="shared" ref="B29:B38" si="7">D44</f>
        <v>36648</v>
      </c>
      <c r="C29" s="1103">
        <v>0.7</v>
      </c>
      <c r="D29" s="1104">
        <f t="shared" si="6"/>
        <v>25653.599999999999</v>
      </c>
      <c r="E29" s="1106">
        <f t="shared" ref="E29:E38" si="8">B29*(1-C29)</f>
        <v>10994.400000000001</v>
      </c>
      <c r="F29" s="1116">
        <f t="shared" si="5"/>
        <v>0.30000000000000004</v>
      </c>
      <c r="G29" s="1101">
        <v>41220</v>
      </c>
      <c r="H29" s="1074">
        <v>10305</v>
      </c>
      <c r="J29" s="760" t="s">
        <v>1246</v>
      </c>
      <c r="K29" s="459">
        <v>2020</v>
      </c>
      <c r="L29" s="1010">
        <v>0.97399999999999998</v>
      </c>
      <c r="M29" s="1011">
        <f t="shared" si="2"/>
        <v>2.6000000000000023E-2</v>
      </c>
      <c r="N29" s="1210">
        <v>48138</v>
      </c>
      <c r="O29" s="1209">
        <f t="shared" si="3"/>
        <v>47656.62</v>
      </c>
    </row>
    <row r="30" spans="1:29" x14ac:dyDescent="0.3">
      <c r="A30" s="290">
        <v>2013</v>
      </c>
      <c r="B30" s="1119">
        <f t="shared" si="7"/>
        <v>29407</v>
      </c>
      <c r="C30" s="1103">
        <v>0.69699999999999995</v>
      </c>
      <c r="D30" s="1104">
        <f t="shared" si="6"/>
        <v>20496.679</v>
      </c>
      <c r="E30" s="1106">
        <f t="shared" si="8"/>
        <v>8910.3210000000017</v>
      </c>
      <c r="F30" s="1116">
        <f t="shared" si="5"/>
        <v>0.30300000000000005</v>
      </c>
      <c r="G30" s="1101">
        <v>28700</v>
      </c>
      <c r="H30" s="1074">
        <v>10618</v>
      </c>
      <c r="J30" s="760" t="s">
        <v>1246</v>
      </c>
      <c r="K30" s="459">
        <v>2021</v>
      </c>
      <c r="L30" s="1010">
        <f>1-M30</f>
        <v>0.94279999999999997</v>
      </c>
      <c r="M30" s="1011">
        <v>5.7200000000000001E-2</v>
      </c>
      <c r="N30" s="1210">
        <v>10699</v>
      </c>
      <c r="O30" s="1209">
        <f t="shared" si="3"/>
        <v>10592.01</v>
      </c>
    </row>
    <row r="31" spans="1:29" ht="15" thickBot="1" x14ac:dyDescent="0.35">
      <c r="A31" s="290">
        <v>2014</v>
      </c>
      <c r="B31" s="1119">
        <f t="shared" si="7"/>
        <v>58208</v>
      </c>
      <c r="C31" s="1105">
        <v>0.183</v>
      </c>
      <c r="D31" s="1104">
        <f t="shared" si="6"/>
        <v>10652.064</v>
      </c>
      <c r="E31" s="1106">
        <f t="shared" si="8"/>
        <v>47555.935999999994</v>
      </c>
      <c r="F31" s="1116">
        <f t="shared" si="5"/>
        <v>0.81699999999999995</v>
      </c>
      <c r="G31" s="1101">
        <v>35781</v>
      </c>
      <c r="H31" s="1074">
        <v>21653</v>
      </c>
      <c r="J31" s="1141"/>
      <c r="K31" s="1148">
        <v>2022</v>
      </c>
      <c r="L31" s="1142"/>
      <c r="M31" s="1143"/>
      <c r="N31" s="1144"/>
      <c r="S31" s="1033" t="s">
        <v>1255</v>
      </c>
    </row>
    <row r="32" spans="1:29" ht="15" thickBot="1" x14ac:dyDescent="0.35">
      <c r="A32" s="290">
        <v>2015</v>
      </c>
      <c r="B32" s="1119">
        <f t="shared" si="7"/>
        <v>58417</v>
      </c>
      <c r="C32" s="1103">
        <v>0.76</v>
      </c>
      <c r="D32" s="1104">
        <f t="shared" si="6"/>
        <v>44396.92</v>
      </c>
      <c r="E32" s="1106">
        <f t="shared" si="8"/>
        <v>14020.08</v>
      </c>
      <c r="F32" s="1116">
        <f t="shared" si="5"/>
        <v>0.24</v>
      </c>
      <c r="G32" s="1101">
        <v>63631</v>
      </c>
      <c r="H32" s="1074">
        <v>4062</v>
      </c>
      <c r="J32" s="1136" t="s">
        <v>1256</v>
      </c>
      <c r="K32" s="1137"/>
      <c r="L32" s="1138">
        <f>ROUND(AVERAGE($L$20,$L$21,$L$22,$L$24,$L$27,$L$29),1)</f>
        <v>0.9</v>
      </c>
      <c r="M32" s="1139">
        <f t="shared" si="2"/>
        <v>9.9999999999999978E-2</v>
      </c>
      <c r="N32" s="1140"/>
      <c r="S32" s="984" t="s">
        <v>1257</v>
      </c>
      <c r="T32" s="983" t="s">
        <v>1258</v>
      </c>
      <c r="U32" s="983" t="s">
        <v>1259</v>
      </c>
      <c r="V32" s="1250" t="s">
        <v>1260</v>
      </c>
      <c r="W32" s="983" t="s">
        <v>1261</v>
      </c>
      <c r="X32" s="1250" t="s">
        <v>895</v>
      </c>
      <c r="Y32" s="983" t="s">
        <v>1262</v>
      </c>
      <c r="Z32" s="1226" t="s">
        <v>1263</v>
      </c>
      <c r="AB32" s="1257" t="s">
        <v>1264</v>
      </c>
      <c r="AC32" s="1258" t="s">
        <v>1265</v>
      </c>
    </row>
    <row r="33" spans="1:29" ht="15" thickBot="1" x14ac:dyDescent="0.35">
      <c r="A33" s="290">
        <v>2016</v>
      </c>
      <c r="B33" s="1119">
        <f t="shared" si="7"/>
        <v>78026</v>
      </c>
      <c r="C33" s="1103">
        <v>0.54200000000000004</v>
      </c>
      <c r="D33" s="1104">
        <f t="shared" si="6"/>
        <v>42290.092000000004</v>
      </c>
      <c r="E33" s="1106">
        <f t="shared" si="8"/>
        <v>35735.907999999996</v>
      </c>
      <c r="F33" s="1116">
        <f t="shared" si="5"/>
        <v>0.45799999999999996</v>
      </c>
      <c r="G33" s="1101">
        <v>59393</v>
      </c>
      <c r="H33" s="1074">
        <v>4470</v>
      </c>
      <c r="J33" s="290" t="s">
        <v>424</v>
      </c>
      <c r="K33" s="813"/>
      <c r="L33" s="1001">
        <f>MIN($L$20,$L$21,$L$22,$L$24,$L$27,$L$29)</f>
        <v>0.77100000000000002</v>
      </c>
      <c r="M33" s="982">
        <f>MIN($M$17:$M$31)</f>
        <v>0</v>
      </c>
      <c r="N33" s="291"/>
      <c r="S33" s="1217">
        <v>2008</v>
      </c>
      <c r="T33" s="1218">
        <v>127602</v>
      </c>
      <c r="U33" s="1219">
        <f>V33/T33</f>
        <v>0.9900001567373552</v>
      </c>
      <c r="V33" s="1248">
        <v>126326</v>
      </c>
      <c r="W33" s="1220">
        <v>0.93700000000000006</v>
      </c>
      <c r="X33" s="1251">
        <f>1-W33</f>
        <v>6.2999999999999945E-2</v>
      </c>
      <c r="Y33" s="1218">
        <f>$V33*W33</f>
        <v>118367.46200000001</v>
      </c>
      <c r="Z33" s="1248">
        <f>$V33*X33</f>
        <v>7958.5379999999932</v>
      </c>
      <c r="AB33" s="1262">
        <f t="shared" ref="AB33:AB38" si="9">E25</f>
        <v>0</v>
      </c>
      <c r="AC33" s="1259">
        <f>(AB33+Z33)/(V33+AB33)</f>
        <v>6.2999999999999945E-2</v>
      </c>
    </row>
    <row r="34" spans="1:29" ht="15" thickBot="1" x14ac:dyDescent="0.35">
      <c r="A34" s="290">
        <v>2017</v>
      </c>
      <c r="B34" s="1119">
        <f t="shared" si="7"/>
        <v>45068</v>
      </c>
      <c r="C34" s="1103">
        <v>0.41299999999999998</v>
      </c>
      <c r="D34" s="1104">
        <f t="shared" si="6"/>
        <v>18613.083999999999</v>
      </c>
      <c r="E34" s="1106">
        <f t="shared" si="8"/>
        <v>26454.915999999997</v>
      </c>
      <c r="F34" s="1116">
        <f t="shared" si="5"/>
        <v>0.58699999999999997</v>
      </c>
      <c r="G34" s="1101">
        <v>46432</v>
      </c>
      <c r="H34" s="1074">
        <v>10192</v>
      </c>
      <c r="J34" s="292" t="s">
        <v>426</v>
      </c>
      <c r="K34" s="999"/>
      <c r="L34" s="1001">
        <f>MAX($L$20,$L$21,$L$22,$L$24,$L$27,$L$29)</f>
        <v>0.98099999999999998</v>
      </c>
      <c r="M34" s="1000">
        <f>MAX($M$17:$M$31)</f>
        <v>0.22899999999999998</v>
      </c>
      <c r="N34" s="293"/>
      <c r="S34" s="1213">
        <v>2009</v>
      </c>
      <c r="T34" s="1081">
        <v>64141</v>
      </c>
      <c r="U34" s="1126">
        <f t="shared" ref="U34:U46" si="10">V34/T34</f>
        <v>0.99800439656382034</v>
      </c>
      <c r="V34" s="1255">
        <v>64013</v>
      </c>
      <c r="W34" s="1221">
        <v>0.875</v>
      </c>
      <c r="X34" s="1252">
        <f t="shared" ref="X34:X46" si="11">1-W34</f>
        <v>0.125</v>
      </c>
      <c r="Y34" s="1218">
        <f t="shared" ref="Y34:Y46" si="12">$V34*W34</f>
        <v>56011.375</v>
      </c>
      <c r="Z34" s="1248">
        <f t="shared" ref="Z34:Z46" si="13">$V34*X34</f>
        <v>8001.625</v>
      </c>
      <c r="AB34" s="1263">
        <f t="shared" si="9"/>
        <v>0</v>
      </c>
      <c r="AC34" s="1260">
        <f t="shared" ref="AC34:AC46" si="14">(AB34+Z34)/(V34+AB34)</f>
        <v>0.125</v>
      </c>
    </row>
    <row r="35" spans="1:29" x14ac:dyDescent="0.3">
      <c r="A35" s="290">
        <v>2018</v>
      </c>
      <c r="B35" s="1119">
        <f t="shared" si="7"/>
        <v>56958</v>
      </c>
      <c r="C35" s="1103">
        <v>0.317</v>
      </c>
      <c r="D35" s="1104">
        <f t="shared" si="6"/>
        <v>18055.686000000002</v>
      </c>
      <c r="E35" s="1106">
        <f t="shared" si="8"/>
        <v>38902.314000000006</v>
      </c>
      <c r="F35" s="1116">
        <f t="shared" si="5"/>
        <v>0.68300000000000005</v>
      </c>
      <c r="S35" s="1213">
        <v>2010</v>
      </c>
      <c r="T35" s="1081">
        <v>209974</v>
      </c>
      <c r="U35" s="1126">
        <f t="shared" si="10"/>
        <v>0.99799975235029104</v>
      </c>
      <c r="V35" s="1255">
        <v>209554</v>
      </c>
      <c r="W35" s="1221">
        <v>0.96699999999999997</v>
      </c>
      <c r="X35" s="1252">
        <f t="shared" si="11"/>
        <v>3.3000000000000029E-2</v>
      </c>
      <c r="Y35" s="1218">
        <f t="shared" si="12"/>
        <v>202638.71799999999</v>
      </c>
      <c r="Z35" s="1248">
        <f t="shared" si="13"/>
        <v>6915.2820000000065</v>
      </c>
      <c r="AB35" s="1263">
        <f t="shared" si="9"/>
        <v>0</v>
      </c>
      <c r="AC35" s="1260">
        <f t="shared" si="14"/>
        <v>3.3000000000000029E-2</v>
      </c>
    </row>
    <row r="36" spans="1:29" x14ac:dyDescent="0.3">
      <c r="A36" s="290">
        <v>2019</v>
      </c>
      <c r="B36" s="1119">
        <f t="shared" si="7"/>
        <v>40025</v>
      </c>
      <c r="C36" s="1103">
        <v>0.76800000000000002</v>
      </c>
      <c r="D36" s="1104">
        <f t="shared" si="6"/>
        <v>30739.200000000001</v>
      </c>
      <c r="E36" s="1106">
        <f t="shared" si="8"/>
        <v>9285.7999999999993</v>
      </c>
      <c r="F36" s="1116">
        <f t="shared" si="5"/>
        <v>0.23199999999999998</v>
      </c>
      <c r="S36" s="1213">
        <v>2011</v>
      </c>
      <c r="T36" s="1081">
        <v>77650</v>
      </c>
      <c r="U36" s="1126">
        <f t="shared" si="10"/>
        <v>0.98900193174500961</v>
      </c>
      <c r="V36" s="1255">
        <v>76796</v>
      </c>
      <c r="W36" s="1221">
        <v>0.95899999999999996</v>
      </c>
      <c r="X36" s="1252">
        <f t="shared" si="11"/>
        <v>4.1000000000000036E-2</v>
      </c>
      <c r="Y36" s="1218">
        <f t="shared" si="12"/>
        <v>73647.364000000001</v>
      </c>
      <c r="Z36" s="1248">
        <f t="shared" si="13"/>
        <v>3148.6360000000027</v>
      </c>
      <c r="AB36" s="1263">
        <f t="shared" si="9"/>
        <v>1479.7500000000014</v>
      </c>
      <c r="AC36" s="1260">
        <f t="shared" si="14"/>
        <v>5.9129245008831009E-2</v>
      </c>
    </row>
    <row r="37" spans="1:29" x14ac:dyDescent="0.3">
      <c r="A37" s="290">
        <v>2020</v>
      </c>
      <c r="B37" s="1119">
        <f t="shared" si="7"/>
        <v>58813</v>
      </c>
      <c r="C37" s="1103">
        <v>0.53600000000000003</v>
      </c>
      <c r="D37" s="1104">
        <f t="shared" si="6"/>
        <v>31523.768000000004</v>
      </c>
      <c r="E37" s="1106">
        <f t="shared" si="8"/>
        <v>27289.231999999996</v>
      </c>
      <c r="F37" s="1116">
        <f t="shared" si="5"/>
        <v>0.46399999999999991</v>
      </c>
      <c r="S37" s="1213">
        <v>2012</v>
      </c>
      <c r="T37" s="1081">
        <v>94071</v>
      </c>
      <c r="U37" s="1126">
        <f t="shared" si="10"/>
        <v>1</v>
      </c>
      <c r="V37" s="1255">
        <v>94071</v>
      </c>
      <c r="W37" s="1221">
        <v>0.97499999999999998</v>
      </c>
      <c r="X37" s="1252">
        <f t="shared" si="11"/>
        <v>2.5000000000000022E-2</v>
      </c>
      <c r="Y37" s="1218">
        <f t="shared" si="12"/>
        <v>91719.224999999991</v>
      </c>
      <c r="Z37" s="1248">
        <f t="shared" si="13"/>
        <v>2351.7750000000019</v>
      </c>
      <c r="AB37" s="1263">
        <f t="shared" si="9"/>
        <v>10994.400000000001</v>
      </c>
      <c r="AC37" s="1260">
        <f t="shared" si="14"/>
        <v>0.12702730870486387</v>
      </c>
    </row>
    <row r="38" spans="1:29" x14ac:dyDescent="0.3">
      <c r="A38" s="290">
        <v>2021</v>
      </c>
      <c r="B38" s="1119">
        <f t="shared" si="7"/>
        <v>55496</v>
      </c>
      <c r="C38" s="1103">
        <v>0.85099999999999998</v>
      </c>
      <c r="D38" s="1104">
        <f t="shared" si="6"/>
        <v>47227.095999999998</v>
      </c>
      <c r="E38" s="1106">
        <f t="shared" si="8"/>
        <v>8268.9040000000005</v>
      </c>
      <c r="F38" s="1116">
        <f t="shared" si="5"/>
        <v>0.14900000000000002</v>
      </c>
      <c r="S38" s="1213">
        <v>2013</v>
      </c>
      <c r="T38" s="1081">
        <v>36557</v>
      </c>
      <c r="U38" s="1126">
        <f t="shared" si="10"/>
        <v>0.98200071121809773</v>
      </c>
      <c r="V38" s="1255">
        <v>35899</v>
      </c>
      <c r="W38" s="1221">
        <v>0.77100000000000002</v>
      </c>
      <c r="X38" s="1252">
        <f t="shared" si="11"/>
        <v>0.22899999999999998</v>
      </c>
      <c r="Y38" s="1218">
        <f t="shared" si="12"/>
        <v>27678.129000000001</v>
      </c>
      <c r="Z38" s="1248">
        <f t="shared" si="13"/>
        <v>8220.8709999999992</v>
      </c>
      <c r="AB38" s="1263">
        <f t="shared" si="9"/>
        <v>8910.3210000000017</v>
      </c>
      <c r="AC38" s="1260">
        <f t="shared" si="14"/>
        <v>0.38231313525148042</v>
      </c>
    </row>
    <row r="39" spans="1:29" x14ac:dyDescent="0.3">
      <c r="A39" s="290">
        <v>2022</v>
      </c>
      <c r="B39" s="813"/>
      <c r="C39" s="813"/>
      <c r="D39" s="813"/>
      <c r="E39" s="1107"/>
      <c r="F39" s="1117"/>
      <c r="G39" s="1067"/>
      <c r="H39" s="1067"/>
      <c r="S39" s="1213">
        <v>2014</v>
      </c>
      <c r="T39" s="1081">
        <v>146701</v>
      </c>
      <c r="U39" s="1126">
        <f t="shared" si="10"/>
        <v>1</v>
      </c>
      <c r="V39" s="1255">
        <v>146701</v>
      </c>
      <c r="W39" s="1221">
        <v>0.97399999999999998</v>
      </c>
      <c r="X39" s="1252">
        <f t="shared" si="11"/>
        <v>2.6000000000000023E-2</v>
      </c>
      <c r="Y39" s="1218">
        <f t="shared" si="12"/>
        <v>142886.774</v>
      </c>
      <c r="Z39" s="1248">
        <f t="shared" si="13"/>
        <v>3814.2260000000033</v>
      </c>
      <c r="AB39" s="1263">
        <f t="shared" ref="AB39:AB46" si="15">E31+F62</f>
        <v>47789.770999999993</v>
      </c>
      <c r="AC39" s="1260">
        <f t="shared" si="14"/>
        <v>0.26532876976460745</v>
      </c>
    </row>
    <row r="40" spans="1:29" ht="15" thickBot="1" x14ac:dyDescent="0.35">
      <c r="A40" s="292">
        <v>2023</v>
      </c>
      <c r="B40" s="999"/>
      <c r="C40" s="999"/>
      <c r="D40" s="999"/>
      <c r="E40" s="999"/>
      <c r="F40" s="1118"/>
      <c r="G40" s="1067"/>
      <c r="H40" s="1067"/>
      <c r="S40" s="1213">
        <v>2015</v>
      </c>
      <c r="T40" s="1081">
        <v>10443</v>
      </c>
      <c r="U40" s="1126">
        <f t="shared" si="10"/>
        <v>1</v>
      </c>
      <c r="V40" s="1255">
        <v>10443</v>
      </c>
      <c r="W40" s="1221">
        <v>0.98</v>
      </c>
      <c r="X40" s="1252">
        <f t="shared" si="11"/>
        <v>2.0000000000000018E-2</v>
      </c>
      <c r="Y40" s="1218">
        <f t="shared" si="12"/>
        <v>10234.14</v>
      </c>
      <c r="Z40" s="1248">
        <f t="shared" si="13"/>
        <v>208.86000000000018</v>
      </c>
      <c r="AB40" s="1263">
        <f t="shared" si="15"/>
        <v>14595.039000000001</v>
      </c>
      <c r="AC40" s="1260">
        <f t="shared" si="14"/>
        <v>0.5912563280215356</v>
      </c>
    </row>
    <row r="41" spans="1:29" ht="15" thickBot="1" x14ac:dyDescent="0.35">
      <c r="A41" s="1068" t="s">
        <v>1266</v>
      </c>
      <c r="S41" s="1213">
        <v>2016</v>
      </c>
      <c r="T41" s="1081">
        <v>55190</v>
      </c>
      <c r="U41" s="1126">
        <f t="shared" si="10"/>
        <v>0.99400253669142957</v>
      </c>
      <c r="V41" s="1255">
        <v>54859</v>
      </c>
      <c r="W41" s="1221">
        <v>0.99299999999999999</v>
      </c>
      <c r="X41" s="1252">
        <f t="shared" si="11"/>
        <v>7.0000000000000062E-3</v>
      </c>
      <c r="Y41" s="1218">
        <f t="shared" si="12"/>
        <v>54474.987000000001</v>
      </c>
      <c r="Z41" s="1248">
        <f t="shared" si="13"/>
        <v>384.01300000000032</v>
      </c>
      <c r="AB41" s="1263">
        <f t="shared" si="15"/>
        <v>35753.330999999998</v>
      </c>
      <c r="AC41" s="1260">
        <f t="shared" si="14"/>
        <v>0.39881265166878882</v>
      </c>
    </row>
    <row r="42" spans="1:29" ht="26.7" customHeight="1" thickBot="1" x14ac:dyDescent="0.35">
      <c r="A42" s="1079" t="s">
        <v>1267</v>
      </c>
      <c r="B42" s="1079" t="s">
        <v>1268</v>
      </c>
      <c r="C42" s="1079" t="s">
        <v>822</v>
      </c>
      <c r="D42" s="1079" t="s">
        <v>823</v>
      </c>
      <c r="E42" s="1079" t="s">
        <v>1269</v>
      </c>
      <c r="F42" s="1085" t="s">
        <v>1270</v>
      </c>
      <c r="S42" s="1213">
        <v>2017</v>
      </c>
      <c r="T42" s="1081">
        <v>10040</v>
      </c>
      <c r="U42" s="1126">
        <f t="shared" si="10"/>
        <v>0.98296812749003981</v>
      </c>
      <c r="V42" s="1255">
        <v>9869</v>
      </c>
      <c r="W42" s="1221">
        <v>1</v>
      </c>
      <c r="X42" s="1252">
        <f t="shared" si="11"/>
        <v>0</v>
      </c>
      <c r="Y42" s="1218">
        <f t="shared" si="12"/>
        <v>9869</v>
      </c>
      <c r="Z42" s="1248">
        <f t="shared" si="13"/>
        <v>0</v>
      </c>
      <c r="AB42" s="1263">
        <f t="shared" si="15"/>
        <v>26480.591999999997</v>
      </c>
      <c r="AC42" s="1260">
        <f t="shared" si="14"/>
        <v>0.72849764035865927</v>
      </c>
    </row>
    <row r="43" spans="1:29" ht="28.8" x14ac:dyDescent="0.3">
      <c r="A43" s="1089" t="s">
        <v>1271</v>
      </c>
      <c r="B43" s="1082">
        <v>2011</v>
      </c>
      <c r="C43" s="1083">
        <v>542579</v>
      </c>
      <c r="D43" s="1120">
        <v>49325</v>
      </c>
      <c r="E43" s="1082" t="s">
        <v>1272</v>
      </c>
      <c r="F43" s="1086" t="s">
        <v>1273</v>
      </c>
      <c r="G43" s="988" t="s">
        <v>1274</v>
      </c>
      <c r="S43" s="1213">
        <v>2018</v>
      </c>
      <c r="T43" s="1081">
        <v>31001</v>
      </c>
      <c r="U43" s="1126">
        <f t="shared" si="10"/>
        <v>0.97600077416857522</v>
      </c>
      <c r="V43" s="1255">
        <v>30257</v>
      </c>
      <c r="W43" s="1221">
        <v>0.998</v>
      </c>
      <c r="X43" s="1252">
        <f t="shared" si="11"/>
        <v>2.0000000000000018E-3</v>
      </c>
      <c r="Y43" s="1218">
        <f t="shared" si="12"/>
        <v>30196.486000000001</v>
      </c>
      <c r="Z43" s="1248">
        <f t="shared" si="13"/>
        <v>60.514000000000053</v>
      </c>
      <c r="AB43" s="1263">
        <f t="shared" si="15"/>
        <v>39659.756000000008</v>
      </c>
      <c r="AC43" s="1260">
        <f t="shared" si="14"/>
        <v>0.5681080226319426</v>
      </c>
    </row>
    <row r="44" spans="1:29" ht="43.2" x14ac:dyDescent="0.3">
      <c r="A44" s="1090" t="s">
        <v>1271</v>
      </c>
      <c r="B44" s="1080">
        <v>2012</v>
      </c>
      <c r="C44" s="1081">
        <v>403132</v>
      </c>
      <c r="D44" s="1121">
        <v>36648</v>
      </c>
      <c r="E44" s="1080" t="s">
        <v>1275</v>
      </c>
      <c r="F44" s="1087" t="s">
        <v>1276</v>
      </c>
      <c r="G44" s="988" t="s">
        <v>1277</v>
      </c>
      <c r="S44" s="1213">
        <v>2019</v>
      </c>
      <c r="T44" s="1081">
        <v>13108</v>
      </c>
      <c r="U44" s="1126">
        <f t="shared" si="10"/>
        <v>0.96597497711321334</v>
      </c>
      <c r="V44" s="1255">
        <v>12662</v>
      </c>
      <c r="W44" s="1223">
        <v>0.98</v>
      </c>
      <c r="X44" s="1253">
        <f t="shared" si="11"/>
        <v>2.0000000000000018E-2</v>
      </c>
      <c r="Y44" s="1224">
        <f t="shared" si="12"/>
        <v>12408.76</v>
      </c>
      <c r="Z44" s="1249">
        <f t="shared" si="13"/>
        <v>253.24000000000024</v>
      </c>
      <c r="AA44" s="1225" t="s">
        <v>1278</v>
      </c>
      <c r="AB44" s="1263">
        <f t="shared" si="15"/>
        <v>10300.919</v>
      </c>
      <c r="AC44" s="1260">
        <f t="shared" si="14"/>
        <v>0.45961748155798482</v>
      </c>
    </row>
    <row r="45" spans="1:29" ht="28.8" x14ac:dyDescent="0.3">
      <c r="A45" s="1090" t="s">
        <v>1271</v>
      </c>
      <c r="B45" s="1080">
        <v>2013</v>
      </c>
      <c r="C45" s="1081">
        <v>323477</v>
      </c>
      <c r="D45" s="1121">
        <v>29407</v>
      </c>
      <c r="E45" s="1080" t="s">
        <v>1279</v>
      </c>
      <c r="F45" s="1087" t="s">
        <v>1280</v>
      </c>
      <c r="G45" s="988" t="s">
        <v>1281</v>
      </c>
      <c r="S45" s="1213">
        <v>2020</v>
      </c>
      <c r="T45" s="1081">
        <v>48138</v>
      </c>
      <c r="U45" s="1126">
        <f t="shared" si="10"/>
        <v>0.99700860027421168</v>
      </c>
      <c r="V45" s="1255">
        <v>47994</v>
      </c>
      <c r="W45" s="1221">
        <v>0.97399999999999998</v>
      </c>
      <c r="X45" s="1252">
        <f t="shared" si="11"/>
        <v>2.6000000000000023E-2</v>
      </c>
      <c r="Y45" s="1218">
        <f t="shared" si="12"/>
        <v>46746.155999999995</v>
      </c>
      <c r="Z45" s="1248">
        <f t="shared" si="13"/>
        <v>1247.8440000000012</v>
      </c>
      <c r="AB45" s="1263">
        <f t="shared" si="15"/>
        <v>38309.383999999998</v>
      </c>
      <c r="AC45" s="1260">
        <f t="shared" si="14"/>
        <v>0.45835083361273538</v>
      </c>
    </row>
    <row r="46" spans="1:29" ht="29.4" thickBot="1" x14ac:dyDescent="0.35">
      <c r="A46" s="1090" t="s">
        <v>1271</v>
      </c>
      <c r="B46" s="1080">
        <v>2014</v>
      </c>
      <c r="C46" s="1081">
        <v>640288</v>
      </c>
      <c r="D46" s="1121">
        <v>58208</v>
      </c>
      <c r="E46" s="1080" t="s">
        <v>1282</v>
      </c>
      <c r="F46" s="1087" t="s">
        <v>1283</v>
      </c>
      <c r="G46" s="988" t="s">
        <v>1284</v>
      </c>
      <c r="S46" s="1214">
        <v>2021</v>
      </c>
      <c r="T46" s="1215">
        <v>10699</v>
      </c>
      <c r="U46" s="1216">
        <f t="shared" si="10"/>
        <v>0.98196093092812409</v>
      </c>
      <c r="V46" s="1256">
        <v>10506</v>
      </c>
      <c r="W46" s="1222">
        <v>0.94199999999999995</v>
      </c>
      <c r="X46" s="1254">
        <f t="shared" si="11"/>
        <v>5.8000000000000052E-2</v>
      </c>
      <c r="Y46" s="1218">
        <f t="shared" si="12"/>
        <v>9896.652</v>
      </c>
      <c r="Z46" s="1248">
        <f t="shared" si="13"/>
        <v>609.34800000000052</v>
      </c>
      <c r="AB46" s="1264">
        <f t="shared" si="15"/>
        <v>9001.5869999999995</v>
      </c>
      <c r="AC46" s="1261">
        <f t="shared" si="14"/>
        <v>0.4926767723757941</v>
      </c>
    </row>
    <row r="47" spans="1:29" ht="28.8" x14ac:dyDescent="0.3">
      <c r="A47" s="1090" t="s">
        <v>1271</v>
      </c>
      <c r="B47" s="1080">
        <v>2015</v>
      </c>
      <c r="C47" s="1081">
        <v>642589</v>
      </c>
      <c r="D47" s="1121">
        <v>58417</v>
      </c>
      <c r="E47" s="1080" t="s">
        <v>1285</v>
      </c>
      <c r="F47" s="1087" t="s">
        <v>1286</v>
      </c>
      <c r="G47" s="988" t="s">
        <v>1287</v>
      </c>
      <c r="X47" s="1247"/>
    </row>
    <row r="48" spans="1:29" ht="28.8" x14ac:dyDescent="0.3">
      <c r="A48" s="1090" t="s">
        <v>1271</v>
      </c>
      <c r="B48" s="1080">
        <v>2016</v>
      </c>
      <c r="C48" s="1081">
        <v>858287</v>
      </c>
      <c r="D48" s="1121">
        <v>78026</v>
      </c>
      <c r="E48" s="1080" t="s">
        <v>1288</v>
      </c>
      <c r="F48" s="1087" t="s">
        <v>1289</v>
      </c>
      <c r="G48" s="988" t="s">
        <v>1290</v>
      </c>
    </row>
    <row r="49" spans="1:7" ht="28.8" x14ac:dyDescent="0.3">
      <c r="A49" s="1090" t="s">
        <v>1271</v>
      </c>
      <c r="B49" s="1080">
        <v>2017</v>
      </c>
      <c r="C49" s="1081">
        <v>495745</v>
      </c>
      <c r="D49" s="1121">
        <v>45068</v>
      </c>
      <c r="E49" s="1080" t="s">
        <v>1291</v>
      </c>
      <c r="F49" s="1087" t="s">
        <v>1292</v>
      </c>
      <c r="G49" s="988" t="s">
        <v>1293</v>
      </c>
    </row>
    <row r="50" spans="1:7" ht="28.8" x14ac:dyDescent="0.3">
      <c r="A50" s="1090" t="s">
        <v>1271</v>
      </c>
      <c r="B50" s="1080">
        <v>2018</v>
      </c>
      <c r="C50" s="1081">
        <v>627540</v>
      </c>
      <c r="D50" s="1121">
        <v>56958</v>
      </c>
      <c r="E50" s="1080" t="s">
        <v>1294</v>
      </c>
      <c r="F50" s="1087" t="s">
        <v>1295</v>
      </c>
      <c r="G50" s="988" t="s">
        <v>1296</v>
      </c>
    </row>
    <row r="51" spans="1:7" ht="28.8" x14ac:dyDescent="0.3">
      <c r="A51" s="1090" t="s">
        <v>1271</v>
      </c>
      <c r="B51" s="1080">
        <v>2019</v>
      </c>
      <c r="C51" s="1081">
        <v>440273</v>
      </c>
      <c r="D51" s="1121">
        <v>40025</v>
      </c>
      <c r="E51" s="1080" t="s">
        <v>1297</v>
      </c>
      <c r="F51" s="1087" t="s">
        <v>1298</v>
      </c>
      <c r="G51" s="988" t="s">
        <v>1299</v>
      </c>
    </row>
    <row r="52" spans="1:7" ht="28.8" x14ac:dyDescent="0.3">
      <c r="A52" s="1090" t="s">
        <v>1271</v>
      </c>
      <c r="B52" s="1080">
        <v>2020</v>
      </c>
      <c r="C52" s="1081">
        <v>646948</v>
      </c>
      <c r="D52" s="1121">
        <v>58813</v>
      </c>
      <c r="E52" s="1080" t="s">
        <v>1300</v>
      </c>
      <c r="F52" s="1087" t="s">
        <v>1301</v>
      </c>
      <c r="G52" s="988" t="s">
        <v>1302</v>
      </c>
    </row>
    <row r="53" spans="1:7" ht="28.8" x14ac:dyDescent="0.3">
      <c r="A53" s="1096" t="s">
        <v>1271</v>
      </c>
      <c r="B53" s="1097">
        <v>2021</v>
      </c>
      <c r="C53" s="1098">
        <v>610455</v>
      </c>
      <c r="D53" s="1122">
        <v>55496</v>
      </c>
      <c r="E53" s="1097" t="s">
        <v>1303</v>
      </c>
      <c r="F53" s="1099" t="s">
        <v>1304</v>
      </c>
      <c r="G53" s="988" t="s">
        <v>1305</v>
      </c>
    </row>
    <row r="54" spans="1:7" ht="28.8" x14ac:dyDescent="0.3">
      <c r="A54" s="1090" t="s">
        <v>1271</v>
      </c>
      <c r="B54" s="1080">
        <v>2022</v>
      </c>
      <c r="C54" s="1080"/>
      <c r="D54" s="1123"/>
      <c r="E54" s="1080"/>
      <c r="F54" s="1087"/>
    </row>
    <row r="55" spans="1:7" ht="28.8" x14ac:dyDescent="0.3">
      <c r="A55" s="1090" t="s">
        <v>1271</v>
      </c>
      <c r="B55" s="1080">
        <v>2023</v>
      </c>
      <c r="C55" s="1080"/>
      <c r="D55" s="1123"/>
      <c r="E55" s="1080"/>
      <c r="F55" s="1087"/>
    </row>
    <row r="56" spans="1:7" ht="29.4" thickBot="1" x14ac:dyDescent="0.35">
      <c r="A56" s="1091" t="s">
        <v>1271</v>
      </c>
      <c r="B56" s="1084">
        <v>2024</v>
      </c>
      <c r="C56" s="1084"/>
      <c r="D56" s="1124"/>
      <c r="E56" s="1084"/>
      <c r="F56" s="1088"/>
    </row>
    <row r="57" spans="1:7" ht="15" thickBot="1" x14ac:dyDescent="0.35">
      <c r="A57" s="1205"/>
      <c r="B57" s="1095"/>
      <c r="C57" s="1095"/>
      <c r="D57" s="1206"/>
      <c r="E57" s="1207"/>
      <c r="F57" s="1208"/>
    </row>
    <row r="58" spans="1:7" ht="15" thickBot="1" x14ac:dyDescent="0.35">
      <c r="A58" s="1201" t="s">
        <v>1306</v>
      </c>
      <c r="B58" s="1202"/>
      <c r="C58" s="1202"/>
      <c r="D58" s="1202"/>
      <c r="E58" s="1203" t="s">
        <v>1307</v>
      </c>
      <c r="F58" s="1204" t="s">
        <v>1308</v>
      </c>
    </row>
    <row r="59" spans="1:7" x14ac:dyDescent="0.3">
      <c r="A59" s="1200" t="s">
        <v>1309</v>
      </c>
      <c r="B59" s="1198">
        <v>2011</v>
      </c>
      <c r="C59" s="1198"/>
      <c r="D59" s="1198"/>
      <c r="E59" s="1198"/>
      <c r="F59" s="1199"/>
    </row>
    <row r="60" spans="1:7" x14ac:dyDescent="0.3">
      <c r="A60" s="1092" t="s">
        <v>1309</v>
      </c>
      <c r="B60" s="1080">
        <v>2012</v>
      </c>
      <c r="C60" s="1080"/>
      <c r="D60" s="1080"/>
      <c r="E60" s="1080"/>
      <c r="F60" s="1129"/>
    </row>
    <row r="61" spans="1:7" x14ac:dyDescent="0.3">
      <c r="A61" s="1092" t="s">
        <v>1309</v>
      </c>
      <c r="B61" s="1080">
        <v>2013</v>
      </c>
      <c r="C61" s="1080"/>
      <c r="D61" s="1080"/>
      <c r="E61" s="1080"/>
      <c r="F61" s="1129"/>
    </row>
    <row r="62" spans="1:7" x14ac:dyDescent="0.3">
      <c r="A62" s="1092" t="s">
        <v>1309</v>
      </c>
      <c r="B62" s="1080">
        <v>2014</v>
      </c>
      <c r="C62" s="1081">
        <v>2805</v>
      </c>
      <c r="D62" s="1080">
        <v>255</v>
      </c>
      <c r="E62" s="1125">
        <v>8.3000000000000004E-2</v>
      </c>
      <c r="F62" s="1130">
        <f t="shared" ref="F62:F67" si="16">D62*(1-E62)</f>
        <v>233.83500000000001</v>
      </c>
    </row>
    <row r="63" spans="1:7" x14ac:dyDescent="0.3">
      <c r="A63" s="1092" t="s">
        <v>1309</v>
      </c>
      <c r="B63" s="1080">
        <v>2015</v>
      </c>
      <c r="C63" s="1081">
        <v>6896</v>
      </c>
      <c r="D63" s="1080">
        <v>627</v>
      </c>
      <c r="E63" s="1125">
        <v>8.3000000000000004E-2</v>
      </c>
      <c r="F63" s="1130">
        <f t="shared" si="16"/>
        <v>574.95900000000006</v>
      </c>
    </row>
    <row r="64" spans="1:7" x14ac:dyDescent="0.3">
      <c r="A64" s="1092" t="s">
        <v>1309</v>
      </c>
      <c r="B64" s="1080">
        <v>2016</v>
      </c>
      <c r="C64" s="1080">
        <v>206</v>
      </c>
      <c r="D64" s="1080">
        <v>19</v>
      </c>
      <c r="E64" s="1125">
        <v>8.3000000000000004E-2</v>
      </c>
      <c r="F64" s="1130">
        <f t="shared" si="16"/>
        <v>17.423000000000002</v>
      </c>
    </row>
    <row r="65" spans="1:6" x14ac:dyDescent="0.3">
      <c r="A65" s="1092" t="s">
        <v>1309</v>
      </c>
      <c r="B65" s="1080">
        <v>2017</v>
      </c>
      <c r="C65" s="1080">
        <v>309</v>
      </c>
      <c r="D65" s="1080">
        <v>28</v>
      </c>
      <c r="E65" s="1125">
        <v>8.3000000000000004E-2</v>
      </c>
      <c r="F65" s="1130">
        <f t="shared" si="16"/>
        <v>25.676000000000002</v>
      </c>
    </row>
    <row r="66" spans="1:6" x14ac:dyDescent="0.3">
      <c r="A66" s="1092" t="s">
        <v>1309</v>
      </c>
      <c r="B66" s="1080">
        <v>2018</v>
      </c>
      <c r="C66" s="1081">
        <v>9083</v>
      </c>
      <c r="D66" s="1080">
        <v>826</v>
      </c>
      <c r="E66" s="1125">
        <v>8.3000000000000004E-2</v>
      </c>
      <c r="F66" s="1130">
        <f t="shared" si="16"/>
        <v>757.44200000000001</v>
      </c>
    </row>
    <row r="67" spans="1:6" x14ac:dyDescent="0.3">
      <c r="A67" s="1092" t="s">
        <v>1309</v>
      </c>
      <c r="B67" s="1080">
        <v>2019</v>
      </c>
      <c r="C67" s="1081">
        <v>12182</v>
      </c>
      <c r="D67" s="1081">
        <v>1107</v>
      </c>
      <c r="E67" s="1125">
        <v>8.3000000000000004E-2</v>
      </c>
      <c r="F67" s="1130">
        <f t="shared" si="16"/>
        <v>1015.119</v>
      </c>
    </row>
    <row r="68" spans="1:6" x14ac:dyDescent="0.3">
      <c r="A68" s="1092" t="s">
        <v>1309</v>
      </c>
      <c r="B68" s="1080">
        <v>2020</v>
      </c>
      <c r="C68" s="1081">
        <v>122698</v>
      </c>
      <c r="D68" s="1081">
        <v>11154</v>
      </c>
      <c r="E68" s="1126">
        <v>1.2E-2</v>
      </c>
      <c r="F68" s="1130">
        <f>D68*(1-E68)</f>
        <v>11020.152</v>
      </c>
    </row>
    <row r="69" spans="1:6" x14ac:dyDescent="0.3">
      <c r="A69" s="1092" t="s">
        <v>1309</v>
      </c>
      <c r="B69" s="1080">
        <v>2021</v>
      </c>
      <c r="C69" s="1081">
        <v>8789</v>
      </c>
      <c r="D69" s="1080">
        <v>799</v>
      </c>
      <c r="E69" s="1126">
        <v>8.3000000000000004E-2</v>
      </c>
      <c r="F69" s="1130">
        <f>D69*(1-E69)</f>
        <v>732.68299999999999</v>
      </c>
    </row>
    <row r="70" spans="1:6" x14ac:dyDescent="0.3">
      <c r="A70" s="1092" t="s">
        <v>1309</v>
      </c>
      <c r="B70" s="1080">
        <v>2022</v>
      </c>
      <c r="C70" s="1127"/>
      <c r="D70" s="1127"/>
      <c r="E70" s="1127"/>
      <c r="F70" s="1131"/>
    </row>
    <row r="71" spans="1:6" x14ac:dyDescent="0.3">
      <c r="A71" s="1092" t="s">
        <v>1309</v>
      </c>
      <c r="B71" s="1080">
        <v>2023</v>
      </c>
      <c r="C71" s="1127"/>
      <c r="D71" s="1127"/>
      <c r="E71" s="1127"/>
      <c r="F71" s="1131"/>
    </row>
    <row r="72" spans="1:6" ht="15" thickBot="1" x14ac:dyDescent="0.35">
      <c r="A72" s="1093" t="s">
        <v>1309</v>
      </c>
      <c r="B72" s="1084">
        <v>2024</v>
      </c>
      <c r="C72" s="1128"/>
      <c r="D72" s="1128"/>
      <c r="E72" s="1128"/>
      <c r="F72" s="1132"/>
    </row>
    <row r="73" spans="1:6" x14ac:dyDescent="0.3">
      <c r="C73" t="s">
        <v>822</v>
      </c>
      <c r="D73" t="s">
        <v>1242</v>
      </c>
      <c r="E73" t="s">
        <v>1307</v>
      </c>
      <c r="F73" t="s">
        <v>1308</v>
      </c>
    </row>
  </sheetData>
  <sheetProtection sheet="1" objects="1" scenarios="1"/>
  <mergeCells count="2">
    <mergeCell ref="A13:D14"/>
    <mergeCell ref="E14:G15"/>
  </mergeCells>
  <phoneticPr fontId="58" type="noConversion"/>
  <conditionalFormatting sqref="AC33:AC46">
    <cfRule type="colorScale" priority="1">
      <colorScale>
        <cfvo type="min"/>
        <cfvo type="max"/>
        <color rgb="FFFCFCFF"/>
        <color rgb="FFF8696B"/>
      </colorScale>
    </cfRule>
  </conditionalFormatting>
  <pageMargins left="0.7" right="0.7" top="0.75" bottom="0.75" header="0.3" footer="0.3"/>
  <drawing r:id="rId1"/>
  <legacyDrawing r:id="rId2"/>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EC8AA3-B43C-43FC-B9F2-BB1EBEF1E5C8}">
  <sheetPr codeName="Sheet22">
    <tabColor theme="6" tint="-0.249977111117893"/>
  </sheetPr>
  <dimension ref="A1:H38"/>
  <sheetViews>
    <sheetView workbookViewId="0">
      <pane ySplit="1" topLeftCell="A2" activePane="bottomLeft" state="frozen"/>
      <selection activeCell="G8" sqref="G8"/>
      <selection pane="bottomLeft" activeCell="B31" sqref="B31"/>
    </sheetView>
  </sheetViews>
  <sheetFormatPr defaultRowHeight="14.4" x14ac:dyDescent="0.3"/>
  <cols>
    <col min="1" max="2" width="9.6640625" bestFit="1" customWidth="1"/>
    <col min="3" max="3" width="13.44140625" bestFit="1" customWidth="1"/>
  </cols>
  <sheetData>
    <row r="1" spans="1:8" x14ac:dyDescent="0.3">
      <c r="A1" t="s">
        <v>1150</v>
      </c>
      <c r="B1" t="s">
        <v>1310</v>
      </c>
      <c r="C1" t="s">
        <v>1311</v>
      </c>
      <c r="H1" s="679" t="s">
        <v>1312</v>
      </c>
    </row>
    <row r="2" spans="1:8" x14ac:dyDescent="0.3">
      <c r="A2" s="352">
        <v>1985</v>
      </c>
      <c r="B2" s="678">
        <v>1862581.902</v>
      </c>
    </row>
    <row r="3" spans="1:8" x14ac:dyDescent="0.3">
      <c r="A3" s="352">
        <v>1986</v>
      </c>
      <c r="B3" s="678">
        <v>2420214.3059999999</v>
      </c>
    </row>
    <row r="4" spans="1:8" x14ac:dyDescent="0.3">
      <c r="A4" s="352">
        <v>1987</v>
      </c>
      <c r="B4" s="678">
        <v>1310921.2320000001</v>
      </c>
    </row>
    <row r="5" spans="1:8" x14ac:dyDescent="0.3">
      <c r="A5" s="352">
        <v>1988</v>
      </c>
      <c r="B5" s="678">
        <v>530427.83799999999</v>
      </c>
    </row>
    <row r="6" spans="1:8" x14ac:dyDescent="0.3">
      <c r="A6" s="352">
        <v>1989</v>
      </c>
      <c r="B6" s="678">
        <v>731366.70200000005</v>
      </c>
    </row>
    <row r="7" spans="1:8" x14ac:dyDescent="0.3">
      <c r="A7" s="352">
        <v>1990</v>
      </c>
      <c r="B7" s="678">
        <v>315960.77400000003</v>
      </c>
    </row>
    <row r="8" spans="1:8" x14ac:dyDescent="0.3">
      <c r="A8" s="352">
        <v>1991</v>
      </c>
      <c r="B8" s="678">
        <v>485056.83199999999</v>
      </c>
    </row>
    <row r="9" spans="1:8" x14ac:dyDescent="0.3">
      <c r="A9" s="352">
        <v>1992</v>
      </c>
      <c r="B9" s="678">
        <v>177380.47</v>
      </c>
    </row>
    <row r="10" spans="1:8" x14ac:dyDescent="0.3">
      <c r="A10" s="352">
        <v>1993</v>
      </c>
      <c r="B10" s="678">
        <v>1479534.14</v>
      </c>
    </row>
    <row r="11" spans="1:8" x14ac:dyDescent="0.3">
      <c r="A11" s="352">
        <v>1994</v>
      </c>
      <c r="B11" s="678">
        <v>694473.36800000002</v>
      </c>
    </row>
    <row r="12" spans="1:8" x14ac:dyDescent="0.3">
      <c r="A12" s="352">
        <v>1995</v>
      </c>
      <c r="B12" s="678">
        <v>979216.21</v>
      </c>
    </row>
    <row r="13" spans="1:8" x14ac:dyDescent="0.3">
      <c r="A13" s="352">
        <v>1996</v>
      </c>
      <c r="B13" s="678">
        <v>140210.13</v>
      </c>
    </row>
    <row r="14" spans="1:8" x14ac:dyDescent="0.3">
      <c r="A14" s="352">
        <v>1997</v>
      </c>
      <c r="B14" s="678">
        <v>379994.25400000002</v>
      </c>
    </row>
    <row r="15" spans="1:8" x14ac:dyDescent="0.3">
      <c r="A15" s="352">
        <v>1998</v>
      </c>
      <c r="B15" s="311">
        <v>1209167</v>
      </c>
    </row>
    <row r="16" spans="1:8" x14ac:dyDescent="0.3">
      <c r="A16" s="352">
        <v>1999</v>
      </c>
      <c r="B16" s="311">
        <v>3099743</v>
      </c>
    </row>
    <row r="17" spans="1:2" x14ac:dyDescent="0.3">
      <c r="A17" s="352">
        <v>2000</v>
      </c>
      <c r="B17" s="311">
        <v>281333</v>
      </c>
    </row>
    <row r="18" spans="1:2" x14ac:dyDescent="0.3">
      <c r="A18" s="352">
        <v>2001</v>
      </c>
      <c r="B18" s="311">
        <v>1446600</v>
      </c>
    </row>
    <row r="19" spans="1:2" x14ac:dyDescent="0.3">
      <c r="A19" s="352">
        <v>2002</v>
      </c>
      <c r="B19" s="311">
        <v>2927009</v>
      </c>
    </row>
    <row r="20" spans="1:2" x14ac:dyDescent="0.3">
      <c r="A20" s="352">
        <v>2003</v>
      </c>
      <c r="B20" s="311">
        <v>2080978</v>
      </c>
    </row>
    <row r="21" spans="1:2" x14ac:dyDescent="0.3">
      <c r="A21" s="352">
        <v>2004</v>
      </c>
      <c r="B21" s="311">
        <v>627855</v>
      </c>
    </row>
    <row r="22" spans="1:2" x14ac:dyDescent="0.3">
      <c r="A22" s="352">
        <v>2005</v>
      </c>
      <c r="B22" s="311">
        <v>735805</v>
      </c>
    </row>
    <row r="23" spans="1:2" x14ac:dyDescent="0.3">
      <c r="A23" s="352">
        <v>2006</v>
      </c>
      <c r="B23" s="311">
        <v>1783500</v>
      </c>
    </row>
    <row r="24" spans="1:2" x14ac:dyDescent="0.3">
      <c r="A24" s="352">
        <v>2007</v>
      </c>
      <c r="B24" s="311">
        <v>2026709</v>
      </c>
    </row>
    <row r="25" spans="1:2" x14ac:dyDescent="0.3">
      <c r="A25" s="352">
        <v>2008</v>
      </c>
      <c r="B25" s="311">
        <v>2133694</v>
      </c>
    </row>
    <row r="26" spans="1:2" x14ac:dyDescent="0.3">
      <c r="A26" s="352">
        <v>2009</v>
      </c>
      <c r="B26" s="311">
        <v>875327</v>
      </c>
    </row>
    <row r="27" spans="1:2" x14ac:dyDescent="0.3">
      <c r="A27" s="352">
        <v>2010</v>
      </c>
      <c r="B27" s="311">
        <v>7488306</v>
      </c>
    </row>
    <row r="28" spans="1:2" x14ac:dyDescent="0.3">
      <c r="A28" s="352">
        <v>2011</v>
      </c>
      <c r="B28" s="311">
        <v>929531</v>
      </c>
    </row>
    <row r="29" spans="1:2" x14ac:dyDescent="0.3">
      <c r="A29" s="352">
        <v>2012</v>
      </c>
      <c r="B29" s="311">
        <v>4435800</v>
      </c>
    </row>
    <row r="30" spans="1:2" x14ac:dyDescent="0.3">
      <c r="A30" s="352">
        <v>2013</v>
      </c>
      <c r="B30" s="311">
        <v>2898435</v>
      </c>
    </row>
    <row r="31" spans="1:2" x14ac:dyDescent="0.3">
      <c r="A31" s="352">
        <v>2014</v>
      </c>
      <c r="B31" s="311">
        <v>5002124</v>
      </c>
    </row>
    <row r="32" spans="1:2" x14ac:dyDescent="0.3">
      <c r="A32" s="352">
        <v>2015</v>
      </c>
      <c r="B32" s="311">
        <v>2209546</v>
      </c>
    </row>
    <row r="33" spans="1:2" x14ac:dyDescent="0.3">
      <c r="A33" s="352">
        <v>2016</v>
      </c>
      <c r="B33" s="311">
        <v>7383151</v>
      </c>
    </row>
    <row r="34" spans="1:2" x14ac:dyDescent="0.3">
      <c r="A34" s="352">
        <v>2017</v>
      </c>
      <c r="B34" s="311">
        <v>1885712</v>
      </c>
    </row>
    <row r="35" spans="1:2" x14ac:dyDescent="0.3">
      <c r="A35" s="352">
        <v>2018</v>
      </c>
      <c r="B35" s="311">
        <v>4122796</v>
      </c>
    </row>
    <row r="36" spans="1:2" x14ac:dyDescent="0.3">
      <c r="A36" s="352">
        <v>2019</v>
      </c>
      <c r="B36" s="311">
        <v>912588</v>
      </c>
    </row>
    <row r="37" spans="1:2" x14ac:dyDescent="0.3">
      <c r="A37" s="352">
        <v>2020</v>
      </c>
      <c r="B37" s="311">
        <v>2540161</v>
      </c>
    </row>
    <row r="38" spans="1:2" x14ac:dyDescent="0.3">
      <c r="A38" s="352">
        <v>2021</v>
      </c>
      <c r="B38" s="311">
        <v>1464091</v>
      </c>
    </row>
  </sheetData>
  <conditionalFormatting sqref="B2:B38">
    <cfRule type="dataBar" priority="1">
      <dataBar>
        <cfvo type="min"/>
        <cfvo type="max"/>
        <color rgb="FF008AEF"/>
      </dataBar>
      <extLst>
        <ext xmlns:x14="http://schemas.microsoft.com/office/spreadsheetml/2009/9/main" uri="{B025F937-C7B1-47D3-B67F-A62EFF666E3E}">
          <x14:id>{5DE67CF2-4797-44E5-AFD5-A0E850D0E66F}</x14:id>
        </ext>
      </extLst>
    </cfRule>
  </conditionalFormatting>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dataBar" id="{5DE67CF2-4797-44E5-AFD5-A0E850D0E66F}">
            <x14:dataBar minLength="0" maxLength="100" border="1" negativeBarBorderColorSameAsPositive="0">
              <x14:cfvo type="autoMin"/>
              <x14:cfvo type="autoMax"/>
              <x14:borderColor rgb="FF008AEF"/>
              <x14:negativeFillColor rgb="FFFF0000"/>
              <x14:negativeBorderColor rgb="FFFF0000"/>
              <x14:axisColor rgb="FF000000"/>
            </x14:dataBar>
          </x14:cfRule>
          <xm:sqref>B2:B38</xm:sqref>
        </x14:conditionalFormatting>
      </x14:conditionalFormattings>
    </ext>
  </extLst>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F52882-6659-4AE9-B86D-CB3374050AD6}">
  <sheetPr codeName="Sheet15"/>
  <dimension ref="A1:D27"/>
  <sheetViews>
    <sheetView zoomScaleNormal="100" workbookViewId="0">
      <pane ySplit="1" topLeftCell="A2" activePane="bottomLeft" state="frozen"/>
      <selection pane="bottomLeft" activeCell="C2" sqref="C2"/>
    </sheetView>
  </sheetViews>
  <sheetFormatPr defaultRowHeight="14.4" x14ac:dyDescent="0.3"/>
  <cols>
    <col min="1" max="1" width="11.44140625" bestFit="1" customWidth="1"/>
    <col min="2" max="2" width="14.44140625" bestFit="1" customWidth="1"/>
    <col min="3" max="3" width="9.33203125" bestFit="1" customWidth="1"/>
    <col min="4" max="4" width="5.33203125" bestFit="1" customWidth="1"/>
  </cols>
  <sheetData>
    <row r="1" spans="1:4" ht="16.2" thickBot="1" x14ac:dyDescent="0.35">
      <c r="A1" s="496" t="s">
        <v>1313</v>
      </c>
      <c r="B1" s="496" t="s">
        <v>1311</v>
      </c>
      <c r="C1" s="496" t="s">
        <v>1314</v>
      </c>
      <c r="D1" s="496" t="s">
        <v>394</v>
      </c>
    </row>
    <row r="2" spans="1:4" ht="17.399999999999999" x14ac:dyDescent="0.3">
      <c r="A2" s="497">
        <v>1985</v>
      </c>
      <c r="B2" s="498">
        <v>3048</v>
      </c>
      <c r="C2" s="499">
        <v>110.9</v>
      </c>
      <c r="D2" s="500">
        <v>3.6</v>
      </c>
    </row>
    <row r="3" spans="1:4" ht="17.399999999999999" x14ac:dyDescent="0.3">
      <c r="A3" s="501">
        <v>1986</v>
      </c>
      <c r="B3" s="502">
        <v>2982</v>
      </c>
      <c r="C3" s="503">
        <v>100.1</v>
      </c>
      <c r="D3" s="504">
        <v>3.4</v>
      </c>
    </row>
    <row r="4" spans="1:4" ht="17.399999999999999" x14ac:dyDescent="0.3">
      <c r="A4" s="501">
        <v>1987</v>
      </c>
      <c r="B4" s="502">
        <v>1958</v>
      </c>
      <c r="C4" s="503">
        <v>48.4</v>
      </c>
      <c r="D4" s="504">
        <v>2.5</v>
      </c>
    </row>
    <row r="5" spans="1:4" ht="17.399999999999999" x14ac:dyDescent="0.3">
      <c r="A5" s="501">
        <v>1988</v>
      </c>
      <c r="B5" s="502">
        <v>713</v>
      </c>
      <c r="C5" s="503">
        <v>35.1</v>
      </c>
      <c r="D5" s="504">
        <v>4.9000000000000004</v>
      </c>
    </row>
    <row r="6" spans="1:4" ht="17.399999999999999" x14ac:dyDescent="0.3">
      <c r="A6" s="501">
        <v>1989</v>
      </c>
      <c r="B6" s="502">
        <v>2177</v>
      </c>
      <c r="C6" s="503">
        <v>92.9</v>
      </c>
      <c r="D6" s="504">
        <v>4.3</v>
      </c>
    </row>
    <row r="7" spans="1:4" ht="17.399999999999999" x14ac:dyDescent="0.3">
      <c r="A7" s="501">
        <v>1990</v>
      </c>
      <c r="B7" s="502">
        <v>834</v>
      </c>
      <c r="C7" s="503">
        <v>76.900000000000006</v>
      </c>
      <c r="D7" s="504">
        <v>9.1999999999999993</v>
      </c>
    </row>
    <row r="8" spans="1:4" ht="17.399999999999999" x14ac:dyDescent="0.3">
      <c r="A8" s="501">
        <v>1991</v>
      </c>
      <c r="B8" s="502">
        <v>1323</v>
      </c>
      <c r="C8" s="503">
        <v>88</v>
      </c>
      <c r="D8" s="504">
        <v>6.6</v>
      </c>
    </row>
    <row r="9" spans="1:4" ht="17.399999999999999" x14ac:dyDescent="0.3">
      <c r="A9" s="501">
        <v>1992</v>
      </c>
      <c r="B9" s="502">
        <v>313</v>
      </c>
      <c r="C9" s="503">
        <v>3.7</v>
      </c>
      <c r="D9" s="504">
        <v>1.2</v>
      </c>
    </row>
    <row r="10" spans="1:4" ht="17.399999999999999" x14ac:dyDescent="0.3">
      <c r="A10" s="501">
        <v>1993</v>
      </c>
      <c r="B10" s="502">
        <v>2854</v>
      </c>
      <c r="C10" s="503">
        <v>6.7</v>
      </c>
      <c r="D10" s="504">
        <v>0.2</v>
      </c>
    </row>
    <row r="11" spans="1:4" ht="17.399999999999999" x14ac:dyDescent="0.3">
      <c r="A11" s="501">
        <v>1994</v>
      </c>
      <c r="B11" s="502">
        <v>1956</v>
      </c>
      <c r="C11" s="503">
        <v>34.4</v>
      </c>
      <c r="D11" s="504">
        <v>1.8</v>
      </c>
    </row>
    <row r="12" spans="1:4" ht="17.399999999999999" x14ac:dyDescent="0.3">
      <c r="A12" s="501">
        <v>1995</v>
      </c>
      <c r="B12" s="502">
        <v>2844</v>
      </c>
      <c r="C12" s="503">
        <v>51.8</v>
      </c>
      <c r="D12" s="504">
        <v>1.8</v>
      </c>
    </row>
    <row r="13" spans="1:4" ht="17.399999999999999" x14ac:dyDescent="0.3">
      <c r="A13" s="501">
        <v>1996</v>
      </c>
      <c r="B13" s="502">
        <v>551</v>
      </c>
      <c r="C13" s="503">
        <v>3.4</v>
      </c>
      <c r="D13" s="504">
        <v>0.6</v>
      </c>
    </row>
    <row r="14" spans="1:4" ht="17.399999999999999" x14ac:dyDescent="0.3">
      <c r="A14" s="501">
        <v>1997</v>
      </c>
      <c r="B14" s="502">
        <v>423</v>
      </c>
      <c r="C14" s="503">
        <v>18.7</v>
      </c>
      <c r="D14" s="504">
        <v>4.4000000000000004</v>
      </c>
    </row>
    <row r="15" spans="1:4" ht="17.399999999999999" x14ac:dyDescent="0.3">
      <c r="A15" s="501">
        <v>1998</v>
      </c>
      <c r="B15" s="502">
        <v>2166</v>
      </c>
      <c r="C15" s="503">
        <v>103.2</v>
      </c>
      <c r="D15" s="504">
        <v>4.8</v>
      </c>
    </row>
    <row r="16" spans="1:4" ht="17.399999999999999" x14ac:dyDescent="0.3">
      <c r="A16" s="501">
        <v>1999</v>
      </c>
      <c r="B16" s="502">
        <v>2754</v>
      </c>
      <c r="C16" s="503">
        <v>112.5</v>
      </c>
      <c r="D16" s="504">
        <v>4.0999999999999996</v>
      </c>
    </row>
    <row r="17" spans="1:4" ht="17.399999999999999" x14ac:dyDescent="0.3">
      <c r="A17" s="501">
        <v>2000</v>
      </c>
      <c r="B17" s="502">
        <v>696</v>
      </c>
      <c r="C17" s="503">
        <v>49.3</v>
      </c>
      <c r="D17" s="504">
        <v>7.1</v>
      </c>
    </row>
    <row r="18" spans="1:4" ht="17.399999999999999" x14ac:dyDescent="0.3">
      <c r="A18" s="501">
        <v>2001</v>
      </c>
      <c r="B18" s="502">
        <v>1074</v>
      </c>
      <c r="C18" s="503">
        <v>15.1</v>
      </c>
      <c r="D18" s="504">
        <v>1.4</v>
      </c>
    </row>
    <row r="19" spans="1:4" ht="17.399999999999999" x14ac:dyDescent="0.3">
      <c r="A19" s="501">
        <v>2002</v>
      </c>
      <c r="B19" s="502">
        <v>2874</v>
      </c>
      <c r="C19" s="503">
        <v>145.69999999999999</v>
      </c>
      <c r="D19" s="504">
        <v>5.0999999999999996</v>
      </c>
    </row>
    <row r="20" spans="1:4" ht="17.399999999999999" x14ac:dyDescent="0.3">
      <c r="A20" s="501">
        <v>2003</v>
      </c>
      <c r="B20" s="502">
        <v>4735</v>
      </c>
      <c r="C20" s="503">
        <v>73.900000000000006</v>
      </c>
      <c r="D20" s="504">
        <v>1.6</v>
      </c>
    </row>
    <row r="21" spans="1:4" ht="17.399999999999999" x14ac:dyDescent="0.3">
      <c r="A21" s="501">
        <v>2004</v>
      </c>
      <c r="B21" s="502">
        <v>1922</v>
      </c>
      <c r="C21" s="503">
        <v>33.9</v>
      </c>
      <c r="D21" s="504">
        <v>1.8</v>
      </c>
    </row>
    <row r="22" spans="1:4" ht="17.399999999999999" x14ac:dyDescent="0.3">
      <c r="A22" s="501">
        <v>2005</v>
      </c>
      <c r="B22" s="502">
        <v>509</v>
      </c>
      <c r="C22" s="503">
        <v>12.5</v>
      </c>
      <c r="D22" s="504">
        <v>2.5</v>
      </c>
    </row>
    <row r="23" spans="1:4" ht="17.399999999999999" x14ac:dyDescent="0.3">
      <c r="A23" s="501">
        <v>2006</v>
      </c>
      <c r="B23" s="502">
        <v>2642</v>
      </c>
      <c r="C23" s="503">
        <v>214</v>
      </c>
      <c r="D23" s="504">
        <v>8.1</v>
      </c>
    </row>
    <row r="24" spans="1:4" ht="17.399999999999999" x14ac:dyDescent="0.3">
      <c r="A24" s="501">
        <v>2007</v>
      </c>
      <c r="B24" s="502">
        <v>2641</v>
      </c>
      <c r="C24" s="503">
        <v>172</v>
      </c>
      <c r="D24" s="504">
        <v>6.5</v>
      </c>
    </row>
    <row r="25" spans="1:4" ht="17.399999999999999" x14ac:dyDescent="0.3">
      <c r="A25" s="501">
        <v>2008</v>
      </c>
      <c r="B25" s="502">
        <v>1734</v>
      </c>
      <c r="C25" s="503">
        <v>407</v>
      </c>
      <c r="D25" s="505">
        <v>23.5</v>
      </c>
    </row>
    <row r="26" spans="1:4" ht="17.399999999999999" x14ac:dyDescent="0.3">
      <c r="A26" s="501">
        <v>2009</v>
      </c>
      <c r="B26" s="502">
        <v>761</v>
      </c>
      <c r="C26" s="503">
        <v>142.4</v>
      </c>
      <c r="D26" s="505">
        <v>18.7</v>
      </c>
    </row>
    <row r="27" spans="1:4" ht="18" thickBot="1" x14ac:dyDescent="0.35">
      <c r="A27" s="506">
        <v>2010</v>
      </c>
      <c r="B27" s="507">
        <v>8984</v>
      </c>
      <c r="C27" s="508">
        <v>560.4</v>
      </c>
      <c r="D27" s="509">
        <v>6.2</v>
      </c>
    </row>
  </sheetData>
  <conditionalFormatting sqref="D2:D27">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legacy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B5"/>
  <sheetViews>
    <sheetView workbookViewId="0">
      <selection activeCell="B12" sqref="B12"/>
    </sheetView>
  </sheetViews>
  <sheetFormatPr defaultRowHeight="14.4" x14ac:dyDescent="0.3"/>
  <cols>
    <col min="1" max="1" width="3.33203125" bestFit="1" customWidth="1"/>
    <col min="2" max="2" width="23.6640625" bestFit="1" customWidth="1"/>
  </cols>
  <sheetData>
    <row r="1" spans="1:2" x14ac:dyDescent="0.3">
      <c r="A1" s="2675" t="s">
        <v>1315</v>
      </c>
      <c r="B1" s="2676"/>
    </row>
    <row r="2" spans="1:2" x14ac:dyDescent="0.3">
      <c r="A2" s="290" t="s">
        <v>1316</v>
      </c>
      <c r="B2" s="291" t="s">
        <v>1317</v>
      </c>
    </row>
    <row r="3" spans="1:2" x14ac:dyDescent="0.3">
      <c r="A3" s="290" t="s">
        <v>252</v>
      </c>
      <c r="B3" s="291" t="s">
        <v>1318</v>
      </c>
    </row>
    <row r="4" spans="1:2" x14ac:dyDescent="0.3">
      <c r="A4" s="290" t="s">
        <v>1319</v>
      </c>
      <c r="B4" s="291" t="s">
        <v>1320</v>
      </c>
    </row>
    <row r="5" spans="1:2" ht="15" thickBot="1" x14ac:dyDescent="0.35">
      <c r="A5" s="292" t="s">
        <v>1321</v>
      </c>
      <c r="B5" s="293" t="s">
        <v>1322</v>
      </c>
    </row>
  </sheetData>
  <mergeCells count="1">
    <mergeCell ref="A1:B1"/>
  </mergeCell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D20C8C87A36BEF4E832E74AF45234108" ma:contentTypeVersion="13" ma:contentTypeDescription="Create a new document." ma:contentTypeScope="" ma:versionID="4aad878f0edd5b481d9e51d1983fb4f7">
  <xsd:schema xmlns:xsd="http://www.w3.org/2001/XMLSchema" xmlns:xs="http://www.w3.org/2001/XMLSchema" xmlns:p="http://schemas.microsoft.com/office/2006/metadata/properties" xmlns:ns3="1dc984fb-d6e1-464b-a0f3-e70b1b6684c3" xmlns:ns4="bb77d7e9-ec8a-4b26-8b1f-1c9432277eaf" targetNamespace="http://schemas.microsoft.com/office/2006/metadata/properties" ma:root="true" ma:fieldsID="ae190ca8612cb5096eba9c5911dae386" ns3:_="" ns4:_="">
    <xsd:import namespace="1dc984fb-d6e1-464b-a0f3-e70b1b6684c3"/>
    <xsd:import namespace="bb77d7e9-ec8a-4b26-8b1f-1c9432277eaf"/>
    <xsd:element name="properties">
      <xsd:complexType>
        <xsd:sequence>
          <xsd:element name="documentManagement">
            <xsd:complexType>
              <xsd:all>
                <xsd:element ref="ns3:MediaServiceMetadata" minOccurs="0"/>
                <xsd:element ref="ns3:MediaServiceFastMetadata" minOccurs="0"/>
                <xsd:element ref="ns3:MediaServiceAutoKeyPoints" minOccurs="0"/>
                <xsd:element ref="ns3:MediaServiceKeyPoints" minOccurs="0"/>
                <xsd:element ref="ns4:SharedWithUsers" minOccurs="0"/>
                <xsd:element ref="ns4:SharedWithDetails" minOccurs="0"/>
                <xsd:element ref="ns4:SharingHintHash" minOccurs="0"/>
                <xsd:element ref="ns3:MediaServiceAutoTags" minOccurs="0"/>
                <xsd:element ref="ns3:MediaServiceOCR" minOccurs="0"/>
                <xsd:element ref="ns3:MediaServiceGenerationTime" minOccurs="0"/>
                <xsd:element ref="ns3:MediaServiceEventHashCode" minOccurs="0"/>
                <xsd:element ref="ns3:_activity" minOccurs="0"/>
                <xsd:element ref="ns3: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dc984fb-d6e1-464b-a0f3-e70b1b6684c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5" nillable="true" ma:displayName="Tags" ma:internalName="MediaServiceAutoTags"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_activity" ma:index="19" nillable="true" ma:displayName="_activity" ma:hidden="true" ma:internalName="_activity">
      <xsd:simpleType>
        <xsd:restriction base="dms:Note"/>
      </xsd:simpleType>
    </xsd:element>
    <xsd:element name="MediaServiceObjectDetectorVersions" ma:index="20"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b77d7e9-ec8a-4b26-8b1f-1c9432277eaf"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SharingHintHash" ma:index="14"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_activity xmlns="1dc984fb-d6e1-464b-a0f3-e70b1b6684c3"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8639442A-F4D2-4239-85B9-89951414EC9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dc984fb-d6e1-464b-a0f3-e70b1b6684c3"/>
    <ds:schemaRef ds:uri="bb77d7e9-ec8a-4b26-8b1f-1c9432277ea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2664C0B-1379-4640-8592-2844FC2CC0CA}">
  <ds:schemaRefs>
    <ds:schemaRef ds:uri="http://schemas.microsoft.com/office/2006/metadata/properties"/>
    <ds:schemaRef ds:uri="http://schemas.microsoft.com/office/infopath/2007/PartnerControls"/>
    <ds:schemaRef ds:uri="1dc984fb-d6e1-464b-a0f3-e70b1b6684c3"/>
  </ds:schemaRefs>
</ds:datastoreItem>
</file>

<file path=customXml/itemProps3.xml><?xml version="1.0" encoding="utf-8"?>
<ds:datastoreItem xmlns:ds="http://schemas.openxmlformats.org/officeDocument/2006/customXml" ds:itemID="{B5217112-E9BE-47FB-A07C-AFB031609AAD}">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49</vt:i4>
      </vt:variant>
      <vt:variant>
        <vt:lpstr>Charts</vt:lpstr>
      </vt:variant>
      <vt:variant>
        <vt:i4>1</vt:i4>
      </vt:variant>
      <vt:variant>
        <vt:lpstr>Named Ranges</vt:lpstr>
      </vt:variant>
      <vt:variant>
        <vt:i4>89</vt:i4>
      </vt:variant>
    </vt:vector>
  </HeadingPairs>
  <TitlesOfParts>
    <vt:vector size="139" baseType="lpstr">
      <vt:lpstr>Check</vt:lpstr>
      <vt:lpstr>READ ME</vt:lpstr>
      <vt:lpstr>References</vt:lpstr>
      <vt:lpstr>Juvenile Data</vt:lpstr>
      <vt:lpstr>Sockeye Fallback</vt:lpstr>
      <vt:lpstr>Smolts (OLD)</vt:lpstr>
      <vt:lpstr>Junk</vt:lpstr>
      <vt:lpstr>Adult Returns Data</vt:lpstr>
      <vt:lpstr>Smolt to Adult Survival</vt:lpstr>
      <vt:lpstr>Age Composition 221113</vt:lpstr>
      <vt:lpstr>ExportSurvival</vt:lpstr>
      <vt:lpstr>Adult Age Composition 230117</vt:lpstr>
      <vt:lpstr>Compare</vt:lpstr>
      <vt:lpstr>Forecast 2023</vt:lpstr>
      <vt:lpstr>Data at Age</vt:lpstr>
      <vt:lpstr>FW Age</vt:lpstr>
      <vt:lpstr>Forecast 2024</vt:lpstr>
      <vt:lpstr>Joint Staff Rprt 2022 Table 15</vt:lpstr>
      <vt:lpstr>USACE vs CBR FPC JSR</vt:lpstr>
      <vt:lpstr>Sockeye Returns Data</vt:lpstr>
      <vt:lpstr>recruits_deterministic (240212)</vt:lpstr>
      <vt:lpstr>recruits_deterministic (240124)</vt:lpstr>
      <vt:lpstr>OSO_NO_returns (PT240119)</vt:lpstr>
      <vt:lpstr>Stray Rates</vt:lpstr>
      <vt:lpstr>OK AUC and Deadpitch Results</vt:lpstr>
      <vt:lpstr>PIVOT Lake &amp; Spawning Ground</vt:lpstr>
      <vt:lpstr>Spawning Ground Ratios</vt:lpstr>
      <vt:lpstr>Spawn Grounds Sumry by Substock</vt:lpstr>
      <vt:lpstr>OSO_Sar_Report_Table_1</vt:lpstr>
      <vt:lpstr>Spawn Grounds Sumry by Origin1</vt:lpstr>
      <vt:lpstr>Spawn Grounds Sumry by Origin2</vt:lpstr>
      <vt:lpstr>Hatchery releases Pivot</vt:lpstr>
      <vt:lpstr>Hatchery releases</vt:lpstr>
      <vt:lpstr>BON Count Adjustments</vt:lpstr>
      <vt:lpstr>BON-WELLS Survival</vt:lpstr>
      <vt:lpstr>OSO_Sar_Report_Table_3</vt:lpstr>
      <vt:lpstr>Zosel 2006-2017</vt:lpstr>
      <vt:lpstr>AUC ESC Data</vt:lpstr>
      <vt:lpstr>OSO Spawners PC (Scott A)</vt:lpstr>
      <vt:lpstr>PIT - CRITFC 2022 Table 4</vt:lpstr>
      <vt:lpstr>total sox below bonn csv (CB)</vt:lpstr>
      <vt:lpstr>Desc Stats</vt:lpstr>
      <vt:lpstr>Annual Returns by Return Yr</vt:lpstr>
      <vt:lpstr>Annual Returns by Smolt Yr</vt:lpstr>
      <vt:lpstr>Hatchery Releases (old)</vt:lpstr>
      <vt:lpstr>Hatchery-Origin Returns (old)</vt:lpstr>
      <vt:lpstr>ATS Equivalents Calculation</vt:lpstr>
      <vt:lpstr>Williams 2014 SAR</vt:lpstr>
      <vt:lpstr>Lookup</vt:lpstr>
      <vt:lpstr>Survival Plot</vt:lpstr>
      <vt:lpstr>AdultAgeComp</vt:lpstr>
      <vt:lpstr>AdultReturns</vt:lpstr>
      <vt:lpstr>'AUC ESC Data'!AdultReturnsAUC</vt:lpstr>
      <vt:lpstr>Alternative_OkSox_Total__Wells___d_s_Harvest___d_s_NatMort__G_R_U</vt:lpstr>
      <vt:lpstr>BON_Count_Adjustment</vt:lpstr>
      <vt:lpstr>Bonn_to_Wells_Survival__CR</vt:lpstr>
      <vt:lpstr>BoostBonDamCountPct</vt:lpstr>
      <vt:lpstr>BoostBonDamCounts</vt:lpstr>
      <vt:lpstr>Deduct_Hatchery_Survivors</vt:lpstr>
      <vt:lpstr>Estimated_Okanagan_Sockeye_Returns</vt:lpstr>
      <vt:lpstr>Estimated_Osoyoos_Sockeye_Returns__N_O</vt:lpstr>
      <vt:lpstr>Estimated_Skaha_Sockeye_Returns__H_O</vt:lpstr>
      <vt:lpstr>Estimated_Wenatchee_Sockeye_Returns__N_O</vt:lpstr>
      <vt:lpstr>JuvAbund</vt:lpstr>
      <vt:lpstr>Mainstem_Ok_Natural_Mortality?__A_B</vt:lpstr>
      <vt:lpstr>Mouth_to_Wells__Mort</vt:lpstr>
      <vt:lpstr>Mouth_to_Wells_Survival__CR</vt:lpstr>
      <vt:lpstr>NOAA_OCI_MeanRanks</vt:lpstr>
      <vt:lpstr>OK_AUC_Deadpitch_Summary</vt:lpstr>
      <vt:lpstr>Ok_Harvest_Rate__below_Wells</vt:lpstr>
      <vt:lpstr>Ok_Sox___Mouth__RRH_F_M</vt:lpstr>
      <vt:lpstr>Ok_Sox___Mouth__Wells_F_M</vt:lpstr>
      <vt:lpstr>Ok_Sox__RRH__incl._Harvest</vt:lpstr>
      <vt:lpstr>Ok_Sox__Wells__incl._Harvest</vt:lpstr>
      <vt:lpstr>OK_Sox_at_Bonn__PIT_DNA</vt:lpstr>
      <vt:lpstr>OK_Sox_at_Mouth__RRH_RI</vt:lpstr>
      <vt:lpstr>OK_Sox_at_Mouth__Wells_RI</vt:lpstr>
      <vt:lpstr>Ok_Sox_CR_Mouth</vt:lpstr>
      <vt:lpstr>OK_Sox_Harvest_Below_RRH</vt:lpstr>
      <vt:lpstr>OK_Sox_Harvest_Below_Wells</vt:lpstr>
      <vt:lpstr>Ok_Sox_Nat_Mort_Rate_Bonn_RRH</vt:lpstr>
      <vt:lpstr>Ok_Sox_Nat_Mort_Rate_Bonn_Wells</vt:lpstr>
      <vt:lpstr>Ok_Sox_Nat_Morts___fish__Bonn_RRH__M</vt:lpstr>
      <vt:lpstr>Ok_Sox_Nat_Morts___fish__Bonn_Wells__M</vt:lpstr>
      <vt:lpstr>OK_Stock_Comp_______Best</vt:lpstr>
      <vt:lpstr>Ok_Stock_Comp__HGMP</vt:lpstr>
      <vt:lpstr>Ok_Stock_Comp__SPA_PIT</vt:lpstr>
      <vt:lpstr>Ok_Stock_Comp__Wells_RI</vt:lpstr>
      <vt:lpstr>Ok_Stock_Comp__Wells_Rock__orig</vt:lpstr>
      <vt:lpstr>Okanagan_Sockeye_Stock_Comp</vt:lpstr>
      <vt:lpstr>OSO_SAR_Report_Table1</vt:lpstr>
      <vt:lpstr>OtherAge</vt:lpstr>
      <vt:lpstr>'AUC ESC Data'!OtherAgeAUC</vt:lpstr>
      <vt:lpstr>Rec_Harvest_Above_Wells</vt:lpstr>
      <vt:lpstr>ReduceRISdamCounts</vt:lpstr>
      <vt:lpstr>RIS_BON</vt:lpstr>
      <vt:lpstr>Same_as_OkSox_at_Mouth_calc?</vt:lpstr>
      <vt:lpstr>SAR</vt:lpstr>
      <vt:lpstr>ShingleCreek_Nerkids</vt:lpstr>
      <vt:lpstr>Skaha_Returns_PenChannel</vt:lpstr>
      <vt:lpstr>Skaha_Returns_Shingle</vt:lpstr>
      <vt:lpstr>Skaha_Sockeye__all_Spawn_Grounds</vt:lpstr>
      <vt:lpstr>Skaha_Sockeye__Lower_Ok_River</vt:lpstr>
      <vt:lpstr>Skaha_Sockeye__Pen_Channel___Shingle</vt:lpstr>
      <vt:lpstr>SkahaPercentage</vt:lpstr>
      <vt:lpstr>SkahaPercentWithWild</vt:lpstr>
      <vt:lpstr>SkahaSoxReturns</vt:lpstr>
      <vt:lpstr>Smolt_Abundance</vt:lpstr>
      <vt:lpstr>SockeyeReturnsData</vt:lpstr>
      <vt:lpstr>Total_COMM_Harvest__Zones_1_6</vt:lpstr>
      <vt:lpstr>Total_COMM_Harvest_Below_Bonn</vt:lpstr>
      <vt:lpstr>Total_Harvest_BONN_to_WELLS</vt:lpstr>
      <vt:lpstr>Total_REC_Harvest__Lower_CR</vt:lpstr>
      <vt:lpstr>Total_REC_Harvest__McN_to_PR</vt:lpstr>
      <vt:lpstr>Total_REC_Harvest__Mid_Columbia</vt:lpstr>
      <vt:lpstr>Total_REC_Harvest__PR_to_RIS</vt:lpstr>
      <vt:lpstr>Total_REC_Harvest__RIS_to_RRH</vt:lpstr>
      <vt:lpstr>Total_REC_Harvest_RRH_to_WELLS</vt:lpstr>
      <vt:lpstr>Total_Sockeye__all_Spawn_Grounds</vt:lpstr>
      <vt:lpstr>Total_Sockeye__RockI___24_hr</vt:lpstr>
      <vt:lpstr>Total_Sockeye__RRH____??_hour</vt:lpstr>
      <vt:lpstr>Total_Sockeye__RRH____24_hour</vt:lpstr>
      <vt:lpstr>Total_Sockeye__Snake</vt:lpstr>
      <vt:lpstr>Total_Sockeye__TUM___24_hour</vt:lpstr>
      <vt:lpstr>Total_Sockeye__Wells___16_hour</vt:lpstr>
      <vt:lpstr>Total_Sockeye__Wells___24_hour</vt:lpstr>
      <vt:lpstr>Total_Sockeye__Wells___orig</vt:lpstr>
      <vt:lpstr>Total_Sockeye_Harvest_Below_Wells</vt:lpstr>
      <vt:lpstr>Total_Sox__Bonn____16_hour</vt:lpstr>
      <vt:lpstr>Total_Sox__Bonn____24_hour</vt:lpstr>
      <vt:lpstr>Total_Sox__Mouth____16_hour</vt:lpstr>
      <vt:lpstr>Total_Sox__Mouth____24_hour</vt:lpstr>
      <vt:lpstr>Wells_RRH_Count?</vt:lpstr>
      <vt:lpstr>WEN_H_O</vt:lpstr>
      <vt:lpstr>WEN_Nat_Mort_N_O</vt:lpstr>
      <vt:lpstr>WEN_Sox_at_Mouth__BEST</vt:lpstr>
      <vt:lpstr>WEN_Sox_Harvest_Below_RRH</vt:lpstr>
      <vt:lpstr>WEN_Stock_Comp_______Best</vt:lpstr>
      <vt:lpstr>Years</vt:lpstr>
    </vt:vector>
  </TitlesOfParts>
  <Manager/>
  <Company>DFO-MPO</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HS</dc:creator>
  <cp:keywords/>
  <dc:description/>
  <cp:lastModifiedBy>Stiff, Howard (DFO/MPO)</cp:lastModifiedBy>
  <cp:revision/>
  <dcterms:created xsi:type="dcterms:W3CDTF">2021-08-24T21:14:54Z</dcterms:created>
  <dcterms:modified xsi:type="dcterms:W3CDTF">2024-07-24T17:27:11Z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1bfb733f-faef-464c-9b6d-731b56f94973_Enabled">
    <vt:lpwstr>true</vt:lpwstr>
  </property>
  <property fmtid="{D5CDD505-2E9C-101B-9397-08002B2CF9AE}" pid="3" name="MSIP_Label_1bfb733f-faef-464c-9b6d-731b56f94973_SetDate">
    <vt:lpwstr>2021-08-24T21:54:35Z</vt:lpwstr>
  </property>
  <property fmtid="{D5CDD505-2E9C-101B-9397-08002B2CF9AE}" pid="4" name="MSIP_Label_1bfb733f-faef-464c-9b6d-731b56f94973_Method">
    <vt:lpwstr>Standard</vt:lpwstr>
  </property>
  <property fmtid="{D5CDD505-2E9C-101B-9397-08002B2CF9AE}" pid="5" name="MSIP_Label_1bfb733f-faef-464c-9b6d-731b56f94973_Name">
    <vt:lpwstr>Unclass - Non-Classifié</vt:lpwstr>
  </property>
  <property fmtid="{D5CDD505-2E9C-101B-9397-08002B2CF9AE}" pid="6" name="MSIP_Label_1bfb733f-faef-464c-9b6d-731b56f94973_SiteId">
    <vt:lpwstr>1594fdae-a1d9-4405-915d-011467234338</vt:lpwstr>
  </property>
  <property fmtid="{D5CDD505-2E9C-101B-9397-08002B2CF9AE}" pid="7" name="MSIP_Label_1bfb733f-faef-464c-9b6d-731b56f94973_ActionId">
    <vt:lpwstr>74586eaf-d13c-4bdb-8049-0000335337d9</vt:lpwstr>
  </property>
  <property fmtid="{D5CDD505-2E9C-101B-9397-08002B2CF9AE}" pid="8" name="ContentTypeId">
    <vt:lpwstr>0x010100D20C8C87A36BEF4E832E74AF45234108</vt:lpwstr>
  </property>
</Properties>
</file>