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165566F9-B5D2-42E2-B014-8DB3D063E7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<sst xmlns="http://schemas.openxmlformats.org/spreadsheetml/2006/main" count="193" uniqueCount="94">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</sst>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5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  <c r="AX1" s="16" t="s">
        <v>88</v>
      </c>
      <c r="AY1" s="16" t="s">
        <v>89</v>
      </c>
      <c r="AZ1" s="16" t="s">
        <v>90</v>
      </c>
    </row>
    <row r="2" spans="1:52" x14ac:dyDescent="0.25">
      <c r="A2" s="8">
        <f ca="1">TODAY()</f>
        <v>45146</v>
      </c>
      <c r="B2" s="9">
        <f ca="1">DATE(YEAR(C2),MONTH(C2),1)</f>
        <v>45108</v>
      </c>
      <c r="C2" s="9">
        <f ca="1">EOMONTH(A2,-1)</f>
        <v>45138</v>
      </c>
      <c r="D2" s="9">
        <f ca="1">A2+14</f>
        <v>45160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>COUNTIFS(E1:E2,E2,F1:F2,F2,K1:K2,K2)+1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5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"/>
      <c r="AK2" s="1">
        <f t="shared" ref="AK2:AK17" si="6">ROW(K2)</f>
        <v>2</v>
      </c>
      <c r="AL2" s="15" t="str">
        <f>J2&amp;"-"&amp;COUNTIF($J$1:J2,J2)</f>
        <v>30525390086-1</v>
      </c>
      <c r="AM2" s="1">
        <f t="shared" ref="AM2:AM17" si="7">IF(K1=K2,1,0)</f>
        <v>0</v>
      </c>
      <c r="AN2" s="1">
        <f t="shared" ref="AN2:AN17" si="8">IF(K2=K3,1,0)</f>
        <v>0</v>
      </c>
      <c r="AO2" s="1" t="str">
        <f t="shared" ref="AO2:AO17" si="9">RIGHT(F2)</f>
        <v>A</v>
      </c>
      <c r="AP2" s="1">
        <f t="shared" ref="AP2:AP17" si="10">IF(LEFT(F2,4)="Nota",0,1)</f>
        <v>1</v>
      </c>
      <c r="AQ2" s="2"/>
      <c r="AR2" s="13">
        <f t="shared" ref="AR2:AR17" si="11">IF(RIGHT(F2,1)="A",ROUND(O2*N2*(1+Q2),2),AG2)</f>
        <v>160999.98000000001</v>
      </c>
      <c r="AS2" s="13">
        <f t="shared" ref="AS2:AS17" si="12">ROUND((AR2/(1+Q2)),2)</f>
        <v>133057.82999999999</v>
      </c>
      <c r="AT2" s="20">
        <f t="shared" ref="AT2:AT17" si="13">IF(AO2="A",ROUND(AS2/O2,6),AR2/O2)</f>
        <v>7.003044</v>
      </c>
      <c r="AU2" s="13">
        <f t="shared" ref="AU2:AU17" si="14">IF(AO2="A",ROUND(CEILING(O2*N2*(1+Q2),500),2),ROUND(CEILING(O2*N2,500),2))</f>
        <v>161000</v>
      </c>
      <c r="AV2" s="20">
        <f>IF(AO2="A",ROUND(AS2/O2,6),AU2/O2)</f>
        <v>7.003044</v>
      </c>
      <c r="AW2" s="2"/>
      <c r="AX2" s="2"/>
      <c r="AY2" s="2" t="s">
        <v>92</v>
      </c>
      <c r="AZ2" s="2" t="s">
        <v>91</v>
      </c>
    </row>
    <row r="3" spans="1:52" x14ac:dyDescent="0.25">
      <c r="A3" s="8">
        <f t="shared" ref="A3:A17" ca="1" si="15">TODAY()</f>
        <v>45146</v>
      </c>
      <c r="B3" s="9">
        <f t="shared" ref="B3:B17" ca="1" si="16">DATE(YEAR(C3),MONTH(C3),1)</f>
        <v>45108</v>
      </c>
      <c r="C3" s="9">
        <f t="shared" ref="C3:C17" ca="1" si="17">EOMONTH(A3,-1)</f>
        <v>45138</v>
      </c>
      <c r="D3" s="9">
        <f t="shared" ref="D3:D17" ca="1" si="18">A3+14</f>
        <v>45160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9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0">SUBSTITUTE(V3,",",".")</f>
        <v/>
      </c>
      <c r="Y3" s="1" t="str">
        <f>SUBSTITUTE(W3,",",".")</f>
        <v/>
      </c>
      <c r="Z3" s="14">
        <f t="shared" ref="Z3:Z17" si="21">COUNTIFS(E2:E3,E3,F2:F3,F3,K2:K3,K3)+1</f>
        <v>2</v>
      </c>
      <c r="AA3" s="18" t="str">
        <f t="shared" si="1"/>
        <v>8.025228</v>
      </c>
      <c r="AB3" s="18" t="str">
        <f t="shared" ref="AB3:AB17" si="22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23">U3</f>
        <v>0</v>
      </c>
      <c r="AF3" s="13">
        <f t="shared" si="4"/>
        <v>32020.66</v>
      </c>
      <c r="AG3" s="13">
        <f t="shared" ref="AG3:AG17" si="24">IF(AO3="A",ROUND(P3+AF3,2),ROUND(P3,2))</f>
        <v>184499.99</v>
      </c>
      <c r="AH3" s="10" t="str">
        <f t="shared" si="5"/>
        <v>152479.33</v>
      </c>
      <c r="AI3" s="10" t="str">
        <f>SUBSTITUTE(TEXT(ROUNDUP(AG3,0)-AG3,"0,00"),",",".")</f>
        <v>0.01</v>
      </c>
      <c r="AJ3" s="2"/>
      <c r="AK3" s="1">
        <f t="shared" si="6"/>
        <v>3</v>
      </c>
      <c r="AL3" s="15" t="str">
        <f>J3&amp;"-"&amp;COUNTIF($J$1:J3,J3)</f>
        <v>30525733870-1</v>
      </c>
      <c r="AM3" s="1">
        <f t="shared" si="7"/>
        <v>0</v>
      </c>
      <c r="AN3" s="1">
        <f t="shared" si="8"/>
        <v>0</v>
      </c>
      <c r="AO3" s="1" t="str">
        <f t="shared" si="9"/>
        <v>A</v>
      </c>
      <c r="AP3" s="1">
        <f t="shared" si="10"/>
        <v>1</v>
      </c>
      <c r="AQ3" s="2"/>
      <c r="AR3" s="13">
        <f t="shared" si="11"/>
        <v>184499.99</v>
      </c>
      <c r="AS3" s="13">
        <f t="shared" si="12"/>
        <v>152479.32999999999</v>
      </c>
      <c r="AT3" s="20">
        <f t="shared" si="13"/>
        <v>8.0252280000000003</v>
      </c>
      <c r="AU3" s="13">
        <f t="shared" si="14"/>
        <v>184500</v>
      </c>
      <c r="AV3" s="20">
        <f t="shared" ref="AV3:AV17" si="25">IF(AO3="A",ROUND(AS3/O3,6),AU3/O3)</f>
        <v>8.0252280000000003</v>
      </c>
      <c r="AW3" s="2"/>
      <c r="AX3" s="2"/>
      <c r="AY3" s="2" t="s">
        <v>92</v>
      </c>
      <c r="AZ3" s="2" t="s">
        <v>91</v>
      </c>
    </row>
    <row r="4" spans="1:52" x14ac:dyDescent="0.25">
      <c r="A4" s="8">
        <f t="shared" ca="1" si="15"/>
        <v>45146</v>
      </c>
      <c r="B4" s="9">
        <f t="shared" ca="1" si="16"/>
        <v>45108</v>
      </c>
      <c r="C4" s="9">
        <f t="shared" ca="1" si="17"/>
        <v>45138</v>
      </c>
      <c r="D4" s="9">
        <f t="shared" ca="1" si="18"/>
        <v>45160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9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0"/>
        <v/>
      </c>
      <c r="Y4" s="1" t="str">
        <f t="shared" ref="Y4:Y17" si="26">SUBSTITUTE(W4,",",".")</f>
        <v/>
      </c>
      <c r="Z4" s="14">
        <f t="shared" si="21"/>
        <v>2</v>
      </c>
      <c r="AA4" s="18" t="str">
        <f t="shared" si="1"/>
        <v>10.004349</v>
      </c>
      <c r="AB4" s="18" t="str">
        <f t="shared" si="22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23"/>
        <v>0</v>
      </c>
      <c r="AF4" s="13">
        <f t="shared" si="4"/>
        <v>39917.35</v>
      </c>
      <c r="AG4" s="13">
        <f t="shared" si="24"/>
        <v>229999.98</v>
      </c>
      <c r="AH4" s="10" t="str">
        <f t="shared" si="5"/>
        <v>190082.63</v>
      </c>
      <c r="AI4" s="10" t="str">
        <f>SUBSTITUTE(TEXT(ROUNDUP(AG4,0)-AG4,"0,00"),",",".")</f>
        <v>0.02</v>
      </c>
      <c r="AJ4" s="2"/>
      <c r="AK4" s="1">
        <f t="shared" si="6"/>
        <v>4</v>
      </c>
      <c r="AL4" s="15" t="str">
        <f>J4&amp;"-"&amp;COUNTIF($J$1:J4,J4)</f>
        <v>30610252334-1</v>
      </c>
      <c r="AM4" s="1">
        <f t="shared" si="7"/>
        <v>0</v>
      </c>
      <c r="AN4" s="1">
        <f t="shared" si="8"/>
        <v>0</v>
      </c>
      <c r="AO4" s="1" t="str">
        <f t="shared" si="9"/>
        <v>A</v>
      </c>
      <c r="AP4" s="1">
        <f t="shared" si="10"/>
        <v>1</v>
      </c>
      <c r="AQ4" s="2"/>
      <c r="AR4" s="13">
        <f t="shared" si="11"/>
        <v>229999.98</v>
      </c>
      <c r="AS4" s="13">
        <f t="shared" si="12"/>
        <v>190082.63</v>
      </c>
      <c r="AT4" s="20">
        <f t="shared" si="13"/>
        <v>10.004348999999999</v>
      </c>
      <c r="AU4" s="13">
        <f t="shared" si="14"/>
        <v>230000</v>
      </c>
      <c r="AV4" s="20">
        <f t="shared" si="25"/>
        <v>10.004348999999999</v>
      </c>
      <c r="AW4" s="2"/>
      <c r="AX4" s="2"/>
      <c r="AY4" s="2" t="s">
        <v>92</v>
      </c>
      <c r="AZ4" s="2" t="s">
        <v>91</v>
      </c>
    </row>
    <row r="5" spans="1:52" x14ac:dyDescent="0.25">
      <c r="A5" s="8">
        <f t="shared" ca="1" si="15"/>
        <v>45146</v>
      </c>
      <c r="B5" s="9">
        <f t="shared" ca="1" si="16"/>
        <v>45108</v>
      </c>
      <c r="C5" s="9">
        <f t="shared" ca="1" si="17"/>
        <v>45138</v>
      </c>
      <c r="D5" s="9">
        <f t="shared" ca="1" si="18"/>
        <v>45160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9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0"/>
        <v/>
      </c>
      <c r="Y5" s="1" t="str">
        <f t="shared" si="26"/>
        <v/>
      </c>
      <c r="Z5" s="14">
        <f t="shared" si="21"/>
        <v>2</v>
      </c>
      <c r="AA5" s="18" t="str">
        <f t="shared" si="1"/>
        <v>9.025663</v>
      </c>
      <c r="AB5" s="18" t="str">
        <f t="shared" si="22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23"/>
        <v>0</v>
      </c>
      <c r="AF5" s="13">
        <f t="shared" si="4"/>
        <v>36012.400000000001</v>
      </c>
      <c r="AG5" s="13">
        <f t="shared" si="24"/>
        <v>207500</v>
      </c>
      <c r="AH5" s="10" t="str">
        <f t="shared" si="5"/>
        <v>171487.60</v>
      </c>
      <c r="AI5" s="10" t="str">
        <f>SUBSTITUTE(TEXT(ROUNDUP(AG5,0)-AG5,"0,00"),",",".")</f>
        <v>0.00</v>
      </c>
      <c r="AJ5" s="2"/>
      <c r="AK5" s="1">
        <f t="shared" si="6"/>
        <v>5</v>
      </c>
      <c r="AL5" s="15" t="str">
        <f>J5&amp;"-"&amp;COUNTIF($J$1:J5,J5)</f>
        <v>30710964277-1</v>
      </c>
      <c r="AM5" s="1">
        <f t="shared" si="7"/>
        <v>0</v>
      </c>
      <c r="AN5" s="1">
        <f t="shared" si="8"/>
        <v>0</v>
      </c>
      <c r="AO5" s="1" t="str">
        <f t="shared" si="9"/>
        <v>A</v>
      </c>
      <c r="AP5" s="1">
        <f t="shared" si="10"/>
        <v>1</v>
      </c>
      <c r="AQ5" s="2"/>
      <c r="AR5" s="13">
        <f t="shared" si="11"/>
        <v>207499.99</v>
      </c>
      <c r="AS5" s="13">
        <f t="shared" si="12"/>
        <v>171487.6</v>
      </c>
      <c r="AT5" s="20">
        <f t="shared" si="13"/>
        <v>9.0256629999999998</v>
      </c>
      <c r="AU5" s="13">
        <f t="shared" si="14"/>
        <v>207500</v>
      </c>
      <c r="AV5" s="20">
        <f t="shared" si="25"/>
        <v>9.0256629999999998</v>
      </c>
      <c r="AW5" s="2"/>
      <c r="AX5" s="2"/>
      <c r="AY5" s="2" t="s">
        <v>92</v>
      </c>
      <c r="AZ5" s="2" t="s">
        <v>91</v>
      </c>
    </row>
    <row r="6" spans="1:52" x14ac:dyDescent="0.25">
      <c r="A6" s="8">
        <f t="shared" ca="1" si="15"/>
        <v>45146</v>
      </c>
      <c r="B6" s="9">
        <f t="shared" ca="1" si="16"/>
        <v>45108</v>
      </c>
      <c r="C6" s="9">
        <f t="shared" ca="1" si="17"/>
        <v>45138</v>
      </c>
      <c r="D6" s="9">
        <f t="shared" ca="1" si="18"/>
        <v>45160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9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0"/>
        <v/>
      </c>
      <c r="Y6" s="1" t="str">
        <f t="shared" si="26"/>
        <v/>
      </c>
      <c r="Z6" s="14">
        <f t="shared" si="21"/>
        <v>2</v>
      </c>
      <c r="AA6" s="18" t="str">
        <f t="shared" si="1"/>
        <v>5.023923</v>
      </c>
      <c r="AB6" s="18" t="str">
        <f t="shared" si="22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23"/>
        <v>44816</v>
      </c>
      <c r="AF6" s="13">
        <f t="shared" si="4"/>
        <v>20045.45</v>
      </c>
      <c r="AG6" s="13">
        <f t="shared" si="24"/>
        <v>115499.99</v>
      </c>
      <c r="AH6" s="10" t="str">
        <f t="shared" si="5"/>
        <v>95454.54</v>
      </c>
      <c r="AI6" s="10" t="str">
        <f>SUBSTITUTE(TEXT(ROUNDUP(AG6,0)-AG6,"0,00"),",",".")</f>
        <v>0.01</v>
      </c>
      <c r="AJ6" s="2"/>
      <c r="AK6" s="1">
        <f t="shared" si="6"/>
        <v>6</v>
      </c>
      <c r="AL6" s="15" t="str">
        <f>J6&amp;"-"&amp;COUNTIF($J$1:J6,J6)</f>
        <v>33610006189-1</v>
      </c>
      <c r="AM6" s="1">
        <f t="shared" si="7"/>
        <v>0</v>
      </c>
      <c r="AN6" s="1">
        <f t="shared" si="8"/>
        <v>1</v>
      </c>
      <c r="AO6" s="1" t="str">
        <f t="shared" si="9"/>
        <v>A</v>
      </c>
      <c r="AP6" s="1">
        <f t="shared" si="10"/>
        <v>1</v>
      </c>
      <c r="AQ6" s="2"/>
      <c r="AR6" s="13">
        <f t="shared" si="11"/>
        <v>115499.99</v>
      </c>
      <c r="AS6" s="13">
        <f t="shared" si="12"/>
        <v>95454.54</v>
      </c>
      <c r="AT6" s="20">
        <f t="shared" si="13"/>
        <v>5.0239229999999999</v>
      </c>
      <c r="AU6" s="13">
        <f t="shared" si="14"/>
        <v>115500</v>
      </c>
      <c r="AV6" s="20">
        <f t="shared" si="25"/>
        <v>5.0239229999999999</v>
      </c>
      <c r="AW6" s="2"/>
      <c r="AX6" s="2"/>
      <c r="AY6" s="2" t="s">
        <v>92</v>
      </c>
      <c r="AZ6" s="2" t="s">
        <v>91</v>
      </c>
    </row>
    <row r="7" spans="1:52" x14ac:dyDescent="0.25">
      <c r="A7" s="8">
        <f t="shared" ca="1" si="15"/>
        <v>45146</v>
      </c>
      <c r="B7" s="9">
        <f t="shared" ca="1" si="16"/>
        <v>45108</v>
      </c>
      <c r="C7" s="9">
        <f t="shared" ca="1" si="17"/>
        <v>45138</v>
      </c>
      <c r="D7" s="9">
        <f t="shared" ca="1" si="18"/>
        <v>45160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9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0"/>
        <v/>
      </c>
      <c r="Y7" s="1" t="str">
        <f t="shared" si="26"/>
        <v/>
      </c>
      <c r="Z7" s="14">
        <f t="shared" si="21"/>
        <v>3</v>
      </c>
      <c r="AA7" s="18" t="str">
        <f t="shared" si="1"/>
        <v>5.002174</v>
      </c>
      <c r="AB7" s="18" t="str">
        <f t="shared" si="22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23"/>
        <v>0</v>
      </c>
      <c r="AF7" s="13">
        <f t="shared" si="4"/>
        <v>19958.669999999998</v>
      </c>
      <c r="AG7" s="13">
        <f t="shared" si="24"/>
        <v>114999.98</v>
      </c>
      <c r="AH7" s="10" t="str">
        <f t="shared" si="5"/>
        <v>95041.31</v>
      </c>
      <c r="AI7" s="10" t="str">
        <f t="shared" ref="AI7:AI17" si="27">SUBSTITUTE(TEXT(ROUNDUP(AG7,0)-AG7,"0,00"),",",".")</f>
        <v>0.02</v>
      </c>
      <c r="AJ7" s="2"/>
      <c r="AK7" s="1">
        <f t="shared" si="6"/>
        <v>7</v>
      </c>
      <c r="AL7" s="15" t="str">
        <f>J7&amp;"-"&amp;COUNTIF($J$1:J7,J7)</f>
        <v>33610006189-2</v>
      </c>
      <c r="AM7" s="1">
        <f t="shared" si="7"/>
        <v>1</v>
      </c>
      <c r="AN7" s="1">
        <f t="shared" si="8"/>
        <v>0</v>
      </c>
      <c r="AO7" s="1" t="str">
        <f t="shared" si="9"/>
        <v>A</v>
      </c>
      <c r="AP7" s="1">
        <f t="shared" si="10"/>
        <v>1</v>
      </c>
      <c r="AQ7" s="2"/>
      <c r="AR7" s="13">
        <f t="shared" si="11"/>
        <v>114999.98</v>
      </c>
      <c r="AS7" s="13">
        <f t="shared" si="12"/>
        <v>95041.31</v>
      </c>
      <c r="AT7" s="20">
        <f t="shared" si="13"/>
        <v>5.0021740000000001</v>
      </c>
      <c r="AU7" s="13">
        <f t="shared" si="14"/>
        <v>115000</v>
      </c>
      <c r="AV7" s="20">
        <f t="shared" si="25"/>
        <v>5.0021740000000001</v>
      </c>
      <c r="AW7" s="2"/>
      <c r="AX7" s="2"/>
      <c r="AY7" s="2" t="s">
        <v>92</v>
      </c>
      <c r="AZ7" s="2" t="s">
        <v>91</v>
      </c>
    </row>
    <row r="8" spans="1:52" x14ac:dyDescent="0.25">
      <c r="A8" s="8">
        <f t="shared" ca="1" si="15"/>
        <v>45146</v>
      </c>
      <c r="B8" s="9">
        <f t="shared" ca="1" si="16"/>
        <v>45108</v>
      </c>
      <c r="C8" s="9">
        <f t="shared" ca="1" si="17"/>
        <v>45138</v>
      </c>
      <c r="D8" s="9">
        <f t="shared" ca="1" si="18"/>
        <v>45160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8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9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0"/>
        <v/>
      </c>
      <c r="Y8" s="1" t="str">
        <f t="shared" si="26"/>
        <v/>
      </c>
      <c r="Z8" s="14">
        <f t="shared" si="21"/>
        <v>2</v>
      </c>
      <c r="AA8" s="18" t="str">
        <f t="shared" si="1"/>
        <v>10.004349</v>
      </c>
      <c r="AB8" s="18" t="str">
        <f t="shared" si="22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23"/>
        <v>0</v>
      </c>
      <c r="AF8" s="13">
        <f t="shared" si="4"/>
        <v>39917.35</v>
      </c>
      <c r="AG8" s="13">
        <f t="shared" si="24"/>
        <v>229999.98</v>
      </c>
      <c r="AH8" s="10" t="str">
        <f t="shared" si="5"/>
        <v>190082.63</v>
      </c>
      <c r="AI8" s="10" t="str">
        <f t="shared" si="27"/>
        <v>0.02</v>
      </c>
      <c r="AJ8" s="2"/>
      <c r="AK8" s="1">
        <f t="shared" si="6"/>
        <v>8</v>
      </c>
      <c r="AL8" s="15" t="str">
        <f>J8&amp;"-"&amp;COUNTIF($J$1:J8,J8)</f>
        <v>33615420269-1</v>
      </c>
      <c r="AM8" s="1">
        <f t="shared" si="7"/>
        <v>0</v>
      </c>
      <c r="AN8" s="1">
        <f t="shared" si="8"/>
        <v>0</v>
      </c>
      <c r="AO8" s="1" t="str">
        <f t="shared" si="9"/>
        <v>A</v>
      </c>
      <c r="AP8" s="1">
        <f t="shared" si="10"/>
        <v>1</v>
      </c>
      <c r="AQ8" s="2"/>
      <c r="AR8" s="13">
        <f t="shared" si="11"/>
        <v>229999.98</v>
      </c>
      <c r="AS8" s="13">
        <f t="shared" si="12"/>
        <v>190082.63</v>
      </c>
      <c r="AT8" s="20">
        <f t="shared" si="13"/>
        <v>10.004348999999999</v>
      </c>
      <c r="AU8" s="13">
        <f t="shared" si="14"/>
        <v>230000</v>
      </c>
      <c r="AV8" s="20">
        <f t="shared" si="25"/>
        <v>10.004348999999999</v>
      </c>
      <c r="AW8" s="2"/>
      <c r="AX8" s="2"/>
      <c r="AY8" s="2" t="s">
        <v>92</v>
      </c>
      <c r="AZ8" s="2" t="s">
        <v>91</v>
      </c>
    </row>
    <row r="9" spans="1:52" x14ac:dyDescent="0.25">
      <c r="A9" s="8">
        <f t="shared" ca="1" si="15"/>
        <v>45146</v>
      </c>
      <c r="B9" s="9">
        <f t="shared" ca="1" si="16"/>
        <v>45108</v>
      </c>
      <c r="C9" s="9">
        <f t="shared" ca="1" si="17"/>
        <v>45138</v>
      </c>
      <c r="D9" s="9">
        <f t="shared" ca="1" si="18"/>
        <v>45160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8"/>
        <v>Honorarios Julio</v>
      </c>
      <c r="M9" s="2"/>
      <c r="N9" s="4">
        <v>1.0221830000000001</v>
      </c>
      <c r="O9" s="5">
        <v>19000</v>
      </c>
      <c r="P9" s="5">
        <f t="shared" si="19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0"/>
        <v/>
      </c>
      <c r="Y9" s="1" t="str">
        <f t="shared" si="26"/>
        <v/>
      </c>
      <c r="Z9" s="14">
        <f t="shared" si="21"/>
        <v>2</v>
      </c>
      <c r="AA9" s="18" t="str">
        <f t="shared" si="1"/>
        <v>1.022183</v>
      </c>
      <c r="AB9" s="18" t="str">
        <f t="shared" si="22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23"/>
        <v>0</v>
      </c>
      <c r="AF9" s="13">
        <f t="shared" si="4"/>
        <v>4078.51</v>
      </c>
      <c r="AG9" s="13">
        <f t="shared" si="24"/>
        <v>23499.99</v>
      </c>
      <c r="AH9" s="10" t="str">
        <f t="shared" si="5"/>
        <v>19421.48</v>
      </c>
      <c r="AI9" s="10" t="str">
        <f t="shared" si="27"/>
        <v>0.01</v>
      </c>
      <c r="AJ9" s="2"/>
      <c r="AK9" s="1">
        <f t="shared" si="6"/>
        <v>9</v>
      </c>
      <c r="AL9" s="15" t="str">
        <f>J9&amp;"-"&amp;COUNTIF($J$1:J9,J9)</f>
        <v>20147130202-1</v>
      </c>
      <c r="AM9" s="1">
        <f t="shared" si="7"/>
        <v>0</v>
      </c>
      <c r="AN9" s="1">
        <f t="shared" si="8"/>
        <v>0</v>
      </c>
      <c r="AO9" s="1" t="str">
        <f t="shared" si="9"/>
        <v>A</v>
      </c>
      <c r="AP9" s="1">
        <f t="shared" si="10"/>
        <v>1</v>
      </c>
      <c r="AQ9" s="2"/>
      <c r="AR9" s="13">
        <f t="shared" si="11"/>
        <v>23499.99</v>
      </c>
      <c r="AS9" s="13">
        <f t="shared" si="12"/>
        <v>19421.48</v>
      </c>
      <c r="AT9" s="20">
        <f t="shared" si="13"/>
        <v>1.0221830000000001</v>
      </c>
      <c r="AU9" s="13">
        <f t="shared" si="14"/>
        <v>23500</v>
      </c>
      <c r="AV9" s="20">
        <f t="shared" si="25"/>
        <v>1.0221830000000001</v>
      </c>
      <c r="AW9" s="2"/>
      <c r="AX9" s="2"/>
      <c r="AY9" s="2" t="s">
        <v>92</v>
      </c>
      <c r="AZ9" s="2" t="s">
        <v>91</v>
      </c>
    </row>
    <row r="10" spans="1:52" x14ac:dyDescent="0.25">
      <c r="A10" s="8">
        <f t="shared" ca="1" si="15"/>
        <v>45146</v>
      </c>
      <c r="B10" s="9">
        <f t="shared" ca="1" si="16"/>
        <v>45108</v>
      </c>
      <c r="C10" s="9">
        <f t="shared" ca="1" si="17"/>
        <v>45138</v>
      </c>
      <c r="D10" s="9">
        <f t="shared" ca="1" si="18"/>
        <v>45160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8"/>
        <v>Honorarios Julio</v>
      </c>
      <c r="M10" s="2"/>
      <c r="N10" s="4">
        <v>1.0439320000000001</v>
      </c>
      <c r="O10" s="5">
        <v>19000</v>
      </c>
      <c r="P10" s="5">
        <f t="shared" si="19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0"/>
        <v/>
      </c>
      <c r="Y10" s="1" t="str">
        <f t="shared" si="26"/>
        <v/>
      </c>
      <c r="Z10" s="14">
        <f t="shared" si="21"/>
        <v>2</v>
      </c>
      <c r="AA10" s="18" t="str">
        <f t="shared" si="1"/>
        <v>1.043932</v>
      </c>
      <c r="AB10" s="18" t="str">
        <f t="shared" si="22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23"/>
        <v>0</v>
      </c>
      <c r="AF10" s="13">
        <f t="shared" si="4"/>
        <v>4165.29</v>
      </c>
      <c r="AG10" s="13">
        <f t="shared" si="24"/>
        <v>24000</v>
      </c>
      <c r="AH10" s="10" t="str">
        <f t="shared" si="5"/>
        <v>19834.71</v>
      </c>
      <c r="AI10" s="10" t="str">
        <f t="shared" si="27"/>
        <v>0.00</v>
      </c>
      <c r="AJ10" s="2"/>
      <c r="AK10" s="1">
        <f t="shared" si="6"/>
        <v>10</v>
      </c>
      <c r="AL10" s="15" t="str">
        <f>J10&amp;"-"&amp;COUNTIF($J$1:J10,J10)</f>
        <v>20374730429-1</v>
      </c>
      <c r="AM10" s="1">
        <f t="shared" si="7"/>
        <v>0</v>
      </c>
      <c r="AN10" s="1">
        <f t="shared" si="8"/>
        <v>1</v>
      </c>
      <c r="AO10" s="1" t="str">
        <f t="shared" si="9"/>
        <v>A</v>
      </c>
      <c r="AP10" s="1">
        <f t="shared" si="10"/>
        <v>1</v>
      </c>
      <c r="AQ10" s="2"/>
      <c r="AR10" s="13">
        <f t="shared" si="11"/>
        <v>24000</v>
      </c>
      <c r="AS10" s="13">
        <f t="shared" si="12"/>
        <v>19834.71</v>
      </c>
      <c r="AT10" s="20">
        <f t="shared" si="13"/>
        <v>1.0439320000000001</v>
      </c>
      <c r="AU10" s="13">
        <f t="shared" si="14"/>
        <v>24000</v>
      </c>
      <c r="AV10" s="20">
        <f t="shared" si="25"/>
        <v>1.0439320000000001</v>
      </c>
      <c r="AW10" s="2"/>
      <c r="AX10" s="2"/>
      <c r="AY10" s="2" t="s">
        <v>92</v>
      </c>
      <c r="AZ10" s="2" t="s">
        <v>91</v>
      </c>
    </row>
    <row r="11" spans="1:52" x14ac:dyDescent="0.25">
      <c r="A11" s="8">
        <f t="shared" ca="1" si="15"/>
        <v>45146</v>
      </c>
      <c r="B11" s="9">
        <f t="shared" ca="1" si="16"/>
        <v>45108</v>
      </c>
      <c r="C11" s="9">
        <f t="shared" ca="1" si="17"/>
        <v>45138</v>
      </c>
      <c r="D11" s="9">
        <f t="shared" ca="1" si="18"/>
        <v>45160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8"/>
        <v>Honorarios Julio</v>
      </c>
      <c r="M11" s="2"/>
      <c r="N11" s="4">
        <v>1.3</v>
      </c>
      <c r="O11" s="5">
        <v>10000</v>
      </c>
      <c r="P11" s="5">
        <f t="shared" si="19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0"/>
        <v/>
      </c>
      <c r="Y11" s="1" t="str">
        <f t="shared" si="26"/>
        <v/>
      </c>
      <c r="Z11" s="14">
        <f t="shared" si="21"/>
        <v>2</v>
      </c>
      <c r="AA11" s="18" t="str">
        <f t="shared" si="1"/>
        <v>1.3</v>
      </c>
      <c r="AB11" s="18" t="str">
        <f t="shared" si="22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23"/>
        <v>0</v>
      </c>
      <c r="AF11" s="13">
        <f t="shared" si="4"/>
        <v>2256.1999999999998</v>
      </c>
      <c r="AG11" s="13">
        <f t="shared" si="24"/>
        <v>13000</v>
      </c>
      <c r="AH11" s="10" t="str">
        <f t="shared" si="5"/>
        <v>13000.00</v>
      </c>
      <c r="AI11" s="10" t="str">
        <f t="shared" si="27"/>
        <v>0.00</v>
      </c>
      <c r="AJ11" s="2"/>
      <c r="AK11" s="1">
        <f t="shared" si="6"/>
        <v>11</v>
      </c>
      <c r="AL11" s="15" t="str">
        <f>J11&amp;"-"&amp;COUNTIF($J$1:J11,J11)</f>
        <v>37473042-1</v>
      </c>
      <c r="AM11" s="1">
        <f t="shared" si="7"/>
        <v>1</v>
      </c>
      <c r="AN11" s="1">
        <f t="shared" si="8"/>
        <v>0</v>
      </c>
      <c r="AO11" s="1" t="str">
        <f t="shared" si="9"/>
        <v>B</v>
      </c>
      <c r="AP11" s="1">
        <f t="shared" si="10"/>
        <v>1</v>
      </c>
      <c r="AQ11" s="2"/>
      <c r="AR11" s="13">
        <f t="shared" si="11"/>
        <v>13000</v>
      </c>
      <c r="AS11" s="13">
        <f t="shared" si="12"/>
        <v>10743.8</v>
      </c>
      <c r="AT11" s="20">
        <f t="shared" si="13"/>
        <v>1.3</v>
      </c>
      <c r="AU11" s="13">
        <f t="shared" si="14"/>
        <v>13000</v>
      </c>
      <c r="AV11" s="20">
        <f t="shared" si="25"/>
        <v>1.3</v>
      </c>
      <c r="AW11" s="2"/>
      <c r="AX11" s="2"/>
      <c r="AY11" s="2" t="s">
        <v>93</v>
      </c>
      <c r="AZ11" s="2"/>
    </row>
    <row r="12" spans="1:52" x14ac:dyDescent="0.25">
      <c r="A12" s="8">
        <f t="shared" ca="1" si="15"/>
        <v>45146</v>
      </c>
      <c r="B12" s="9">
        <f t="shared" ca="1" si="16"/>
        <v>45108</v>
      </c>
      <c r="C12" s="9">
        <f t="shared" ca="1" si="17"/>
        <v>45138</v>
      </c>
      <c r="D12" s="9">
        <f t="shared" ca="1" si="18"/>
        <v>45160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8"/>
        <v>Honorarios Julio</v>
      </c>
      <c r="M12" s="2"/>
      <c r="N12" s="4">
        <v>1.2105263157894737</v>
      </c>
      <c r="O12" s="5">
        <v>19000</v>
      </c>
      <c r="P12" s="5">
        <f t="shared" si="19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0"/>
        <v/>
      </c>
      <c r="Y12" s="1" t="str">
        <f t="shared" si="26"/>
        <v/>
      </c>
      <c r="Z12" s="14">
        <f t="shared" si="21"/>
        <v>2</v>
      </c>
      <c r="AA12" s="18" t="str">
        <f t="shared" si="1"/>
        <v>1.210526</v>
      </c>
      <c r="AB12" s="18" t="str">
        <f t="shared" si="22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23"/>
        <v>0</v>
      </c>
      <c r="AF12" s="13">
        <f t="shared" si="4"/>
        <v>3991.74</v>
      </c>
      <c r="AG12" s="13">
        <f t="shared" si="24"/>
        <v>23000</v>
      </c>
      <c r="AH12" s="10" t="str">
        <f t="shared" si="5"/>
        <v>23000.00</v>
      </c>
      <c r="AI12" s="10" t="str">
        <f t="shared" si="27"/>
        <v>0.00</v>
      </c>
      <c r="AJ12" s="2"/>
      <c r="AK12" s="1">
        <f t="shared" si="6"/>
        <v>12</v>
      </c>
      <c r="AL12" s="15" t="str">
        <f>J12&amp;"-"&amp;COUNTIF($J$1:J12,J12)</f>
        <v>30707354719-1</v>
      </c>
      <c r="AM12" s="1">
        <f t="shared" si="7"/>
        <v>0</v>
      </c>
      <c r="AN12" s="1">
        <f t="shared" si="8"/>
        <v>0</v>
      </c>
      <c r="AO12" s="1" t="str">
        <f t="shared" si="9"/>
        <v>B</v>
      </c>
      <c r="AP12" s="1">
        <f t="shared" si="10"/>
        <v>1</v>
      </c>
      <c r="AQ12" s="2"/>
      <c r="AR12" s="13">
        <f t="shared" si="11"/>
        <v>23000</v>
      </c>
      <c r="AS12" s="13">
        <f t="shared" si="12"/>
        <v>19008.259999999998</v>
      </c>
      <c r="AT12" s="20">
        <f t="shared" si="13"/>
        <v>1.2105263157894737</v>
      </c>
      <c r="AU12" s="13">
        <f t="shared" si="14"/>
        <v>23000</v>
      </c>
      <c r="AV12" s="20">
        <f t="shared" si="25"/>
        <v>1.2105263157894737</v>
      </c>
      <c r="AW12" s="2"/>
      <c r="AX12" s="2"/>
      <c r="AY12" s="2" t="s">
        <v>93</v>
      </c>
      <c r="AZ12" s="2"/>
    </row>
    <row r="13" spans="1:52" x14ac:dyDescent="0.25">
      <c r="A13" s="8">
        <f t="shared" ca="1" si="15"/>
        <v>45146</v>
      </c>
      <c r="B13" s="9">
        <f t="shared" ca="1" si="16"/>
        <v>45108</v>
      </c>
      <c r="C13" s="9">
        <f t="shared" ca="1" si="17"/>
        <v>45138</v>
      </c>
      <c r="D13" s="9">
        <f t="shared" ca="1" si="18"/>
        <v>45160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8"/>
        <v>Honorarios Julio</v>
      </c>
      <c r="M13" s="2"/>
      <c r="N13" s="4">
        <v>1.5</v>
      </c>
      <c r="O13" s="5">
        <v>19000</v>
      </c>
      <c r="P13" s="5">
        <f t="shared" si="19"/>
        <v>28500</v>
      </c>
      <c r="Q13" s="11"/>
      <c r="R13" s="11"/>
      <c r="S13" s="11"/>
      <c r="T13" s="11"/>
      <c r="U13" s="12"/>
      <c r="V13" s="2"/>
      <c r="W13" s="2"/>
      <c r="X13" s="1" t="str">
        <f t="shared" si="20"/>
        <v/>
      </c>
      <c r="Y13" s="1" t="str">
        <f t="shared" si="26"/>
        <v/>
      </c>
      <c r="Z13" s="14">
        <f t="shared" si="21"/>
        <v>2</v>
      </c>
      <c r="AA13" s="18" t="str">
        <f t="shared" si="1"/>
        <v>1.5</v>
      </c>
      <c r="AB13" s="18" t="str">
        <f t="shared" si="22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23"/>
        <v>0</v>
      </c>
      <c r="AF13" s="13">
        <f t="shared" si="4"/>
        <v>0</v>
      </c>
      <c r="AG13" s="13">
        <f t="shared" si="24"/>
        <v>28500</v>
      </c>
      <c r="AH13" s="10" t="str">
        <f t="shared" si="5"/>
        <v>28500.00</v>
      </c>
      <c r="AI13" s="10" t="str">
        <f t="shared" si="27"/>
        <v>0.00</v>
      </c>
      <c r="AJ13" s="2"/>
      <c r="AK13" s="1">
        <f t="shared" si="6"/>
        <v>13</v>
      </c>
      <c r="AL13" s="15" t="str">
        <f>J13&amp;"-"&amp;COUNTIF($J$1:J13,J13)</f>
        <v>-0</v>
      </c>
      <c r="AM13" s="1">
        <f t="shared" si="7"/>
        <v>0</v>
      </c>
      <c r="AN13" s="1">
        <f t="shared" si="8"/>
        <v>0</v>
      </c>
      <c r="AO13" s="1" t="str">
        <f t="shared" si="9"/>
        <v>C</v>
      </c>
      <c r="AP13" s="1">
        <f t="shared" si="10"/>
        <v>1</v>
      </c>
      <c r="AQ13" s="2"/>
      <c r="AR13" s="13">
        <f t="shared" si="11"/>
        <v>28500</v>
      </c>
      <c r="AS13" s="13">
        <f t="shared" si="12"/>
        <v>28500</v>
      </c>
      <c r="AT13" s="20">
        <f t="shared" si="13"/>
        <v>1.5</v>
      </c>
      <c r="AU13" s="13">
        <f t="shared" si="14"/>
        <v>28500</v>
      </c>
      <c r="AV13" s="20">
        <f t="shared" si="25"/>
        <v>1.5</v>
      </c>
      <c r="AW13" s="2"/>
      <c r="AX13" s="2"/>
      <c r="AY13" s="2" t="s">
        <v>93</v>
      </c>
      <c r="AZ13" s="2"/>
    </row>
    <row r="14" spans="1:52" x14ac:dyDescent="0.25">
      <c r="A14" s="8">
        <f t="shared" ca="1" si="15"/>
        <v>45146</v>
      </c>
      <c r="B14" s="9">
        <f t="shared" ca="1" si="16"/>
        <v>45108</v>
      </c>
      <c r="C14" s="9">
        <f t="shared" ca="1" si="17"/>
        <v>45138</v>
      </c>
      <c r="D14" s="9">
        <f t="shared" ca="1" si="18"/>
        <v>45160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9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0"/>
        <v/>
      </c>
      <c r="Y14" s="1" t="str">
        <f t="shared" si="26"/>
        <v/>
      </c>
      <c r="Z14" s="14">
        <f t="shared" si="21"/>
        <v>2</v>
      </c>
      <c r="AA14" s="18" t="str">
        <f t="shared" si="1"/>
        <v>7.024793</v>
      </c>
      <c r="AB14" s="18" t="str">
        <f t="shared" si="22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23"/>
        <v>44816</v>
      </c>
      <c r="AF14" s="13">
        <f t="shared" si="4"/>
        <v>28028.92</v>
      </c>
      <c r="AG14" s="13">
        <f t="shared" si="24"/>
        <v>161499.99</v>
      </c>
      <c r="AH14" s="10" t="str">
        <f t="shared" si="5"/>
        <v>133471.07</v>
      </c>
      <c r="AI14" s="10" t="str">
        <f t="shared" si="27"/>
        <v>0.01</v>
      </c>
      <c r="AJ14" s="2"/>
      <c r="AK14" s="1">
        <f t="shared" si="6"/>
        <v>14</v>
      </c>
      <c r="AL14" s="15" t="str">
        <f>J14&amp;"-"&amp;COUNTIF($J$1:J14,J14)</f>
        <v>30684125792-1</v>
      </c>
      <c r="AM14" s="1">
        <f t="shared" si="7"/>
        <v>0</v>
      </c>
      <c r="AN14" s="1">
        <f t="shared" si="8"/>
        <v>0</v>
      </c>
      <c r="AO14" s="1" t="str">
        <f t="shared" si="9"/>
        <v>A</v>
      </c>
      <c r="AP14" s="1">
        <f t="shared" si="10"/>
        <v>0</v>
      </c>
      <c r="AQ14" s="2"/>
      <c r="AR14" s="13">
        <f t="shared" si="11"/>
        <v>161499.99</v>
      </c>
      <c r="AS14" s="13">
        <f t="shared" si="12"/>
        <v>133471.07</v>
      </c>
      <c r="AT14" s="20">
        <f t="shared" si="13"/>
        <v>7.0247929999999998</v>
      </c>
      <c r="AU14" s="13">
        <f t="shared" si="14"/>
        <v>161500</v>
      </c>
      <c r="AV14" s="20">
        <f t="shared" si="25"/>
        <v>7.0247929999999998</v>
      </c>
      <c r="AW14" s="2"/>
      <c r="AX14" s="2"/>
      <c r="AY14" s="2" t="s">
        <v>93</v>
      </c>
      <c r="AZ14" s="2"/>
    </row>
    <row r="15" spans="1:52" x14ac:dyDescent="0.25">
      <c r="A15" s="8">
        <f t="shared" ca="1" si="15"/>
        <v>45146</v>
      </c>
      <c r="B15" s="9">
        <f t="shared" ca="1" si="16"/>
        <v>45108</v>
      </c>
      <c r="C15" s="9">
        <f t="shared" ca="1" si="17"/>
        <v>45138</v>
      </c>
      <c r="D15" s="9">
        <f t="shared" ca="1" si="18"/>
        <v>45160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9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0"/>
        <v/>
      </c>
      <c r="Y15" s="1" t="str">
        <f t="shared" si="26"/>
        <v/>
      </c>
      <c r="Z15" s="14">
        <f t="shared" si="21"/>
        <v>2</v>
      </c>
      <c r="AA15" s="18" t="str">
        <f t="shared" si="1"/>
        <v>1.5</v>
      </c>
      <c r="AB15" s="18" t="str">
        <f t="shared" si="22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23"/>
        <v>44816</v>
      </c>
      <c r="AF15" s="13">
        <f t="shared" si="4"/>
        <v>4946.28</v>
      </c>
      <c r="AG15" s="13">
        <f t="shared" si="24"/>
        <v>28500</v>
      </c>
      <c r="AH15" s="10" t="str">
        <f t="shared" si="5"/>
        <v>28500.00</v>
      </c>
      <c r="AI15" s="10" t="str">
        <f t="shared" si="27"/>
        <v>0.00</v>
      </c>
      <c r="AJ15" s="2"/>
      <c r="AK15" s="1">
        <f t="shared" si="6"/>
        <v>15</v>
      </c>
      <c r="AL15" s="15" t="str">
        <f>J15&amp;"-"&amp;COUNTIF($J$1:J15,J15)</f>
        <v>30707354719-2</v>
      </c>
      <c r="AM15" s="1">
        <f t="shared" si="7"/>
        <v>0</v>
      </c>
      <c r="AN15" s="1">
        <f t="shared" si="8"/>
        <v>0</v>
      </c>
      <c r="AO15" s="1" t="str">
        <f t="shared" si="9"/>
        <v>B</v>
      </c>
      <c r="AP15" s="1">
        <f t="shared" si="10"/>
        <v>0</v>
      </c>
      <c r="AQ15" s="2"/>
      <c r="AR15" s="13">
        <f t="shared" si="11"/>
        <v>28500</v>
      </c>
      <c r="AS15" s="13">
        <f t="shared" si="12"/>
        <v>23553.72</v>
      </c>
      <c r="AT15" s="20">
        <f t="shared" si="13"/>
        <v>1.5</v>
      </c>
      <c r="AU15" s="13">
        <f t="shared" si="14"/>
        <v>28500</v>
      </c>
      <c r="AV15" s="20">
        <f t="shared" si="25"/>
        <v>1.5</v>
      </c>
      <c r="AW15" s="2"/>
      <c r="AX15" s="2"/>
      <c r="AY15" s="2" t="s">
        <v>93</v>
      </c>
      <c r="AZ15" s="2"/>
    </row>
    <row r="16" spans="1:52" x14ac:dyDescent="0.25">
      <c r="A16" s="8">
        <f t="shared" ca="1" si="15"/>
        <v>45146</v>
      </c>
      <c r="B16" s="9">
        <f t="shared" ca="1" si="16"/>
        <v>45108</v>
      </c>
      <c r="C16" s="9">
        <f t="shared" ca="1" si="17"/>
        <v>45138</v>
      </c>
      <c r="D16" s="9">
        <f t="shared" ca="1" si="18"/>
        <v>45160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9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0"/>
        <v/>
      </c>
      <c r="Y16" s="1" t="str">
        <f t="shared" si="26"/>
        <v/>
      </c>
      <c r="Z16" s="14">
        <f t="shared" si="21"/>
        <v>2</v>
      </c>
      <c r="AA16" s="18" t="str">
        <f t="shared" si="1"/>
        <v>7.003044</v>
      </c>
      <c r="AB16" s="18" t="str">
        <f t="shared" si="22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23"/>
        <v>44816</v>
      </c>
      <c r="AF16" s="13">
        <f t="shared" si="4"/>
        <v>27942.15</v>
      </c>
      <c r="AG16" s="13">
        <f t="shared" si="24"/>
        <v>160999.99</v>
      </c>
      <c r="AH16" s="10" t="str">
        <f t="shared" si="5"/>
        <v>133057.84</v>
      </c>
      <c r="AI16" s="10" t="str">
        <f t="shared" si="27"/>
        <v>0.01</v>
      </c>
      <c r="AJ16" s="2"/>
      <c r="AK16" s="1">
        <f t="shared" si="6"/>
        <v>16</v>
      </c>
      <c r="AL16" s="15" t="str">
        <f>J16&amp;"-"&amp;COUNTIF($J$1:J16,J16)</f>
        <v>30684125792-2</v>
      </c>
      <c r="AM16" s="1">
        <f t="shared" si="7"/>
        <v>0</v>
      </c>
      <c r="AN16" s="1">
        <f t="shared" si="8"/>
        <v>0</v>
      </c>
      <c r="AO16" s="1" t="str">
        <f t="shared" si="9"/>
        <v>A</v>
      </c>
      <c r="AP16" s="1">
        <f t="shared" si="10"/>
        <v>0</v>
      </c>
      <c r="AQ16" s="2"/>
      <c r="AR16" s="13">
        <f t="shared" si="11"/>
        <v>160999.98000000001</v>
      </c>
      <c r="AS16" s="13">
        <f t="shared" si="12"/>
        <v>133057.82999999999</v>
      </c>
      <c r="AT16" s="20">
        <f t="shared" si="13"/>
        <v>7.003044</v>
      </c>
      <c r="AU16" s="13">
        <f t="shared" si="14"/>
        <v>161000</v>
      </c>
      <c r="AV16" s="20">
        <f t="shared" si="25"/>
        <v>7.003044</v>
      </c>
      <c r="AW16" s="2"/>
      <c r="AX16" s="2"/>
      <c r="AY16" s="2" t="s">
        <v>93</v>
      </c>
      <c r="AZ16" s="2"/>
    </row>
    <row r="17" spans="1:52" x14ac:dyDescent="0.25">
      <c r="A17" s="8">
        <f t="shared" ca="1" si="15"/>
        <v>45146</v>
      </c>
      <c r="B17" s="9">
        <f t="shared" ca="1" si="16"/>
        <v>45108</v>
      </c>
      <c r="C17" s="9">
        <f t="shared" ca="1" si="17"/>
        <v>45138</v>
      </c>
      <c r="D17" s="9">
        <f t="shared" ca="1" si="18"/>
        <v>45160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9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0"/>
        <v/>
      </c>
      <c r="Y17" s="1" t="str">
        <f t="shared" si="26"/>
        <v/>
      </c>
      <c r="Z17" s="14">
        <f t="shared" si="21"/>
        <v>2</v>
      </c>
      <c r="AA17" s="18" t="str">
        <f t="shared" si="1"/>
        <v>1.5</v>
      </c>
      <c r="AB17" s="18" t="str">
        <f t="shared" si="22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23"/>
        <v>44816</v>
      </c>
      <c r="AF17" s="13">
        <f t="shared" si="4"/>
        <v>4946.28</v>
      </c>
      <c r="AG17" s="13">
        <f t="shared" si="24"/>
        <v>28500</v>
      </c>
      <c r="AH17" s="10" t="str">
        <f t="shared" si="5"/>
        <v>28500.00</v>
      </c>
      <c r="AI17" s="10" t="str">
        <f t="shared" si="27"/>
        <v>0.00</v>
      </c>
      <c r="AJ17" s="2"/>
      <c r="AK17" s="1">
        <f t="shared" si="6"/>
        <v>17</v>
      </c>
      <c r="AL17" s="15" t="str">
        <f>J17&amp;"-"&amp;COUNTIF($J$1:J17,J17)</f>
        <v>37473042-2</v>
      </c>
      <c r="AM17" s="1">
        <f t="shared" si="7"/>
        <v>0</v>
      </c>
      <c r="AN17" s="1">
        <f t="shared" si="8"/>
        <v>0</v>
      </c>
      <c r="AO17" s="1" t="str">
        <f t="shared" si="9"/>
        <v>B</v>
      </c>
      <c r="AP17" s="1">
        <f t="shared" si="10"/>
        <v>0</v>
      </c>
      <c r="AQ17" s="2"/>
      <c r="AR17" s="13">
        <f t="shared" si="11"/>
        <v>28500</v>
      </c>
      <c r="AS17" s="13">
        <f t="shared" si="12"/>
        <v>23553.72</v>
      </c>
      <c r="AT17" s="20">
        <f t="shared" si="13"/>
        <v>1.5</v>
      </c>
      <c r="AU17" s="13">
        <f t="shared" si="14"/>
        <v>28500</v>
      </c>
      <c r="AV17" s="20">
        <f t="shared" si="25"/>
        <v>1.5</v>
      </c>
      <c r="AW17" s="2"/>
      <c r="AX17" s="2"/>
      <c r="AY17" s="2" t="s">
        <v>93</v>
      </c>
      <c r="AZ17" s="2"/>
    </row>
  </sheetData>
  <autoFilter ref="A1:AZ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dataValidations count="1">
    <dataValidation type="list" allowBlank="1" showInputMessage="1" showErrorMessage="1" sqref="AY2:AY17" xr:uid="{BFC33D16-50A8-46DB-B879-EC5A925DAA79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2023-08-08T17:43:14Z</dcterms:modified>
</cp:coreProperties>
</file>