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iPath\RPA - Contatech 2\Facturador\Facturador nuevo\"/>
    </mc:Choice>
  </mc:AlternateContent>
  <xr:revisionPtr revIDLastSave="0" documentId="13_ncr:1_{0FCCE1C8-726C-471D-B2D9-7D8BA616A98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actura" sheetId="2" r:id="rId1"/>
  </sheets>
  <externalReferences>
    <externalReference r:id="rId2"/>
  </externalReferences>
  <definedNames>
    <definedName name="_xlnm._FilterDatabase" localSheetId="0" hidden="1">Factura!$A$1:$AC$16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16" i="2" l="1"/>
  <c r="T16" i="2"/>
  <c r="U15" i="2"/>
  <c r="T15" i="2"/>
  <c r="U14" i="2"/>
  <c r="T14" i="2"/>
  <c r="U13" i="2"/>
  <c r="T13" i="2"/>
  <c r="U12" i="2"/>
  <c r="T12" i="2"/>
  <c r="U11" i="2"/>
  <c r="T11" i="2"/>
  <c r="U10" i="2"/>
  <c r="T10" i="2"/>
  <c r="U9" i="2"/>
  <c r="T9" i="2"/>
  <c r="U8" i="2"/>
  <c r="T8" i="2"/>
  <c r="U7" i="2"/>
  <c r="T7" i="2"/>
  <c r="U6" i="2"/>
  <c r="T6" i="2"/>
  <c r="U5" i="2"/>
  <c r="T5" i="2"/>
  <c r="U4" i="2"/>
  <c r="T4" i="2"/>
  <c r="U3" i="2"/>
  <c r="T3" i="2"/>
  <c r="U2" i="2"/>
  <c r="T2" i="2"/>
  <c r="V16" i="2"/>
  <c r="V15" i="2"/>
  <c r="V14" i="2"/>
  <c r="V13" i="2"/>
  <c r="V12" i="2"/>
  <c r="V11" i="2"/>
  <c r="V10" i="2"/>
  <c r="V9" i="2"/>
  <c r="V8" i="2"/>
  <c r="V7" i="2"/>
  <c r="V6" i="2"/>
  <c r="V5" i="2"/>
  <c r="V4" i="2"/>
  <c r="V3" i="2"/>
  <c r="V2" i="2"/>
  <c r="AE16" i="2"/>
  <c r="AF16" i="2" s="1"/>
  <c r="AG16" i="2" s="1"/>
  <c r="AC16" i="2"/>
  <c r="AA16" i="2" s="1"/>
  <c r="AB16" i="2"/>
  <c r="W16" i="2"/>
  <c r="X16" i="2" s="1"/>
  <c r="D16" i="2"/>
  <c r="C16" i="2"/>
  <c r="B16" i="2" s="1"/>
  <c r="AE15" i="2"/>
  <c r="AF15" i="2" s="1"/>
  <c r="AG15" i="2" s="1"/>
  <c r="AC15" i="2"/>
  <c r="AA15" i="2" s="1"/>
  <c r="AB15" i="2"/>
  <c r="W15" i="2"/>
  <c r="X15" i="2" s="1"/>
  <c r="D15" i="2"/>
  <c r="C15" i="2"/>
  <c r="B15" i="2" s="1"/>
  <c r="C6" i="2"/>
  <c r="B6" i="2" s="1"/>
  <c r="D6" i="2"/>
  <c r="W6" i="2"/>
  <c r="X6" i="2" s="1"/>
  <c r="AB6" i="2"/>
  <c r="AC6" i="2"/>
  <c r="AA6" i="2" s="1"/>
  <c r="AE6" i="2"/>
  <c r="AF6" i="2" s="1"/>
  <c r="AG6" i="2" s="1"/>
  <c r="Y10" i="2"/>
  <c r="W10" i="2"/>
  <c r="X10" i="2" s="1"/>
  <c r="Z10" i="2" s="1"/>
  <c r="Y4" i="2"/>
  <c r="W4" i="2"/>
  <c r="X4" i="2" s="1"/>
  <c r="Z4" i="2" s="1"/>
  <c r="C3" i="2"/>
  <c r="B3" i="2" s="1"/>
  <c r="D3" i="2"/>
  <c r="W3" i="2"/>
  <c r="X3" i="2" s="1"/>
  <c r="Z3" i="2" s="1"/>
  <c r="Y3" i="2"/>
  <c r="AB3" i="2"/>
  <c r="AC3" i="2"/>
  <c r="AA3" i="2" s="1"/>
  <c r="AE3" i="2"/>
  <c r="AF3" i="2" s="1"/>
  <c r="AG3" i="2" s="1"/>
  <c r="AE14" i="2"/>
  <c r="AF14" i="2" s="1"/>
  <c r="AG14" i="2" s="1"/>
  <c r="AE13" i="2"/>
  <c r="AF13" i="2" s="1"/>
  <c r="AG13" i="2" s="1"/>
  <c r="AE12" i="2"/>
  <c r="AF12" i="2" s="1"/>
  <c r="AG12" i="2" s="1"/>
  <c r="AE11" i="2"/>
  <c r="AF11" i="2" s="1"/>
  <c r="AG11" i="2" s="1"/>
  <c r="AE10" i="2"/>
  <c r="AF10" i="2" s="1"/>
  <c r="AG10" i="2" s="1"/>
  <c r="AE9" i="2"/>
  <c r="AF9" i="2" s="1"/>
  <c r="AG9" i="2" s="1"/>
  <c r="AE8" i="2"/>
  <c r="AF8" i="2" s="1"/>
  <c r="AG8" i="2" s="1"/>
  <c r="AE7" i="2"/>
  <c r="AF7" i="2" s="1"/>
  <c r="AG7" i="2" s="1"/>
  <c r="AE5" i="2"/>
  <c r="AF5" i="2" s="1"/>
  <c r="AG5" i="2" s="1"/>
  <c r="AE2" i="2"/>
  <c r="AF2" i="2" s="1"/>
  <c r="AG2" i="2" s="1"/>
  <c r="AE4" i="2"/>
  <c r="AF4" i="2" s="1"/>
  <c r="AG4" i="2" s="1"/>
  <c r="W14" i="2"/>
  <c r="X14" i="2" s="1"/>
  <c r="W13" i="2"/>
  <c r="X13" i="2" s="1"/>
  <c r="Z13" i="2" s="1"/>
  <c r="W12" i="2"/>
  <c r="W9" i="2"/>
  <c r="X9" i="2" s="1"/>
  <c r="Z9" i="2" s="1"/>
  <c r="W5" i="2"/>
  <c r="X5" i="2" s="1"/>
  <c r="Z5" i="2" s="1"/>
  <c r="W2" i="2"/>
  <c r="X2" i="2" s="1"/>
  <c r="Z2" i="2" s="1"/>
  <c r="W11" i="2"/>
  <c r="W7" i="2"/>
  <c r="X7" i="2" s="1"/>
  <c r="Z7" i="2" s="1"/>
  <c r="AB14" i="2"/>
  <c r="AC14" i="2"/>
  <c r="AA14" i="2" s="1"/>
  <c r="C14" i="2"/>
  <c r="B14" i="2" s="1"/>
  <c r="K14" i="2" s="1"/>
  <c r="D14" i="2"/>
  <c r="W8" i="2"/>
  <c r="X8" i="2" s="1"/>
  <c r="Z8" i="2" s="1"/>
  <c r="D13" i="2"/>
  <c r="C13" i="2"/>
  <c r="B13" i="2" s="1"/>
  <c r="K13" i="2" s="1"/>
  <c r="D12" i="2"/>
  <c r="C12" i="2"/>
  <c r="B12" i="2" s="1"/>
  <c r="K12" i="2" s="1"/>
  <c r="D11" i="2"/>
  <c r="C11" i="2"/>
  <c r="B11" i="2" s="1"/>
  <c r="K11" i="2" s="1"/>
  <c r="D10" i="2"/>
  <c r="C10" i="2"/>
  <c r="B10" i="2" s="1"/>
  <c r="D9" i="2"/>
  <c r="C9" i="2"/>
  <c r="B9" i="2" s="1"/>
  <c r="K9" i="2" s="1"/>
  <c r="D8" i="2"/>
  <c r="C8" i="2"/>
  <c r="B8" i="2" s="1"/>
  <c r="K8" i="2" s="1"/>
  <c r="D7" i="2"/>
  <c r="C7" i="2"/>
  <c r="B7" i="2" s="1"/>
  <c r="K7" i="2" s="1"/>
  <c r="D5" i="2"/>
  <c r="C5" i="2"/>
  <c r="B5" i="2" s="1"/>
  <c r="D4" i="2"/>
  <c r="C4" i="2"/>
  <c r="B4" i="2" s="1"/>
  <c r="K4" i="2" s="1"/>
  <c r="D2" i="2"/>
  <c r="C2" i="2"/>
  <c r="B2" i="2" s="1"/>
  <c r="K2" i="2" s="1"/>
  <c r="Y6" i="2" l="1"/>
  <c r="Z6" i="2"/>
  <c r="Z15" i="2"/>
  <c r="Y15" i="2"/>
  <c r="Z16" i="2"/>
  <c r="Y16" i="2"/>
  <c r="X11" i="2"/>
  <c r="Z11" i="2" s="1"/>
  <c r="X12" i="2"/>
  <c r="Z12" i="2" s="1"/>
  <c r="Y14" i="2"/>
  <c r="Z14" i="2"/>
  <c r="AC13" i="2"/>
  <c r="AA13" i="2" s="1"/>
  <c r="AC12" i="2"/>
  <c r="AA12" i="2" s="1"/>
  <c r="AC11" i="2"/>
  <c r="AA11" i="2" s="1"/>
  <c r="AC10" i="2"/>
  <c r="AA10" i="2" s="1"/>
  <c r="AC9" i="2"/>
  <c r="AA9" i="2" s="1"/>
  <c r="AC8" i="2"/>
  <c r="AA8" i="2" s="1"/>
  <c r="AC7" i="2"/>
  <c r="AA7" i="2" s="1"/>
  <c r="AC5" i="2"/>
  <c r="AA5" i="2" s="1"/>
  <c r="AC4" i="2"/>
  <c r="AA4" i="2" s="1"/>
  <c r="AC2" i="2"/>
  <c r="AA2" i="2" s="1"/>
  <c r="AB13" i="2"/>
  <c r="AB12" i="2"/>
  <c r="AB11" i="2"/>
  <c r="AB10" i="2"/>
  <c r="AB9" i="2"/>
  <c r="AB8" i="2"/>
  <c r="AB7" i="2"/>
  <c r="AB5" i="2"/>
  <c r="AB4" i="2"/>
  <c r="AB2" i="2"/>
  <c r="Y13" i="2" l="1"/>
  <c r="Y7" i="2"/>
  <c r="Y8" i="2"/>
  <c r="Y2" i="2"/>
  <c r="Y9" i="2"/>
  <c r="Y11" i="2"/>
  <c r="Y12" i="2"/>
  <c r="Y5" i="2"/>
</calcChain>
</file>

<file path=xl/sharedStrings.xml><?xml version="1.0" encoding="utf-8"?>
<sst xmlns="http://schemas.openxmlformats.org/spreadsheetml/2006/main" count="155" uniqueCount="68">
  <si>
    <t>Fecha</t>
  </si>
  <si>
    <t>Desde</t>
  </si>
  <si>
    <t>Hasta</t>
  </si>
  <si>
    <t>Tipo de comprobante</t>
  </si>
  <si>
    <t>Condición IVA</t>
  </si>
  <si>
    <t>CUIT</t>
  </si>
  <si>
    <t>Denominación</t>
  </si>
  <si>
    <t>Descripción del servicio</t>
  </si>
  <si>
    <t>Neto Gravado</t>
  </si>
  <si>
    <t>Factura A</t>
  </si>
  <si>
    <t>Factura B</t>
  </si>
  <si>
    <t>CAMARA DE ELABORADORES DE TE ARGENTINO C. E. T.A.</t>
  </si>
  <si>
    <t>Unidades</t>
  </si>
  <si>
    <t>Precio unidad</t>
  </si>
  <si>
    <t>IVA</t>
  </si>
  <si>
    <t>Total</t>
  </si>
  <si>
    <t>IVA Sujeto Exento</t>
  </si>
  <si>
    <t>IVA Responsable Inscripto</t>
  </si>
  <si>
    <t>Responsable Monotributo</t>
  </si>
  <si>
    <t>Vencimiento</t>
  </si>
  <si>
    <t>Base</t>
  </si>
  <si>
    <t>Redondeo</t>
  </si>
  <si>
    <t>facturado</t>
  </si>
  <si>
    <t>Fila</t>
  </si>
  <si>
    <t>AUX</t>
  </si>
  <si>
    <t>Tipo CUIT</t>
  </si>
  <si>
    <t>Ajustes Marzo/Abril 2022</t>
  </si>
  <si>
    <t>Alicuota IVA</t>
  </si>
  <si>
    <t>21%</t>
  </si>
  <si>
    <t>Consumidor Final</t>
  </si>
  <si>
    <t>DNI</t>
  </si>
  <si>
    <t>ACCENTURE SOCIEDAD DE RESPONSABILIDAD LIMITADA</t>
  </si>
  <si>
    <t>AUSTRAL LINEAS AEREAS CIELOS DEL SUR S A</t>
  </si>
  <si>
    <t>COCA COLA FEMSA DE BUENOS AIRES S A</t>
  </si>
  <si>
    <t>LAKAUT S.A.</t>
  </si>
  <si>
    <t>PRICE WATERHOUSE &amp; CO SOCIEDAD DE RESPONSABILIDAD LIMITADA</t>
  </si>
  <si>
    <t>SAMSUNG ELECTRONICS ARGENTINA S A</t>
  </si>
  <si>
    <t>ARCOS DORADOS ARGENTINA SOCIEDAD ANONIMA</t>
  </si>
  <si>
    <t>BUSTOS PIASENTINI AGUSTIN</t>
  </si>
  <si>
    <t>BUSTOS JOSE MARTIN</t>
  </si>
  <si>
    <t>Aux neto</t>
  </si>
  <si>
    <t>Aux unidades</t>
  </si>
  <si>
    <t>Aux Total redondeado</t>
  </si>
  <si>
    <t>Horas extra</t>
  </si>
  <si>
    <t>Concepto</t>
  </si>
  <si>
    <t>Productos</t>
  </si>
  <si>
    <t>Servicios</t>
  </si>
  <si>
    <t>Productos y Servicios</t>
  </si>
  <si>
    <t>12/09/2022</t>
  </si>
  <si>
    <t>Nota de Crédito A</t>
  </si>
  <si>
    <t>Nota de Débito A</t>
  </si>
  <si>
    <t>Nota de Crédito B</t>
  </si>
  <si>
    <t>Nota de Débito B</t>
  </si>
  <si>
    <t>Fecha asociada</t>
  </si>
  <si>
    <t>Fecha Cbte A</t>
  </si>
  <si>
    <t>Nro Cbte Asociado</t>
  </si>
  <si>
    <t>Pto Vta Asociado</t>
  </si>
  <si>
    <t>2</t>
  </si>
  <si>
    <t>150</t>
  </si>
  <si>
    <t>151</t>
  </si>
  <si>
    <t>152</t>
  </si>
  <si>
    <t>153</t>
  </si>
  <si>
    <t>Ajuste Honorarios</t>
  </si>
  <si>
    <t>Ajuste</t>
  </si>
  <si>
    <t>Cbte A</t>
  </si>
  <si>
    <t>Pto A</t>
  </si>
  <si>
    <t>CBTE A</t>
  </si>
  <si>
    <t>Nota de Cédito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</si>
</sst>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 * #,##0.0000_ ;_ * \-#,##0.0000_ ;_ * &quot;-&quot;??_ ;_ @_ 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Wingdings"/>
      <charset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10" xfId="0" applyBorder="1"/>
    <xf numFmtId="1" fontId="0" fillId="0" borderId="10" xfId="0" applyNumberFormat="1" applyBorder="1"/>
    <xf numFmtId="2" fontId="0" fillId="0" borderId="10" xfId="0" applyNumberFormat="1" applyBorder="1"/>
    <xf numFmtId="164" fontId="0" fillId="0" borderId="10" xfId="42" applyFont="1" applyBorder="1"/>
    <xf numFmtId="0" fontId="0" fillId="34" borderId="10" xfId="0" applyFill="1" applyBorder="1"/>
    <xf numFmtId="0" fontId="13" fillId="33" borderId="0" xfId="0" applyFont="1" applyFill="1"/>
    <xf numFmtId="14" fontId="0" fillId="0" borderId="10" xfId="0" quotePrefix="1" applyNumberFormat="1" applyBorder="1"/>
    <xf numFmtId="14" fontId="0" fillId="35" borderId="10" xfId="0" applyNumberFormat="1" applyFill="1" applyBorder="1"/>
    <xf numFmtId="0" fontId="0" fillId="35" borderId="10" xfId="0" applyFill="1" applyBorder="1"/>
    <xf numFmtId="164" fontId="0" fillId="35" borderId="10" xfId="42" applyFont="1" applyFill="1" applyBorder="1"/>
    <xf numFmtId="164" fontId="0" fillId="35" borderId="10" xfId="0" applyNumberFormat="1" applyFill="1" applyBorder="1" applyAlignment="1">
      <alignment horizontal="right"/>
    </xf>
    <xf numFmtId="0" fontId="18" fillId="35" borderId="10" xfId="0" applyFont="1" applyFill="1" applyBorder="1"/>
    <xf numFmtId="49" fontId="0" fillId="0" borderId="10" xfId="42" applyNumberFormat="1" applyFont="1" applyBorder="1"/>
    <xf numFmtId="165" fontId="0" fillId="35" borderId="0" xfId="42" applyNumberFormat="1" applyFont="1" applyFill="1"/>
    <xf numFmtId="0" fontId="13" fillId="36" borderId="0" xfId="0" applyFont="1" applyFill="1"/>
    <xf numFmtId="164" fontId="0" fillId="35" borderId="0" xfId="42" applyFont="1" applyFill="1"/>
    <xf numFmtId="14" fontId="0" fillId="0" borderId="10" xfId="42" applyNumberFormat="1" applyFont="1" applyBorder="1"/>
    <xf numFmtId="0" fontId="0" fillId="35" borderId="10" xfId="42" applyNumberFormat="1" applyFont="1" applyFill="1" applyBorder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0000FF"/>
      <color rgb="FF00006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ntrol%20Factur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</sheetNames>
    <sheetDataSet>
      <sheetData sheetId="0">
        <row r="1">
          <cell r="D1" t="str">
            <v>AUX</v>
          </cell>
        </row>
        <row r="2">
          <cell r="D2"/>
        </row>
        <row r="3">
          <cell r="D3"/>
        </row>
        <row r="4">
          <cell r="D4"/>
        </row>
        <row r="5">
          <cell r="D5"/>
        </row>
        <row r="6">
          <cell r="D6"/>
        </row>
        <row r="7">
          <cell r="D7"/>
        </row>
        <row r="8">
          <cell r="D8"/>
        </row>
        <row r="9">
          <cell r="D9"/>
        </row>
        <row r="10">
          <cell r="D10"/>
        </row>
        <row r="11">
          <cell r="D11"/>
        </row>
        <row r="12">
          <cell r="D12"/>
        </row>
        <row r="13">
          <cell r="D13"/>
        </row>
        <row r="14">
          <cell r="D14"/>
        </row>
        <row r="15">
          <cell r="D15"/>
        </row>
        <row r="16">
          <cell r="D16"/>
        </row>
        <row r="17">
          <cell r="D17"/>
        </row>
        <row r="18">
          <cell r="D18"/>
        </row>
        <row r="19">
          <cell r="D19"/>
        </row>
        <row r="20">
          <cell r="D20"/>
        </row>
        <row r="21">
          <cell r="D21"/>
        </row>
        <row r="22">
          <cell r="D22"/>
        </row>
        <row r="23">
          <cell r="D23"/>
        </row>
        <row r="24">
          <cell r="D24"/>
        </row>
        <row r="25">
          <cell r="D25"/>
        </row>
        <row r="26">
          <cell r="D26"/>
        </row>
        <row r="27">
          <cell r="D27"/>
        </row>
        <row r="28">
          <cell r="D28"/>
        </row>
        <row r="29">
          <cell r="D29"/>
        </row>
        <row r="30">
          <cell r="D30"/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AD791-9691-41D1-9726-2CD6CC651511}">
  <dimension ref="A1:AG16"/>
  <sheetViews>
    <sheetView showGridLines="0" tabSelected="1" topLeftCell="J1" zoomScaleNormal="100" workbookViewId="0">
      <pane ySplit="1" topLeftCell="A2" activePane="bottomLeft" state="frozen"/>
      <selection pane="bottomLeft" activeCell="L5" sqref="L5"/>
    </sheetView>
  </sheetViews>
  <sheetFormatPr baseColWidth="10" defaultRowHeight="15" x14ac:dyDescent="0.25"/>
  <cols>
    <col min="7" max="7" width="24.28515625" bestFit="1" customWidth="1"/>
    <col min="8" max="8" width="11.7109375" bestFit="1" customWidth="1"/>
    <col min="9" max="9" width="12" bestFit="1" customWidth="1"/>
    <col min="10" max="10" width="29" customWidth="1"/>
    <col min="11" max="11" width="24.42578125" bestFit="1" customWidth="1"/>
    <col min="24" max="24" width="12.5703125" bestFit="1" customWidth="1"/>
    <col min="26" max="26" width="11.85546875" bestFit="1" customWidth="1"/>
    <col min="29" max="29" width="13.7109375" bestFit="1" customWidth="1"/>
    <col min="31" max="31" width="14" bestFit="1" customWidth="1"/>
    <col min="32" max="32" width="11" bestFit="1" customWidth="1"/>
    <col min="33" max="33" width="13" bestFit="1" customWidth="1"/>
  </cols>
  <sheetData>
    <row r="1" spans="1:33" x14ac:dyDescent="0.25">
      <c r="A1" s="6" t="s">
        <v>0</v>
      </c>
      <c r="B1" s="6" t="s">
        <v>1</v>
      </c>
      <c r="C1" s="6" t="s">
        <v>2</v>
      </c>
      <c r="D1" s="6" t="s">
        <v>19</v>
      </c>
      <c r="E1" s="6" t="s">
        <v>3</v>
      </c>
      <c r="F1" s="6" t="s">
        <v>44</v>
      </c>
      <c r="G1" s="6" t="s">
        <v>4</v>
      </c>
      <c r="H1" s="6" t="s">
        <v>25</v>
      </c>
      <c r="I1" s="6" t="s">
        <v>5</v>
      </c>
      <c r="J1" s="6" t="s">
        <v>6</v>
      </c>
      <c r="K1" s="6" t="s">
        <v>7</v>
      </c>
      <c r="L1" s="6" t="s">
        <v>12</v>
      </c>
      <c r="M1" s="6" t="s">
        <v>13</v>
      </c>
      <c r="N1" s="6" t="s">
        <v>8</v>
      </c>
      <c r="O1" s="6" t="s">
        <v>27</v>
      </c>
      <c r="P1" s="6" t="s">
        <v>66</v>
      </c>
      <c r="Q1" s="6" t="s">
        <v>56</v>
      </c>
      <c r="R1" s="6" t="s">
        <v>55</v>
      </c>
      <c r="S1" s="6" t="s">
        <v>54</v>
      </c>
      <c r="T1" s="6" t="s">
        <v>65</v>
      </c>
      <c r="U1" s="6" t="s">
        <v>64</v>
      </c>
      <c r="V1" s="6" t="s">
        <v>53</v>
      </c>
      <c r="W1" s="6" t="s">
        <v>14</v>
      </c>
      <c r="X1" s="6" t="s">
        <v>15</v>
      </c>
      <c r="Y1" s="6" t="s">
        <v>20</v>
      </c>
      <c r="Z1" s="6" t="s">
        <v>21</v>
      </c>
      <c r="AA1" s="6" t="s">
        <v>22</v>
      </c>
      <c r="AB1" s="6" t="s">
        <v>23</v>
      </c>
      <c r="AC1" s="6" t="s">
        <v>24</v>
      </c>
      <c r="AE1" s="15" t="s">
        <v>42</v>
      </c>
      <c r="AF1" s="15" t="s">
        <v>40</v>
      </c>
      <c r="AG1" s="15" t="s">
        <v>41</v>
      </c>
    </row>
    <row r="2" spans="1:33" x14ac:dyDescent="0.25">
      <c r="A2" s="7" t="s">
        <v>48</v>
      </c>
      <c r="B2" s="8" t="str">
        <f t="shared" ref="B2:B13" si="0">TEXT(DATE(YEAR(C2),MONTH(C2),1),"dd/mm/aaaa")</f>
        <v>01/08/2022</v>
      </c>
      <c r="C2" s="8" t="str">
        <f t="shared" ref="C2:C13" si="1">TEXT(EOMONTH(A2,-1),"dd/mm/aaaa")</f>
        <v>31/08/2022</v>
      </c>
      <c r="D2" s="8" t="str">
        <f t="shared" ref="D2:D13" si="2">TEXT(A2+14,"dd/mm/aaaa")</f>
        <v>26/09/2022</v>
      </c>
      <c r="E2" s="1" t="s">
        <v>9</v>
      </c>
      <c r="F2" s="1" t="s">
        <v>45</v>
      </c>
      <c r="G2" s="1" t="s">
        <v>17</v>
      </c>
      <c r="H2" s="1" t="s">
        <v>5</v>
      </c>
      <c r="I2" s="2">
        <v>33610006189</v>
      </c>
      <c r="J2" s="1" t="s">
        <v>31</v>
      </c>
      <c r="K2" s="9" t="str">
        <f t="shared" ref="K2:K14" si="3">"Honorarios "&amp;PROPER(TEXT(B2,"mmmm"))</f>
        <v>Honorarios Agosto</v>
      </c>
      <c r="L2" s="3">
        <v>5.04</v>
      </c>
      <c r="M2" s="1">
        <v>8851.52</v>
      </c>
      <c r="N2" s="4">
        <v>44628.1</v>
      </c>
      <c r="O2" s="13" t="s">
        <v>28</v>
      </c>
      <c r="P2" s="13"/>
      <c r="Q2" s="13"/>
      <c r="R2" s="13"/>
      <c r="S2" s="17"/>
      <c r="T2" s="18" t="str">
        <f>TEXT(Q2,"00000")</f>
        <v>00000</v>
      </c>
      <c r="U2" s="18" t="str">
        <f>TEXT(R2,"00000000")</f>
        <v>00000000</v>
      </c>
      <c r="V2" s="18" t="str">
        <f>TEXT(S2,"DD/MM/AAAA")</f>
        <v>00/01/1900</v>
      </c>
      <c r="W2" s="10">
        <f>ROUND(N2*O2,2)</f>
        <v>9371.9</v>
      </c>
      <c r="X2" s="10">
        <f>N2+W2</f>
        <v>54000</v>
      </c>
      <c r="Y2" s="11" t="str">
        <f>IF(E2="Factura A",SUBSTITUTE(TEXT(N2,"#,00"),",","."),SUBSTITUTE(TEXT(X2,"#,00"),",","."))</f>
        <v>44628.10</v>
      </c>
      <c r="Z2" s="11" t="str">
        <f t="shared" ref="Z2:Z13" si="4">SUBSTITUTE(TEXT(ROUNDUP(X2,0)-X2,"0,00"),",",".")</f>
        <v>0.00</v>
      </c>
      <c r="AA2" s="12" t="str">
        <f>IFERROR(IF(MATCH(AC2,[1]Control!$D:$D,0)&gt;0,"ü",""),"")</f>
        <v/>
      </c>
      <c r="AB2" s="9">
        <f>ROW(J2)</f>
        <v>2</v>
      </c>
      <c r="AC2" s="9" t="str">
        <f>I2&amp;"-"&amp;COUNTIF($I$1:I2,I2)</f>
        <v>33610006189-1</v>
      </c>
      <c r="AE2" s="16">
        <f>CEILING(M2*L2*(1+O2),500)</f>
        <v>54000</v>
      </c>
      <c r="AF2" s="16">
        <f>ROUND((AE2/(1+O2)),2)</f>
        <v>44628.1</v>
      </c>
      <c r="AG2" s="14">
        <f>ROUND(AF2/M2,4)</f>
        <v>5.0419</v>
      </c>
    </row>
    <row r="3" spans="1:33" x14ac:dyDescent="0.25">
      <c r="A3" s="7" t="s">
        <v>48</v>
      </c>
      <c r="B3" s="8" t="str">
        <f t="shared" ref="B3" si="5">TEXT(DATE(YEAR(C3),MONTH(C3),1),"dd/mm/aaaa")</f>
        <v>01/08/2022</v>
      </c>
      <c r="C3" s="8" t="str">
        <f t="shared" ref="C3" si="6">TEXT(EOMONTH(A3,-1),"dd/mm/aaaa")</f>
        <v>31/08/2022</v>
      </c>
      <c r="D3" s="8" t="str">
        <f t="shared" ref="D3" si="7">TEXT(A3+14,"dd/mm/aaaa")</f>
        <v>26/09/2022</v>
      </c>
      <c r="E3" s="1" t="s">
        <v>9</v>
      </c>
      <c r="F3" s="1" t="s">
        <v>46</v>
      </c>
      <c r="G3" s="1" t="s">
        <v>17</v>
      </c>
      <c r="H3" s="1" t="s">
        <v>5</v>
      </c>
      <c r="I3" s="2">
        <v>33610006189</v>
      </c>
      <c r="J3" s="1" t="s">
        <v>31</v>
      </c>
      <c r="K3" s="5" t="s">
        <v>43</v>
      </c>
      <c r="L3" s="3">
        <v>5.04</v>
      </c>
      <c r="M3" s="1">
        <v>8851.52</v>
      </c>
      <c r="N3" s="4">
        <v>44628.1</v>
      </c>
      <c r="O3" s="13" t="s">
        <v>28</v>
      </c>
      <c r="P3" s="13"/>
      <c r="Q3" s="13"/>
      <c r="R3" s="13"/>
      <c r="S3" s="17"/>
      <c r="T3" s="18" t="str">
        <f>TEXT(Q3,"00000")</f>
        <v>00000</v>
      </c>
      <c r="U3" s="18" t="str">
        <f>TEXT(R3,"00000000")</f>
        <v>00000000</v>
      </c>
      <c r="V3" s="18" t="str">
        <f t="shared" ref="V3:V16" si="8">TEXT(S3,"DD/MM/AAAA")</f>
        <v>00/01/1900</v>
      </c>
      <c r="W3" s="10">
        <f>ROUND(N3*O3,2)</f>
        <v>9371.9</v>
      </c>
      <c r="X3" s="10">
        <f>N3+W3</f>
        <v>54000</v>
      </c>
      <c r="Y3" s="11" t="str">
        <f>IF(E3="Factura A",SUBSTITUTE(TEXT(N3,"#,00"),",","."),SUBSTITUTE(TEXT(X3,"#,00"),",","."))</f>
        <v>44628.10</v>
      </c>
      <c r="Z3" s="11" t="str">
        <f t="shared" ref="Z3" si="9">SUBSTITUTE(TEXT(ROUNDUP(X3,0)-X3,"0,00"),",",".")</f>
        <v>0.00</v>
      </c>
      <c r="AA3" s="12" t="str">
        <f>IFERROR(IF(MATCH(AC3,[1]Control!$D:$D,0)&gt;0,"ü",""),"")</f>
        <v/>
      </c>
      <c r="AB3" s="9">
        <f>ROW(J3)</f>
        <v>3</v>
      </c>
      <c r="AC3" s="9" t="str">
        <f>I3&amp;"-"&amp;COUNTIF($I$1:I3,I3)</f>
        <v>33610006189-2</v>
      </c>
      <c r="AE3" s="16">
        <f>CEILING(M3*L3*(1+O3),500)</f>
        <v>54000</v>
      </c>
      <c r="AF3" s="16">
        <f>ROUND((AE3/(1+O3)),2)</f>
        <v>44628.1</v>
      </c>
      <c r="AG3" s="14">
        <f>ROUND(AF3/M3,4)</f>
        <v>5.0419</v>
      </c>
    </row>
    <row r="4" spans="1:33" x14ac:dyDescent="0.25">
      <c r="A4" s="7" t="s">
        <v>48</v>
      </c>
      <c r="B4" s="8" t="str">
        <f t="shared" si="0"/>
        <v>01/08/2022</v>
      </c>
      <c r="C4" s="8" t="str">
        <f t="shared" si="1"/>
        <v>31/08/2022</v>
      </c>
      <c r="D4" s="8" t="str">
        <f t="shared" si="2"/>
        <v>26/09/2022</v>
      </c>
      <c r="E4" s="1" t="s">
        <v>9</v>
      </c>
      <c r="F4" s="1" t="s">
        <v>47</v>
      </c>
      <c r="G4" s="1" t="s">
        <v>17</v>
      </c>
      <c r="H4" s="1" t="s">
        <v>5</v>
      </c>
      <c r="I4" s="2">
        <v>30610252334</v>
      </c>
      <c r="J4" s="1" t="s">
        <v>37</v>
      </c>
      <c r="K4" s="9" t="str">
        <f t="shared" si="3"/>
        <v>Honorarios Agosto</v>
      </c>
      <c r="L4" s="3">
        <v>10.039999999999999</v>
      </c>
      <c r="M4" s="1">
        <v>8851.52</v>
      </c>
      <c r="N4" s="4">
        <v>88842.97</v>
      </c>
      <c r="O4" s="13" t="s">
        <v>28</v>
      </c>
      <c r="P4" s="13"/>
      <c r="Q4" s="13"/>
      <c r="R4" s="13"/>
      <c r="S4" s="17"/>
      <c r="T4" s="18" t="str">
        <f>TEXT(Q4,"00000")</f>
        <v>00000</v>
      </c>
      <c r="U4" s="18" t="str">
        <f>TEXT(R4,"00000000")</f>
        <v>00000000</v>
      </c>
      <c r="V4" s="18" t="str">
        <f t="shared" si="8"/>
        <v>00/01/1900</v>
      </c>
      <c r="W4" s="10">
        <f>ROUND(N4*O4,2)</f>
        <v>18657.02</v>
      </c>
      <c r="X4" s="10">
        <f>N4+W4</f>
        <v>107499.99</v>
      </c>
      <c r="Y4" s="11" t="str">
        <f>IF(E4="Factura A",SUBSTITUTE(TEXT(N4,"#,00"),",","."),SUBSTITUTE(TEXT(X4,"#,00"),",","."))</f>
        <v>88842.97</v>
      </c>
      <c r="Z4" s="11" t="str">
        <f t="shared" si="4"/>
        <v>0.01</v>
      </c>
      <c r="AA4" s="12" t="str">
        <f>IFERROR(IF(MATCH(AC4,[1]Control!$D:$D,0)&gt;0,"ü",""),"")</f>
        <v/>
      </c>
      <c r="AB4" s="9">
        <f>ROW(J4)</f>
        <v>4</v>
      </c>
      <c r="AC4" s="9" t="str">
        <f>I4&amp;"-"&amp;COUNTIF($I$1:I4,I4)</f>
        <v>30610252334-1</v>
      </c>
      <c r="AE4" s="16">
        <f>CEILING(M4*L4*(1+O4),500)</f>
        <v>108000</v>
      </c>
      <c r="AF4" s="16">
        <f>ROUND((AE4/(1+O4)),2)</f>
        <v>89256.2</v>
      </c>
      <c r="AG4" s="14">
        <f>ROUND(AF4/M4,4)</f>
        <v>10.0837</v>
      </c>
    </row>
    <row r="5" spans="1:33" x14ac:dyDescent="0.25">
      <c r="A5" s="7" t="s">
        <v>48</v>
      </c>
      <c r="B5" s="8" t="str">
        <f t="shared" si="0"/>
        <v>01/08/2022</v>
      </c>
      <c r="C5" s="8" t="str">
        <f t="shared" si="1"/>
        <v>31/08/2022</v>
      </c>
      <c r="D5" s="8" t="str">
        <f t="shared" si="2"/>
        <v>26/09/2022</v>
      </c>
      <c r="E5" s="1" t="s">
        <v>49</v>
      </c>
      <c r="F5" s="1" t="s">
        <v>46</v>
      </c>
      <c r="G5" s="1" t="s">
        <v>17</v>
      </c>
      <c r="H5" s="1" t="s">
        <v>5</v>
      </c>
      <c r="I5" s="2">
        <v>30684125792</v>
      </c>
      <c r="J5" s="1" t="s">
        <v>36</v>
      </c>
      <c r="K5" s="5" t="s">
        <v>62</v>
      </c>
      <c r="L5" s="3">
        <v>7</v>
      </c>
      <c r="M5" s="1">
        <v>8851.52</v>
      </c>
      <c r="N5" s="4">
        <v>61983.47</v>
      </c>
      <c r="O5" s="13" t="s">
        <v>28</v>
      </c>
      <c r="P5" s="13" t="s">
        <v>9</v>
      </c>
      <c r="Q5" s="13" t="s">
        <v>57</v>
      </c>
      <c r="R5" s="13" t="s">
        <v>58</v>
      </c>
      <c r="S5" s="17">
        <v>44816</v>
      </c>
      <c r="T5" s="18" t="str">
        <f>TEXT(Q5,"00000")</f>
        <v>00002</v>
      </c>
      <c r="U5" s="18" t="str">
        <f>TEXT(R5,"00000000")</f>
        <v>00000150</v>
      </c>
      <c r="V5" s="18" t="str">
        <f t="shared" si="8"/>
        <v>12/09/2022</v>
      </c>
      <c r="W5" s="10">
        <f>ROUND(N5*O5,2)</f>
        <v>13016.53</v>
      </c>
      <c r="X5" s="10">
        <f>N5+W5</f>
        <v>75000</v>
      </c>
      <c r="Y5" s="11" t="str">
        <f>IF(E5="Factura A",SUBSTITUTE(TEXT(N5,"#,00"),",","."),SUBSTITUTE(TEXT(X5,"#,00"),",","."))</f>
        <v>75000.00</v>
      </c>
      <c r="Z5" s="11" t="str">
        <f t="shared" si="4"/>
        <v>0.00</v>
      </c>
      <c r="AA5" s="12" t="str">
        <f>IFERROR(IF(MATCH(AC5,[1]Control!$D:$D,0)&gt;0,"ü",""),"")</f>
        <v/>
      </c>
      <c r="AB5" s="9">
        <f>ROW(J5)</f>
        <v>5</v>
      </c>
      <c r="AC5" s="9" t="str">
        <f>I5&amp;"-"&amp;COUNTIF($I$1:I5,I5)</f>
        <v>30684125792-1</v>
      </c>
      <c r="AE5" s="16">
        <f>CEILING(M5*L5*(1+O5),500)</f>
        <v>75000</v>
      </c>
      <c r="AF5" s="16">
        <f>ROUND((AE5/(1+O5)),2)</f>
        <v>61983.47</v>
      </c>
      <c r="AG5" s="14">
        <f>ROUND(AF5/M5,4)</f>
        <v>7.0026000000000002</v>
      </c>
    </row>
    <row r="6" spans="1:33" x14ac:dyDescent="0.25">
      <c r="A6" s="7" t="s">
        <v>48</v>
      </c>
      <c r="B6" s="8" t="str">
        <f t="shared" ref="B6" si="10">TEXT(DATE(YEAR(C6),MONTH(C6),1),"dd/mm/aaaa")</f>
        <v>01/08/2022</v>
      </c>
      <c r="C6" s="8" t="str">
        <f t="shared" ref="C6" si="11">TEXT(EOMONTH(A6,-1),"dd/mm/aaaa")</f>
        <v>31/08/2022</v>
      </c>
      <c r="D6" s="8" t="str">
        <f t="shared" ref="D6" si="12">TEXT(A6+14,"dd/mm/aaaa")</f>
        <v>26/09/2022</v>
      </c>
      <c r="E6" s="1" t="s">
        <v>50</v>
      </c>
      <c r="F6" s="1" t="s">
        <v>46</v>
      </c>
      <c r="G6" s="1" t="s">
        <v>17</v>
      </c>
      <c r="H6" s="1" t="s">
        <v>5</v>
      </c>
      <c r="I6" s="2">
        <v>30684125792</v>
      </c>
      <c r="J6" s="1" t="s">
        <v>36</v>
      </c>
      <c r="K6" s="5" t="s">
        <v>62</v>
      </c>
      <c r="L6" s="3">
        <v>7</v>
      </c>
      <c r="M6" s="1">
        <v>8851.52</v>
      </c>
      <c r="N6" s="4">
        <v>61983.47</v>
      </c>
      <c r="O6" s="13" t="s">
        <v>28</v>
      </c>
      <c r="P6" s="13" t="s">
        <v>50</v>
      </c>
      <c r="Q6" s="13" t="s">
        <v>57</v>
      </c>
      <c r="R6" s="13" t="s">
        <v>59</v>
      </c>
      <c r="S6" s="17">
        <v>44816</v>
      </c>
      <c r="T6" s="18" t="str">
        <f>TEXT(Q6,"00000")</f>
        <v>00002</v>
      </c>
      <c r="U6" s="18" t="str">
        <f>TEXT(R6,"00000000")</f>
        <v>00000151</v>
      </c>
      <c r="V6" s="18" t="str">
        <f t="shared" si="8"/>
        <v>12/09/2022</v>
      </c>
      <c r="W6" s="10">
        <f>ROUND(N6*O6,2)</f>
        <v>13016.53</v>
      </c>
      <c r="X6" s="10">
        <f>N6+W6</f>
        <v>75000</v>
      </c>
      <c r="Y6" s="11" t="str">
        <f>IF(E6="Factura A",SUBSTITUTE(TEXT(N6,"#,00"),",","."),SUBSTITUTE(TEXT(X6,"#,00"),",","."))</f>
        <v>75000.00</v>
      </c>
      <c r="Z6" s="11" t="str">
        <f t="shared" ref="Z6" si="13">SUBSTITUTE(TEXT(ROUNDUP(X6,0)-X6,"0,00"),",",".")</f>
        <v>0.00</v>
      </c>
      <c r="AA6" s="12" t="str">
        <f>IFERROR(IF(MATCH(AC6,[1]Control!$D:$D,0)&gt;0,"ü",""),"")</f>
        <v/>
      </c>
      <c r="AB6" s="9">
        <f>ROW(J6)</f>
        <v>6</v>
      </c>
      <c r="AC6" s="9" t="str">
        <f>I6&amp;"-"&amp;COUNTIF($I$1:I6,I6)</f>
        <v>30684125792-2</v>
      </c>
      <c r="AE6" s="16">
        <f>CEILING(M6*L6*(1+O6),500)</f>
        <v>75000</v>
      </c>
      <c r="AF6" s="16">
        <f>ROUND((AE6/(1+O6)),2)</f>
        <v>61983.47</v>
      </c>
      <c r="AG6" s="14">
        <f>ROUND(AF6/M6,4)</f>
        <v>7.0026000000000002</v>
      </c>
    </row>
    <row r="7" spans="1:33" x14ac:dyDescent="0.25">
      <c r="A7" s="7" t="s">
        <v>48</v>
      </c>
      <c r="B7" s="8" t="str">
        <f t="shared" si="0"/>
        <v>01/08/2022</v>
      </c>
      <c r="C7" s="8" t="str">
        <f t="shared" si="1"/>
        <v>31/08/2022</v>
      </c>
      <c r="D7" s="8" t="str">
        <f t="shared" si="2"/>
        <v>26/09/2022</v>
      </c>
      <c r="E7" s="1" t="s">
        <v>9</v>
      </c>
      <c r="F7" s="1" t="s">
        <v>46</v>
      </c>
      <c r="G7" s="1" t="s">
        <v>17</v>
      </c>
      <c r="H7" s="1" t="s">
        <v>5</v>
      </c>
      <c r="I7" s="2">
        <v>30525733870</v>
      </c>
      <c r="J7" s="1" t="s">
        <v>35</v>
      </c>
      <c r="K7" s="9" t="str">
        <f t="shared" si="3"/>
        <v>Honorarios Agosto</v>
      </c>
      <c r="L7" s="3">
        <v>8.0299999999999994</v>
      </c>
      <c r="M7" s="1">
        <v>8851.52</v>
      </c>
      <c r="N7" s="4">
        <v>71074.38</v>
      </c>
      <c r="O7" s="13" t="s">
        <v>28</v>
      </c>
      <c r="P7" s="13"/>
      <c r="Q7" s="13"/>
      <c r="R7" s="13"/>
      <c r="S7" s="17"/>
      <c r="T7" s="18" t="str">
        <f>TEXT(Q7,"00000")</f>
        <v>00000</v>
      </c>
      <c r="U7" s="18" t="str">
        <f>TEXT(R7,"00000000")</f>
        <v>00000000</v>
      </c>
      <c r="V7" s="18" t="str">
        <f t="shared" si="8"/>
        <v>00/01/1900</v>
      </c>
      <c r="W7" s="10">
        <f>ROUND(N7*O7,2)</f>
        <v>14925.62</v>
      </c>
      <c r="X7" s="10">
        <f>N7+W7</f>
        <v>86000</v>
      </c>
      <c r="Y7" s="11" t="str">
        <f>IF(E7="Factura A",SUBSTITUTE(TEXT(N7,"#,00"),",","."),SUBSTITUTE(TEXT(X7,"#,00"),",","."))</f>
        <v>71074.38</v>
      </c>
      <c r="Z7" s="11" t="str">
        <f t="shared" si="4"/>
        <v>0.00</v>
      </c>
      <c r="AA7" s="12" t="str">
        <f>IFERROR(IF(MATCH(AC7,[1]Control!$D:$D,0)&gt;0,"ü",""),"")</f>
        <v/>
      </c>
      <c r="AB7" s="9">
        <f>ROW(J7)</f>
        <v>7</v>
      </c>
      <c r="AC7" s="9" t="str">
        <f>I7&amp;"-"&amp;COUNTIF($I$1:I7,I7)</f>
        <v>30525733870-1</v>
      </c>
      <c r="AE7" s="16">
        <f>CEILING(M7*L7*(1+O7),500)</f>
        <v>86500</v>
      </c>
      <c r="AF7" s="16">
        <f>ROUND((AE7/(1+O7)),2)</f>
        <v>71487.600000000006</v>
      </c>
      <c r="AG7" s="14">
        <f>ROUND(AF7/M7,4)</f>
        <v>8.0762999999999998</v>
      </c>
    </row>
    <row r="8" spans="1:33" x14ac:dyDescent="0.25">
      <c r="A8" s="7" t="s">
        <v>48</v>
      </c>
      <c r="B8" s="8" t="str">
        <f t="shared" si="0"/>
        <v>01/08/2022</v>
      </c>
      <c r="C8" s="8" t="str">
        <f t="shared" si="1"/>
        <v>31/08/2022</v>
      </c>
      <c r="D8" s="8" t="str">
        <f t="shared" si="2"/>
        <v>26/09/2022</v>
      </c>
      <c r="E8" s="1" t="s">
        <v>9</v>
      </c>
      <c r="F8" s="1" t="s">
        <v>46</v>
      </c>
      <c r="G8" s="1" t="s">
        <v>17</v>
      </c>
      <c r="H8" s="1" t="s">
        <v>5</v>
      </c>
      <c r="I8" s="2">
        <v>30710964277</v>
      </c>
      <c r="J8" s="1" t="s">
        <v>34</v>
      </c>
      <c r="K8" s="9" t="str">
        <f t="shared" si="3"/>
        <v>Honorarios Agosto</v>
      </c>
      <c r="L8" s="3">
        <v>9.01</v>
      </c>
      <c r="M8" s="1">
        <v>8851.52</v>
      </c>
      <c r="N8" s="4">
        <v>79752.070000000007</v>
      </c>
      <c r="O8" s="13" t="s">
        <v>28</v>
      </c>
      <c r="P8" s="13"/>
      <c r="Q8" s="13"/>
      <c r="R8" s="13"/>
      <c r="S8" s="17"/>
      <c r="T8" s="18" t="str">
        <f>TEXT(Q8,"00000")</f>
        <v>00000</v>
      </c>
      <c r="U8" s="18" t="str">
        <f>TEXT(R8,"00000000")</f>
        <v>00000000</v>
      </c>
      <c r="V8" s="18" t="str">
        <f t="shared" si="8"/>
        <v>00/01/1900</v>
      </c>
      <c r="W8" s="10">
        <f>ROUND(N8*O8,2)</f>
        <v>16747.93</v>
      </c>
      <c r="X8" s="10">
        <f>N8+W8</f>
        <v>96500</v>
      </c>
      <c r="Y8" s="11" t="str">
        <f>IF(E8="Factura A",SUBSTITUTE(TEXT(N8,"#,00"),",","."),SUBSTITUTE(TEXT(X8,"#,00"),",","."))</f>
        <v>79752.07</v>
      </c>
      <c r="Z8" s="11" t="str">
        <f t="shared" si="4"/>
        <v>0.00</v>
      </c>
      <c r="AA8" s="12" t="str">
        <f>IFERROR(IF(MATCH(AC8,[1]Control!$D:$D,0)&gt;0,"ü",""),"")</f>
        <v/>
      </c>
      <c r="AB8" s="9">
        <f>ROW(J8)</f>
        <v>8</v>
      </c>
      <c r="AC8" s="9" t="str">
        <f>I8&amp;"-"&amp;COUNTIF($I$1:I8,I8)</f>
        <v>30710964277-1</v>
      </c>
      <c r="AE8" s="16">
        <f>CEILING(M8*L8*(1+O8),500)</f>
        <v>97000</v>
      </c>
      <c r="AF8" s="16">
        <f>ROUND((AE8/(1+O8)),2)</f>
        <v>80165.289999999994</v>
      </c>
      <c r="AG8" s="14">
        <f>ROUND(AF8/M8,4)</f>
        <v>9.0566999999999993</v>
      </c>
    </row>
    <row r="9" spans="1:33" x14ac:dyDescent="0.25">
      <c r="A9" s="7" t="s">
        <v>48</v>
      </c>
      <c r="B9" s="8" t="str">
        <f t="shared" si="0"/>
        <v>01/08/2022</v>
      </c>
      <c r="C9" s="8" t="str">
        <f t="shared" si="1"/>
        <v>31/08/2022</v>
      </c>
      <c r="D9" s="8" t="str">
        <f t="shared" si="2"/>
        <v>26/09/2022</v>
      </c>
      <c r="E9" s="1" t="s">
        <v>9</v>
      </c>
      <c r="F9" s="1" t="s">
        <v>46</v>
      </c>
      <c r="G9" s="1" t="s">
        <v>17</v>
      </c>
      <c r="H9" s="1" t="s">
        <v>5</v>
      </c>
      <c r="I9" s="2">
        <v>33615420269</v>
      </c>
      <c r="J9" s="1" t="s">
        <v>32</v>
      </c>
      <c r="K9" s="9" t="str">
        <f t="shared" si="3"/>
        <v>Honorarios Agosto</v>
      </c>
      <c r="L9" s="3">
        <v>10.039999999999999</v>
      </c>
      <c r="M9" s="1">
        <v>8851.52</v>
      </c>
      <c r="N9" s="4">
        <v>88842.97</v>
      </c>
      <c r="O9" s="13" t="s">
        <v>28</v>
      </c>
      <c r="P9" s="13"/>
      <c r="Q9" s="13"/>
      <c r="R9" s="13"/>
      <c r="S9" s="17"/>
      <c r="T9" s="18" t="str">
        <f>TEXT(Q9,"00000")</f>
        <v>00000</v>
      </c>
      <c r="U9" s="18" t="str">
        <f>TEXT(R9,"00000000")</f>
        <v>00000000</v>
      </c>
      <c r="V9" s="18" t="str">
        <f t="shared" si="8"/>
        <v>00/01/1900</v>
      </c>
      <c r="W9" s="10">
        <f>ROUND(N9*O9,2)</f>
        <v>18657.02</v>
      </c>
      <c r="X9" s="10">
        <f>N9+W9</f>
        <v>107499.99</v>
      </c>
      <c r="Y9" s="11" t="str">
        <f>IF(E9="Factura A",SUBSTITUTE(TEXT(N9,"#,00"),",","."),SUBSTITUTE(TEXT(X9,"#,00"),",","."))</f>
        <v>88842.97</v>
      </c>
      <c r="Z9" s="11" t="str">
        <f t="shared" si="4"/>
        <v>0.01</v>
      </c>
      <c r="AA9" s="12" t="str">
        <f>IFERROR(IF(MATCH(AC9,[1]Control!$D:$D,0)&gt;0,"ü",""),"")</f>
        <v/>
      </c>
      <c r="AB9" s="9">
        <f>ROW(J9)</f>
        <v>9</v>
      </c>
      <c r="AC9" s="9" t="str">
        <f>I9&amp;"-"&amp;COUNTIF($I$1:I9,I9)</f>
        <v>33615420269-1</v>
      </c>
      <c r="AE9" s="16">
        <f>CEILING(M9*L9*(1+O9),500)</f>
        <v>108000</v>
      </c>
      <c r="AF9" s="16">
        <f>ROUND((AE9/(1+O9)),2)</f>
        <v>89256.2</v>
      </c>
      <c r="AG9" s="14">
        <f>ROUND(AF9/M9,4)</f>
        <v>10.0837</v>
      </c>
    </row>
    <row r="10" spans="1:33" x14ac:dyDescent="0.25">
      <c r="A10" s="7" t="s">
        <v>48</v>
      </c>
      <c r="B10" s="8" t="str">
        <f t="shared" si="0"/>
        <v>01/08/2022</v>
      </c>
      <c r="C10" s="8" t="str">
        <f t="shared" si="1"/>
        <v>31/08/2022</v>
      </c>
      <c r="D10" s="8" t="str">
        <f t="shared" si="2"/>
        <v>26/09/2022</v>
      </c>
      <c r="E10" s="1" t="s">
        <v>9</v>
      </c>
      <c r="F10" s="1" t="s">
        <v>46</v>
      </c>
      <c r="G10" s="1" t="s">
        <v>17</v>
      </c>
      <c r="H10" s="1" t="s">
        <v>5</v>
      </c>
      <c r="I10" s="2">
        <v>30525390086</v>
      </c>
      <c r="J10" s="1" t="s">
        <v>33</v>
      </c>
      <c r="K10" s="5" t="s">
        <v>26</v>
      </c>
      <c r="L10" s="3">
        <v>9.01</v>
      </c>
      <c r="M10" s="1">
        <v>8851.52</v>
      </c>
      <c r="N10" s="4">
        <v>79752.070000000007</v>
      </c>
      <c r="O10" s="13" t="s">
        <v>28</v>
      </c>
      <c r="P10" s="13"/>
      <c r="Q10" s="13"/>
      <c r="R10" s="13"/>
      <c r="S10" s="17"/>
      <c r="T10" s="18" t="str">
        <f>TEXT(Q10,"00000")</f>
        <v>00000</v>
      </c>
      <c r="U10" s="18" t="str">
        <f>TEXT(R10,"00000000")</f>
        <v>00000000</v>
      </c>
      <c r="V10" s="18" t="str">
        <f t="shared" si="8"/>
        <v>00/01/1900</v>
      </c>
      <c r="W10" s="10">
        <f>ROUND(N10*O10,2)</f>
        <v>16747.93</v>
      </c>
      <c r="X10" s="10">
        <f>N10+W10</f>
        <v>96500</v>
      </c>
      <c r="Y10" s="11" t="str">
        <f>IF(E10="Factura A",SUBSTITUTE(TEXT(N10,"#,00"),",","."),SUBSTITUTE(TEXT(X10,"#,00"),",","."))</f>
        <v>79752.07</v>
      </c>
      <c r="Z10" s="11" t="str">
        <f t="shared" si="4"/>
        <v>0.00</v>
      </c>
      <c r="AA10" s="12" t="str">
        <f>IFERROR(IF(MATCH(AC10,[1]Control!$D:$D,0)&gt;0,"ü",""),"")</f>
        <v/>
      </c>
      <c r="AB10" s="9">
        <f>ROW(J10)</f>
        <v>10</v>
      </c>
      <c r="AC10" s="9" t="str">
        <f>I10&amp;"-"&amp;COUNTIF($I$1:I10,I10)</f>
        <v>30525390086-1</v>
      </c>
      <c r="AE10" s="16">
        <f>CEILING(M10*L10*(1+O10),500)</f>
        <v>97000</v>
      </c>
      <c r="AF10" s="16">
        <f>ROUND((AE10/(1+O10)),2)</f>
        <v>80165.289999999994</v>
      </c>
      <c r="AG10" s="14">
        <f>ROUND(AF10/M10,4)</f>
        <v>9.0566999999999993</v>
      </c>
    </row>
    <row r="11" spans="1:33" x14ac:dyDescent="0.25">
      <c r="A11" s="7" t="s">
        <v>48</v>
      </c>
      <c r="B11" s="8" t="str">
        <f t="shared" si="0"/>
        <v>01/08/2022</v>
      </c>
      <c r="C11" s="8" t="str">
        <f t="shared" si="1"/>
        <v>31/08/2022</v>
      </c>
      <c r="D11" s="8" t="str">
        <f t="shared" si="2"/>
        <v>26/09/2022</v>
      </c>
      <c r="E11" s="1" t="s">
        <v>9</v>
      </c>
      <c r="F11" s="1" t="s">
        <v>46</v>
      </c>
      <c r="G11" s="1" t="s">
        <v>18</v>
      </c>
      <c r="H11" s="1" t="s">
        <v>5</v>
      </c>
      <c r="I11" s="1">
        <v>20374730429</v>
      </c>
      <c r="J11" s="1" t="s">
        <v>38</v>
      </c>
      <c r="K11" s="9" t="str">
        <f t="shared" si="3"/>
        <v>Honorarios Agosto</v>
      </c>
      <c r="L11" s="3">
        <v>1.03</v>
      </c>
      <c r="M11" s="1">
        <v>8851.52</v>
      </c>
      <c r="N11" s="4">
        <v>9090.91</v>
      </c>
      <c r="O11" s="13" t="s">
        <v>28</v>
      </c>
      <c r="P11" s="13"/>
      <c r="Q11" s="13"/>
      <c r="R11" s="13"/>
      <c r="S11" s="17"/>
      <c r="T11" s="18" t="str">
        <f>TEXT(Q11,"00000")</f>
        <v>00000</v>
      </c>
      <c r="U11" s="18" t="str">
        <f>TEXT(R11,"00000000")</f>
        <v>00000000</v>
      </c>
      <c r="V11" s="18" t="str">
        <f t="shared" si="8"/>
        <v>00/01/1900</v>
      </c>
      <c r="W11" s="10">
        <f>ROUND(N11*O11,2)</f>
        <v>1909.09</v>
      </c>
      <c r="X11" s="10">
        <f>N11+W11</f>
        <v>11000</v>
      </c>
      <c r="Y11" s="11" t="str">
        <f>IF(E11="Factura A",SUBSTITUTE(TEXT(N11,"#,00"),",","."),SUBSTITUTE(TEXT(X11,"#,00"),",","."))</f>
        <v>9090.91</v>
      </c>
      <c r="Z11" s="11" t="str">
        <f t="shared" si="4"/>
        <v>0.00</v>
      </c>
      <c r="AA11" s="12" t="str">
        <f>IFERROR(IF(MATCH(AC11,[1]Control!$D:$D,0)&gt;0,"ü",""),"")</f>
        <v/>
      </c>
      <c r="AB11" s="9">
        <f>ROW(J11)</f>
        <v>11</v>
      </c>
      <c r="AC11" s="9" t="str">
        <f>I11&amp;"-"&amp;COUNTIF($I$1:I11,I11)</f>
        <v>20374730429-1</v>
      </c>
      <c r="AE11" s="16">
        <f>CEILING(M11*L11*(1+O11),500)</f>
        <v>11500</v>
      </c>
      <c r="AF11" s="16">
        <f>ROUND((AE11/(1+O11)),2)</f>
        <v>9504.1299999999992</v>
      </c>
      <c r="AG11" s="14">
        <f>ROUND(AF11/M11,4)</f>
        <v>1.0737000000000001</v>
      </c>
    </row>
    <row r="12" spans="1:33" x14ac:dyDescent="0.25">
      <c r="A12" s="7" t="s">
        <v>48</v>
      </c>
      <c r="B12" s="8" t="str">
        <f t="shared" si="0"/>
        <v>01/08/2022</v>
      </c>
      <c r="C12" s="8" t="str">
        <f t="shared" si="1"/>
        <v>31/08/2022</v>
      </c>
      <c r="D12" s="8" t="str">
        <f t="shared" si="2"/>
        <v>26/09/2022</v>
      </c>
      <c r="E12" s="1" t="s">
        <v>9</v>
      </c>
      <c r="F12" s="1" t="s">
        <v>46</v>
      </c>
      <c r="G12" s="1" t="s">
        <v>18</v>
      </c>
      <c r="H12" s="1" t="s">
        <v>5</v>
      </c>
      <c r="I12" s="1">
        <v>20147130202</v>
      </c>
      <c r="J12" s="1" t="s">
        <v>39</v>
      </c>
      <c r="K12" s="9" t="str">
        <f t="shared" si="3"/>
        <v>Honorarios Agosto</v>
      </c>
      <c r="L12" s="3">
        <v>1.03</v>
      </c>
      <c r="M12" s="1">
        <v>8851.52</v>
      </c>
      <c r="N12" s="4">
        <v>9090.91</v>
      </c>
      <c r="O12" s="13" t="s">
        <v>28</v>
      </c>
      <c r="P12" s="13"/>
      <c r="Q12" s="13"/>
      <c r="R12" s="13"/>
      <c r="S12" s="17"/>
      <c r="T12" s="18" t="str">
        <f>TEXT(Q12,"00000")</f>
        <v>00000</v>
      </c>
      <c r="U12" s="18" t="str">
        <f>TEXT(R12,"00000000")</f>
        <v>00000000</v>
      </c>
      <c r="V12" s="18" t="str">
        <f t="shared" si="8"/>
        <v>00/01/1900</v>
      </c>
      <c r="W12" s="10">
        <f>ROUND(N12*O12,2)</f>
        <v>1909.09</v>
      </c>
      <c r="X12" s="10">
        <f>N12+W12</f>
        <v>11000</v>
      </c>
      <c r="Y12" s="11" t="str">
        <f>IF(E12="Factura A",SUBSTITUTE(TEXT(N12,"#,00"),",","."),SUBSTITUTE(TEXT(X12,"#,00"),",","."))</f>
        <v>9090.91</v>
      </c>
      <c r="Z12" s="11" t="str">
        <f t="shared" si="4"/>
        <v>0.00</v>
      </c>
      <c r="AA12" s="12" t="str">
        <f>IFERROR(IF(MATCH(AC12,[1]Control!$D:$D,0)&gt;0,"ü",""),"")</f>
        <v/>
      </c>
      <c r="AB12" s="9">
        <f>ROW(J12)</f>
        <v>12</v>
      </c>
      <c r="AC12" s="9" t="str">
        <f>I12&amp;"-"&amp;COUNTIF($I$1:I12,I12)</f>
        <v>20147130202-1</v>
      </c>
      <c r="AE12" s="16">
        <f>CEILING(M12*L12*(1+O12),500)</f>
        <v>11500</v>
      </c>
      <c r="AF12" s="16">
        <f>ROUND((AE12/(1+O12)),2)</f>
        <v>9504.1299999999992</v>
      </c>
      <c r="AG12" s="14">
        <f>ROUND(AF12/M12,4)</f>
        <v>1.0737000000000001</v>
      </c>
    </row>
    <row r="13" spans="1:33" x14ac:dyDescent="0.25">
      <c r="A13" s="7" t="s">
        <v>48</v>
      </c>
      <c r="B13" s="8" t="str">
        <f t="shared" si="0"/>
        <v>01/08/2022</v>
      </c>
      <c r="C13" s="8" t="str">
        <f t="shared" si="1"/>
        <v>31/08/2022</v>
      </c>
      <c r="D13" s="8" t="str">
        <f t="shared" si="2"/>
        <v>26/09/2022</v>
      </c>
      <c r="E13" s="1" t="s">
        <v>10</v>
      </c>
      <c r="F13" s="1" t="s">
        <v>46</v>
      </c>
      <c r="G13" s="1" t="s">
        <v>16</v>
      </c>
      <c r="H13" s="1" t="s">
        <v>5</v>
      </c>
      <c r="I13" s="1">
        <v>30707354719</v>
      </c>
      <c r="J13" s="1" t="s">
        <v>11</v>
      </c>
      <c r="K13" s="9" t="str">
        <f t="shared" si="3"/>
        <v>Honorarios Agosto</v>
      </c>
      <c r="L13" s="3">
        <v>1.03</v>
      </c>
      <c r="M13" s="1">
        <v>8851.52</v>
      </c>
      <c r="N13" s="4">
        <v>9090.91</v>
      </c>
      <c r="O13" s="13" t="s">
        <v>28</v>
      </c>
      <c r="P13" s="13"/>
      <c r="Q13" s="13"/>
      <c r="R13" s="13"/>
      <c r="S13" s="17"/>
      <c r="T13" s="18" t="str">
        <f>TEXT(Q13,"00000")</f>
        <v>00000</v>
      </c>
      <c r="U13" s="18" t="str">
        <f>TEXT(R13,"00000000")</f>
        <v>00000000</v>
      </c>
      <c r="V13" s="18" t="str">
        <f t="shared" si="8"/>
        <v>00/01/1900</v>
      </c>
      <c r="W13" s="10">
        <f>ROUND(N13*O13,2)</f>
        <v>1909.09</v>
      </c>
      <c r="X13" s="10">
        <f>N13+W13</f>
        <v>11000</v>
      </c>
      <c r="Y13" s="11" t="str">
        <f>IF(E13="Factura A",SUBSTITUTE(TEXT(N13,"#,00"),",","."),SUBSTITUTE(TEXT(X13,"#,00"),",","."))</f>
        <v>11000.00</v>
      </c>
      <c r="Z13" s="11" t="str">
        <f t="shared" si="4"/>
        <v>0.00</v>
      </c>
      <c r="AA13" s="12" t="str">
        <f>IFERROR(IF(MATCH(AC13,[1]Control!$D:$D,0)&gt;0,"ü",""),"")</f>
        <v/>
      </c>
      <c r="AB13" s="9">
        <f>ROW(J13)</f>
        <v>13</v>
      </c>
      <c r="AC13" s="9" t="str">
        <f>I13&amp;"-"&amp;COUNTIF($I$1:I13,I13)</f>
        <v>30707354719-1</v>
      </c>
      <c r="AE13" s="16">
        <f>CEILING(M13*L13*(1+O13),500)</f>
        <v>11500</v>
      </c>
      <c r="AF13" s="16">
        <f>ROUND((AE13/(1+O13)),2)</f>
        <v>9504.1299999999992</v>
      </c>
      <c r="AG13" s="14">
        <f>ROUND(AF13/M13,4)</f>
        <v>1.0737000000000001</v>
      </c>
    </row>
    <row r="14" spans="1:33" x14ac:dyDescent="0.25">
      <c r="A14" s="7" t="s">
        <v>48</v>
      </c>
      <c r="B14" s="8" t="str">
        <f t="shared" ref="B14:B15" si="14">TEXT(DATE(YEAR(C14),MONTH(C14),1),"dd/mm/aaaa")</f>
        <v>01/08/2022</v>
      </c>
      <c r="C14" s="8" t="str">
        <f t="shared" ref="C14:C15" si="15">TEXT(EOMONTH(A14,-1),"dd/mm/aaaa")</f>
        <v>31/08/2022</v>
      </c>
      <c r="D14" s="8" t="str">
        <f t="shared" ref="D14:D15" si="16">TEXT(A14+14,"dd/mm/aaaa")</f>
        <v>26/09/2022</v>
      </c>
      <c r="E14" s="1" t="s">
        <v>10</v>
      </c>
      <c r="F14" s="1" t="s">
        <v>46</v>
      </c>
      <c r="G14" s="1" t="s">
        <v>29</v>
      </c>
      <c r="H14" s="1" t="s">
        <v>30</v>
      </c>
      <c r="I14" s="1">
        <v>37473042</v>
      </c>
      <c r="J14" s="1" t="s">
        <v>38</v>
      </c>
      <c r="K14" s="9" t="str">
        <f t="shared" si="3"/>
        <v>Honorarios Agosto</v>
      </c>
      <c r="L14" s="3">
        <v>1.03</v>
      </c>
      <c r="M14" s="1">
        <v>8851.52</v>
      </c>
      <c r="N14" s="4">
        <v>9090.91</v>
      </c>
      <c r="O14" s="13" t="s">
        <v>28</v>
      </c>
      <c r="P14" s="13"/>
      <c r="Q14" s="13"/>
      <c r="R14" s="13"/>
      <c r="S14" s="17"/>
      <c r="T14" s="18" t="str">
        <f>TEXT(Q14,"00000")</f>
        <v>00000</v>
      </c>
      <c r="U14" s="18" t="str">
        <f>TEXT(R14,"00000000")</f>
        <v>00000000</v>
      </c>
      <c r="V14" s="18" t="str">
        <f t="shared" si="8"/>
        <v>00/01/1900</v>
      </c>
      <c r="W14" s="10">
        <f>ROUND(N14*O14,2)</f>
        <v>1909.09</v>
      </c>
      <c r="X14" s="10">
        <f>N14+W14</f>
        <v>11000</v>
      </c>
      <c r="Y14" s="11" t="str">
        <f>IF(E14="Factura A",SUBSTITUTE(TEXT(N14,"#,00"),",","."),SUBSTITUTE(TEXT(X14,"#,00"),",","."))</f>
        <v>11000.00</v>
      </c>
      <c r="Z14" s="11" t="str">
        <f t="shared" ref="Z14:Z15" si="17">SUBSTITUTE(TEXT(ROUNDUP(X14,0)-X14,"0,00"),",",".")</f>
        <v>0.00</v>
      </c>
      <c r="AA14" s="12" t="str">
        <f>IFERROR(IF(MATCH(AC14,[1]Control!$D:$D,0)&gt;0,"ü",""),"")</f>
        <v/>
      </c>
      <c r="AB14" s="9">
        <f>ROW(J14)</f>
        <v>14</v>
      </c>
      <c r="AC14" s="9" t="str">
        <f>I14&amp;"-"&amp;COUNTIF($I$1:I14,I14)</f>
        <v>37473042-1</v>
      </c>
      <c r="AE14" s="16">
        <f>CEILING(M14*L14*(1+O14),500)</f>
        <v>11500</v>
      </c>
      <c r="AF14" s="16">
        <f>ROUND((AE14/(1+O14)),2)</f>
        <v>9504.1299999999992</v>
      </c>
      <c r="AG14" s="14">
        <f>ROUND(AF14/M14,4)</f>
        <v>1.0737000000000001</v>
      </c>
    </row>
    <row r="15" spans="1:33" x14ac:dyDescent="0.25">
      <c r="A15" s="7" t="s">
        <v>48</v>
      </c>
      <c r="B15" s="8" t="str">
        <f t="shared" si="14"/>
        <v>01/08/2022</v>
      </c>
      <c r="C15" s="8" t="str">
        <f t="shared" si="15"/>
        <v>31/08/2022</v>
      </c>
      <c r="D15" s="8" t="str">
        <f t="shared" si="16"/>
        <v>26/09/2022</v>
      </c>
      <c r="E15" s="1" t="s">
        <v>51</v>
      </c>
      <c r="F15" s="1" t="s">
        <v>46</v>
      </c>
      <c r="G15" s="1" t="s">
        <v>16</v>
      </c>
      <c r="H15" s="1" t="s">
        <v>5</v>
      </c>
      <c r="I15" s="1">
        <v>30707354719</v>
      </c>
      <c r="J15" s="1" t="s">
        <v>11</v>
      </c>
      <c r="K15" s="5" t="s">
        <v>63</v>
      </c>
      <c r="L15" s="3">
        <v>1.03</v>
      </c>
      <c r="M15" s="1">
        <v>8851.52</v>
      </c>
      <c r="N15" s="4">
        <v>9090.91</v>
      </c>
      <c r="O15" s="13" t="s">
        <v>28</v>
      </c>
      <c r="P15" s="13" t="s">
        <v>10</v>
      </c>
      <c r="Q15" s="13" t="s">
        <v>57</v>
      </c>
      <c r="R15" s="13" t="s">
        <v>60</v>
      </c>
      <c r="S15" s="17">
        <v>44816</v>
      </c>
      <c r="T15" s="18" t="str">
        <f>TEXT(Q15,"00000")</f>
        <v>00002</v>
      </c>
      <c r="U15" s="18" t="str">
        <f>TEXT(R15,"00000000")</f>
        <v>00000152</v>
      </c>
      <c r="V15" s="18" t="str">
        <f t="shared" si="8"/>
        <v>12/09/2022</v>
      </c>
      <c r="W15" s="10">
        <f>ROUND(N15*O15,2)</f>
        <v>1909.09</v>
      </c>
      <c r="X15" s="10">
        <f>N15+W15</f>
        <v>11000</v>
      </c>
      <c r="Y15" s="11" t="str">
        <f>IF(E15="Factura A",SUBSTITUTE(TEXT(N15,"#,00"),",","."),SUBSTITUTE(TEXT(X15,"#,00"),",","."))</f>
        <v>11000.00</v>
      </c>
      <c r="Z15" s="11" t="str">
        <f t="shared" si="17"/>
        <v>0.00</v>
      </c>
      <c r="AA15" s="12" t="str">
        <f>IFERROR(IF(MATCH(AC15,[1]Control!$D:$D,0)&gt;0,"ü",""),"")</f>
        <v/>
      </c>
      <c r="AB15" s="9">
        <f>ROW(J15)</f>
        <v>15</v>
      </c>
      <c r="AC15" s="9" t="str">
        <f>I15&amp;"-"&amp;COUNTIF($I$1:I15,I15)</f>
        <v>30707354719-2</v>
      </c>
      <c r="AE15" s="16">
        <f>CEILING(M15*L15*(1+O15),500)</f>
        <v>11500</v>
      </c>
      <c r="AF15" s="16">
        <f>ROUND((AE15/(1+O15)),2)</f>
        <v>9504.1299999999992</v>
      </c>
      <c r="AG15" s="14">
        <f>ROUND(AF15/M15,4)</f>
        <v>1.0737000000000001</v>
      </c>
    </row>
    <row r="16" spans="1:33" x14ac:dyDescent="0.25">
      <c r="A16" s="7" t="s">
        <v>48</v>
      </c>
      <c r="B16" s="8" t="str">
        <f t="shared" ref="B16" si="18">TEXT(DATE(YEAR(C16),MONTH(C16),1),"dd/mm/aaaa")</f>
        <v>01/08/2022</v>
      </c>
      <c r="C16" s="8" t="str">
        <f t="shared" ref="C16" si="19">TEXT(EOMONTH(A16,-1),"dd/mm/aaaa")</f>
        <v>31/08/2022</v>
      </c>
      <c r="D16" s="8" t="str">
        <f t="shared" ref="D16" si="20">TEXT(A16+14,"dd/mm/aaaa")</f>
        <v>26/09/2022</v>
      </c>
      <c r="E16" s="1" t="s">
        <v>52</v>
      </c>
      <c r="F16" s="1" t="s">
        <v>46</v>
      </c>
      <c r="G16" s="1" t="s">
        <v>29</v>
      </c>
      <c r="H16" s="1" t="s">
        <v>30</v>
      </c>
      <c r="I16" s="1">
        <v>37473042</v>
      </c>
      <c r="J16" s="1" t="s">
        <v>38</v>
      </c>
      <c r="K16" s="5" t="s">
        <v>63</v>
      </c>
      <c r="L16" s="3">
        <v>1.03</v>
      </c>
      <c r="M16" s="1">
        <v>8851.52</v>
      </c>
      <c r="N16" s="4">
        <v>9090.91</v>
      </c>
      <c r="O16" s="13" t="s">
        <v>28</v>
      </c>
      <c r="P16" s="13" t="s">
        <v>67</v>
      </c>
      <c r="Q16" s="13" t="s">
        <v>57</v>
      </c>
      <c r="R16" s="13" t="s">
        <v>61</v>
      </c>
      <c r="S16" s="17">
        <v>44816</v>
      </c>
      <c r="T16" s="18" t="str">
        <f>TEXT(Q16,"00000")</f>
        <v>00002</v>
      </c>
      <c r="U16" s="18" t="str">
        <f>TEXT(R16,"00000000")</f>
        <v>00000153</v>
      </c>
      <c r="V16" s="18" t="str">
        <f t="shared" si="8"/>
        <v>12/09/2022</v>
      </c>
      <c r="W16" s="10">
        <f>ROUND(N16*O16,2)</f>
        <v>1909.09</v>
      </c>
      <c r="X16" s="10">
        <f>N16+W16</f>
        <v>11000</v>
      </c>
      <c r="Y16" s="11" t="str">
        <f>IF(E16="Factura A",SUBSTITUTE(TEXT(N16,"#,00"),",","."),SUBSTITUTE(TEXT(X16,"#,00"),",","."))</f>
        <v>11000.00</v>
      </c>
      <c r="Z16" s="11" t="str">
        <f t="shared" ref="Z16" si="21">SUBSTITUTE(TEXT(ROUNDUP(X16,0)-X16,"0,00"),",",".")</f>
        <v>0.00</v>
      </c>
      <c r="AA16" s="12" t="str">
        <f>IFERROR(IF(MATCH(AC16,[1]Control!$D:$D,0)&gt;0,"ü",""),"")</f>
        <v/>
      </c>
      <c r="AB16" s="9">
        <f t="shared" ref="AB16" si="22">ROW(J16)</f>
        <v>16</v>
      </c>
      <c r="AC16" s="9" t="str">
        <f>I16&amp;"-"&amp;COUNTIF($I$1:I16,I16)</f>
        <v>37473042-2</v>
      </c>
      <c r="AE16" s="16">
        <f>CEILING(M16*L16*(1+O16),500)</f>
        <v>11500</v>
      </c>
      <c r="AF16" s="16">
        <f>ROUND((AE16/(1+O16)),2)</f>
        <v>9504.1299999999992</v>
      </c>
      <c r="AG16" s="14">
        <f>ROUND(AF16/M16,4)</f>
        <v>1.0737000000000001</v>
      </c>
    </row>
  </sheetData>
  <autoFilter ref="A1:AC16" xr:uid="{827AD791-9691-41D1-9726-2CD6CC651511}"/>
  <sortState xmlns:xlrd2="http://schemas.microsoft.com/office/spreadsheetml/2017/richdata2" ref="A2:AA13">
    <sortCondition ref="E2:E13"/>
    <sortCondition ref="G2:G13"/>
    <sortCondition ref="I2:I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Factura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Agustin Bustos</cp:lastModifiedBy>
  <cp:lastPrinted>2022-01-05T14:01:13Z</cp:lastPrinted>
  <dcterms:created xsi:type="dcterms:W3CDTF">2021-06-30T14:32:34Z</dcterms:created>
  <dcterms:modified xsi:type="dcterms:W3CDTF">2022-09-13T03:03:03Z</dcterms:modified>
</cp:coreProperties>
</file>