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A8902AC2-CAD5-447F-9711-F48D372936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externalReferences>
    <externalReference r:id="rId2"/>
  </externalReferences>
  <definedNames>
    <definedName name="_xlnm._FilterDatabase" localSheetId="0" hidden="1">Factura!$A$1:$AZ$17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17" i="2"/>
  <c r="A16" i="2"/>
  <c r="A15" i="2"/>
  <c r="A14" i="2"/>
  <c r="A7" i="2"/>
  <c r="A2" i="2"/>
  <c r="AS17" i="2"/>
  <c r="AR3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2" i="2"/>
  <c r="AF2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2" i="2"/>
  <c r="AE3" i="2"/>
  <c r="AD2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F17" i="2"/>
  <c r="H17" i="2" s="1"/>
  <c r="G17" i="2" s="1"/>
  <c r="F16" i="2"/>
  <c r="H16" i="2" s="1"/>
  <c r="G16" i="2" s="1"/>
  <c r="F15" i="2"/>
  <c r="H15" i="2" s="1"/>
  <c r="G15" i="2" s="1"/>
  <c r="F14" i="2"/>
  <c r="H14" i="2" s="1"/>
  <c r="G14" i="2" s="1"/>
  <c r="F13" i="2"/>
  <c r="H13" i="2" s="1"/>
  <c r="G13" i="2" s="1"/>
  <c r="F12" i="2"/>
  <c r="H12" i="2" s="1"/>
  <c r="G12" i="2" s="1"/>
  <c r="F11" i="2"/>
  <c r="H11" i="2" s="1"/>
  <c r="G11" i="2" s="1"/>
  <c r="F10" i="2"/>
  <c r="H10" i="2" s="1"/>
  <c r="G10" i="2" s="1"/>
  <c r="F9" i="2"/>
  <c r="H9" i="2" s="1"/>
  <c r="G9" i="2" s="1"/>
  <c r="F8" i="2"/>
  <c r="H8" i="2" s="1"/>
  <c r="G8" i="2" s="1"/>
  <c r="F7" i="2"/>
  <c r="H7" i="2" s="1"/>
  <c r="G7" i="2" s="1"/>
  <c r="F6" i="2"/>
  <c r="H6" i="2" s="1"/>
  <c r="G6" i="2" s="1"/>
  <c r="F5" i="2"/>
  <c r="H5" i="2" s="1"/>
  <c r="G5" i="2" s="1"/>
  <c r="F4" i="2"/>
  <c r="H4" i="2" s="1"/>
  <c r="G4" i="2" s="1"/>
  <c r="F3" i="2"/>
  <c r="H3" i="2" s="1"/>
  <c r="G3" i="2" s="1"/>
  <c r="F2" i="2"/>
  <c r="H2" i="2" s="1"/>
  <c r="G2" i="2" s="1"/>
  <c r="AV16" i="2"/>
  <c r="AV14" i="2"/>
  <c r="AV10" i="2"/>
  <c r="AV9" i="2"/>
  <c r="AV8" i="2"/>
  <c r="AV7" i="2"/>
  <c r="AV6" i="2"/>
  <c r="AV5" i="2"/>
  <c r="AV4" i="2"/>
  <c r="AV3" i="2"/>
  <c r="AV2" i="2"/>
  <c r="AS10" i="2" l="1"/>
  <c r="AS11" i="2"/>
  <c r="AS12" i="2"/>
  <c r="AS5" i="2"/>
  <c r="AS7" i="2"/>
  <c r="AS13" i="2"/>
  <c r="AS2" i="2"/>
  <c r="AS14" i="2"/>
  <c r="AS6" i="2"/>
  <c r="AS9" i="2"/>
  <c r="AS3" i="2"/>
  <c r="AS15" i="2"/>
  <c r="AS8" i="2"/>
  <c r="AS4" i="2"/>
  <c r="AS16" i="2"/>
  <c r="I5" i="2"/>
  <c r="I17" i="2"/>
  <c r="I8" i="2"/>
  <c r="I6" i="2"/>
  <c r="I7" i="2"/>
  <c r="I9" i="2"/>
  <c r="I10" i="2"/>
  <c r="I11" i="2"/>
  <c r="I12" i="2"/>
  <c r="I13" i="2"/>
  <c r="I2" i="2"/>
  <c r="I14" i="2"/>
  <c r="I3" i="2"/>
  <c r="I15" i="2"/>
  <c r="I4" i="2"/>
  <c r="I16" i="2"/>
  <c r="AU2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AH17" i="2" l="1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U13" i="2"/>
  <c r="AU17" i="2"/>
  <c r="AU15" i="2"/>
  <c r="AU11" i="2"/>
  <c r="AU12" i="2"/>
  <c r="AU9" i="2"/>
  <c r="AU10" i="2"/>
  <c r="AU8" i="2"/>
  <c r="AU5" i="2"/>
  <c r="AU3" i="2"/>
  <c r="AU16" i="2"/>
  <c r="AU14" i="2"/>
  <c r="AU4" i="2"/>
  <c r="AU7" i="2"/>
  <c r="AU6" i="2"/>
  <c r="AT13" i="2"/>
  <c r="AY13" i="2" s="1"/>
  <c r="AZ13" i="2" s="1"/>
  <c r="AT17" i="2"/>
  <c r="AY17" i="2" s="1"/>
  <c r="AZ17" i="2" s="1"/>
  <c r="AT15" i="2"/>
  <c r="AY15" i="2" s="1"/>
  <c r="AZ15" i="2" s="1"/>
  <c r="AT11" i="2"/>
  <c r="AY11" i="2" s="1"/>
  <c r="AZ11" i="2" s="1"/>
  <c r="AT12" i="2"/>
  <c r="AY12" i="2" s="1"/>
  <c r="AZ12" i="2" s="1"/>
  <c r="AT9" i="2"/>
  <c r="AY9" i="2" s="1"/>
  <c r="AT10" i="2"/>
  <c r="AY10" i="2" s="1"/>
  <c r="AT2" i="2"/>
  <c r="AL2" i="2" s="1"/>
  <c r="AM2" i="2" s="1"/>
  <c r="AT8" i="2"/>
  <c r="AY8" i="2" s="1"/>
  <c r="AT5" i="2"/>
  <c r="AY5" i="2" s="1"/>
  <c r="AT3" i="2"/>
  <c r="AY3" i="2" s="1"/>
  <c r="AT16" i="2"/>
  <c r="AY16" i="2" s="1"/>
  <c r="AT14" i="2"/>
  <c r="AY14" i="2" s="1"/>
  <c r="AT4" i="2"/>
  <c r="AY4" i="2" s="1"/>
  <c r="AT7" i="2"/>
  <c r="AY7" i="2" s="1"/>
  <c r="AT6" i="2"/>
  <c r="AY6" i="2" s="1"/>
  <c r="AP13" i="2"/>
  <c r="AQ13" i="2" s="1"/>
  <c r="AJ13" i="2"/>
  <c r="AI13" i="2"/>
  <c r="AP17" i="2"/>
  <c r="AQ17" i="2" s="1"/>
  <c r="AJ17" i="2"/>
  <c r="AI17" i="2"/>
  <c r="AP15" i="2"/>
  <c r="AQ15" i="2" s="1"/>
  <c r="AJ15" i="2"/>
  <c r="AI15" i="2"/>
  <c r="AP11" i="2"/>
  <c r="AQ11" i="2" s="1"/>
  <c r="AJ11" i="2"/>
  <c r="AI11" i="2"/>
  <c r="AP12" i="2"/>
  <c r="AQ12" i="2" s="1"/>
  <c r="AJ12" i="2"/>
  <c r="AI12" i="2"/>
  <c r="AP9" i="2"/>
  <c r="AQ9" i="2" s="1"/>
  <c r="AJ9" i="2"/>
  <c r="AI9" i="2"/>
  <c r="AP10" i="2"/>
  <c r="AQ10" i="2" s="1"/>
  <c r="AJ10" i="2"/>
  <c r="AI10" i="2"/>
  <c r="AP2" i="2"/>
  <c r="AQ2" i="2" s="1"/>
  <c r="AJ2" i="2"/>
  <c r="AI2" i="2"/>
  <c r="AP8" i="2"/>
  <c r="AQ8" i="2" s="1"/>
  <c r="AJ8" i="2"/>
  <c r="AI8" i="2"/>
  <c r="AP5" i="2"/>
  <c r="AQ5" i="2" s="1"/>
  <c r="AJ5" i="2"/>
  <c r="AI5" i="2"/>
  <c r="AP3" i="2"/>
  <c r="AQ3" i="2" s="1"/>
  <c r="AJ3" i="2"/>
  <c r="AI3" i="2"/>
  <c r="AP16" i="2"/>
  <c r="AQ16" i="2" s="1"/>
  <c r="AJ16" i="2"/>
  <c r="AI16" i="2"/>
  <c r="AP14" i="2"/>
  <c r="AQ14" i="2" s="1"/>
  <c r="AJ14" i="2"/>
  <c r="AI14" i="2"/>
  <c r="AP4" i="2"/>
  <c r="AQ4" i="2" s="1"/>
  <c r="AJ4" i="2"/>
  <c r="AI4" i="2"/>
  <c r="AP7" i="2"/>
  <c r="AQ7" i="2" s="1"/>
  <c r="AJ7" i="2"/>
  <c r="AI7" i="2"/>
  <c r="AM15" i="2" l="1"/>
  <c r="AG6" i="2"/>
  <c r="AL15" i="2"/>
  <c r="AL6" i="2"/>
  <c r="AM6" i="2" s="1"/>
  <c r="AL3" i="2"/>
  <c r="AM3" i="2" s="1"/>
  <c r="AG14" i="2"/>
  <c r="AG3" i="2"/>
  <c r="AL14" i="2"/>
  <c r="AM14" i="2" s="1"/>
  <c r="AG8" i="2"/>
  <c r="AG2" i="2"/>
  <c r="AM12" i="2"/>
  <c r="AL8" i="2"/>
  <c r="AM8" i="2" s="1"/>
  <c r="AO8" i="2" s="1"/>
  <c r="AL12" i="2"/>
  <c r="AL17" i="2"/>
  <c r="AM11" i="2"/>
  <c r="AL16" i="2"/>
  <c r="AM16" i="2" s="1"/>
  <c r="AM17" i="2"/>
  <c r="AL11" i="2"/>
  <c r="AG16" i="2"/>
  <c r="AG5" i="2"/>
  <c r="AG7" i="2"/>
  <c r="AG10" i="2"/>
  <c r="AW2" i="2"/>
  <c r="AX2" i="2" s="1"/>
  <c r="AY2" i="2"/>
  <c r="AL5" i="2"/>
  <c r="AM5" i="2" s="1"/>
  <c r="AL7" i="2"/>
  <c r="AM7" i="2" s="1"/>
  <c r="AO7" i="2" s="1"/>
  <c r="AL10" i="2"/>
  <c r="AM10" i="2" s="1"/>
  <c r="AG4" i="2"/>
  <c r="AM13" i="2"/>
  <c r="AG9" i="2"/>
  <c r="AL4" i="2"/>
  <c r="AM4" i="2" s="1"/>
  <c r="AL13" i="2"/>
  <c r="AL9" i="2"/>
  <c r="AM9" i="2" s="1"/>
  <c r="AN6" i="2"/>
  <c r="AW8" i="2"/>
  <c r="AN9" i="2"/>
  <c r="AN10" i="2"/>
  <c r="AN14" i="2"/>
  <c r="AN3" i="2"/>
  <c r="AN16" i="2"/>
  <c r="AN4" i="2"/>
  <c r="AW5" i="2"/>
  <c r="AW7" i="2"/>
  <c r="AW9" i="2"/>
  <c r="AW10" i="2"/>
  <c r="AW14" i="2"/>
  <c r="AW3" i="2"/>
  <c r="AW16" i="2"/>
  <c r="AW4" i="2"/>
  <c r="R13" i="2"/>
  <c r="A13" i="2" s="1"/>
  <c r="R9" i="2"/>
  <c r="A9" i="2" s="1"/>
  <c r="R10" i="2"/>
  <c r="A10" i="2" s="1"/>
  <c r="R8" i="2"/>
  <c r="A8" i="2" s="1"/>
  <c r="R5" i="2"/>
  <c r="A5" i="2" s="1"/>
  <c r="R3" i="2"/>
  <c r="A3" i="2" s="1"/>
  <c r="R4" i="2"/>
  <c r="A4" i="2" s="1"/>
  <c r="R12" i="2"/>
  <c r="A12" i="2" s="1"/>
  <c r="R11" i="2"/>
  <c r="A11" i="2" s="1"/>
  <c r="AZ2" i="2" l="1"/>
  <c r="AX8" i="2"/>
  <c r="AZ8" i="2"/>
  <c r="AX4" i="2"/>
  <c r="AZ4" i="2"/>
  <c r="AX3" i="2"/>
  <c r="AZ3" i="2"/>
  <c r="AX7" i="2"/>
  <c r="AZ7" i="2"/>
  <c r="AX16" i="2"/>
  <c r="AZ16" i="2"/>
  <c r="AX14" i="2"/>
  <c r="AZ14" i="2"/>
  <c r="AX10" i="2"/>
  <c r="AZ10" i="2"/>
  <c r="AX9" i="2"/>
  <c r="AZ9" i="2"/>
  <c r="AX5" i="2"/>
  <c r="AZ5" i="2"/>
  <c r="AG17" i="2"/>
  <c r="AV17" i="2"/>
  <c r="AV15" i="2"/>
  <c r="AG15" i="2"/>
  <c r="AV13" i="2"/>
  <c r="AG13" i="2"/>
  <c r="AV12" i="2"/>
  <c r="AG12" i="2"/>
  <c r="AN5" i="2"/>
  <c r="AN7" i="2"/>
  <c r="AN8" i="2"/>
  <c r="AO5" i="2"/>
  <c r="AO9" i="2"/>
  <c r="AO10" i="2"/>
  <c r="AN12" i="2"/>
  <c r="AN2" i="2"/>
  <c r="AO4" i="2"/>
  <c r="AO14" i="2"/>
  <c r="AO16" i="2"/>
  <c r="AO3" i="2"/>
  <c r="AO12" i="2"/>
  <c r="AN13" i="2"/>
  <c r="AN15" i="2"/>
  <c r="AO13" i="2"/>
  <c r="AO17" i="2"/>
  <c r="AN17" i="2"/>
  <c r="AO15" i="2"/>
  <c r="AO2" i="2"/>
  <c r="R6" i="2"/>
  <c r="A6" i="2" s="1"/>
  <c r="AI6" i="2"/>
  <c r="AJ6" i="2"/>
  <c r="AP6" i="2"/>
  <c r="AQ6" i="2" s="1"/>
  <c r="AW6" i="2"/>
  <c r="AX6" i="2" l="1"/>
  <c r="AZ6" i="2"/>
  <c r="AW12" i="2"/>
  <c r="AX12" i="2"/>
  <c r="AW13" i="2"/>
  <c r="AX13" i="2"/>
  <c r="AW15" i="2"/>
  <c r="AX15" i="2"/>
  <c r="AW17" i="2"/>
  <c r="AX17" i="2"/>
  <c r="AV11" i="2"/>
  <c r="AG11" i="2"/>
  <c r="AN11" i="2"/>
  <c r="AO11" i="2"/>
  <c r="AO6" i="2"/>
  <c r="AW11" i="2" l="1"/>
  <c r="AX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A1" authorId="0" shapeId="0" xr:uid="{346818AD-89F7-4F82-9F9B-277492D67268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Acá se pone el nombre a guardar de las facturas. Si se deja vacío se guarda con el nombre que define AFIP.</t>
        </r>
      </text>
    </comment>
    <comment ref="G1" authorId="0" shapeId="0" xr:uid="{EEB42E31-2178-4C74-95E7-98727DEDE9DF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Se puede editar a necesidad de la empresa, en este caso factura a mes vencido</t>
        </r>
      </text>
    </comment>
    <comment ref="H1" authorId="0" shapeId="0" xr:uid="{044C47B3-C81F-45C8-A275-74B9F3E8CA5C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Se puede editar a necesidad de la empresa, en este caso factura a mes vencido</t>
        </r>
      </text>
    </comment>
    <comment ref="Q1" authorId="0" shapeId="0" xr:uid="{C13855EB-33CF-4947-A82B-16E82617FCA1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Si se deja vacío queda el default de AFIP. Ojo con CF que hay que identificar cuando supera el monto a informar</t>
        </r>
      </text>
    </comment>
    <comment ref="R1" authorId="0" shapeId="0" xr:uid="{955CC3E1-7240-4A3A-9513-B72EF6B08C47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Acá yo uso formulas porque generalmente facturo a mes vencido. Pero se pueden definir valores</t>
        </r>
      </text>
    </comment>
    <comment ref="W1" authorId="0" shapeId="0" xr:uid="{C9D61B62-D758-434C-B7AD-932B6BEC1456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si es factura C se deja vacío</t>
        </r>
      </text>
    </comment>
  </commentList>
</comments>
</file>

<file path=xl/sharedStrings.xml><?xml version="1.0" encoding="utf-8"?>
<sst xmlns="http://schemas.openxmlformats.org/spreadsheetml/2006/main" count="209" uniqueCount="94">
  <si>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</si>
  <si>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</si>
  <si>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</si>
  <si>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</si>
  <si>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</si>
  <si>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</si>
  <si>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</si>
  <si>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</si>
  <si>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</si>
  <si>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</si>
  <si>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</si>
  <si>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</si>
  <si>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</si>
  <si>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</si>
  <si>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</si>
  <si>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</si>
  <si>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</si>
  <si>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</si>
  <si>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</si>
  <si>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</si>
  <si>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</si>
  <si>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</si>
  <si>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</si>
  <si>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</si>
  <si>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</si>
  <si>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</si>
  <si>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</si>
  <si>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</si>
  <si>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</si>
  <si>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</si>
  <si>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</si>
  <si>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</si>
  <si>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</si>
  <si>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</si>
  <si>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</si>
  <si>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</si>
  <si>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</si>
  <si>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</si>
  <si>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</si>
  <si>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</si>
  <si>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</si>
  <si>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</si>
  <si>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</si>
  <si>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</si>
  <si>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</si>
  <si>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</si>
  <si>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</si>
  <si>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</si>
  <si>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</si>
  <si>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</si>
  <si>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</si>
  <si>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</si>
  <si>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</si>
  <si>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</si>
  <si>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</si>
  <si>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</si>
  <si>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</si>
  <si>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</si>
  <si>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</si>
  <si>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</si>
  <si>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</si>
  <si>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</si>
  <si>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</si>
  <si>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</si>
  <si>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</si>
  <si>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</si>
  <si>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</si>
  <si>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</si>
  <si>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</si>
  <si>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</si>
  <si>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</si>
  <si>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</si>
  <si>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</si>
  <si>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</si>
  <si>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</si>
  <si>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</si>
  <si>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</si>
  <si>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</si>
  <si>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</si>
  <si>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</si>
  <si>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</si>
  <si>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</si>
  <si>
    <t>Cod</t>
  </si>
  <si>
    <t>Bonif</t>
  </si>
  <si>
    <t>% Bonif</t>
  </si>
  <si>
    <t>% Bonif (Facturador)</t>
  </si>
  <si>
    <t>Bonif Facturador</t>
  </si>
  <si>
    <t>Domicilio</t>
  </si>
  <si>
    <t>Guardar</t>
  </si>
  <si>
    <t>Ubicación a Guardar</t>
  </si>
  <si>
    <t>C:\Users\ABP\Desktop\Test\</t>
  </si>
  <si>
    <t>SI</t>
  </si>
  <si>
    <t>NO</t>
  </si>
  <si>
    <t>Sin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</si>
</sst>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  <xf numFmtId="9" fontId="0" fillId="0" borderId="10" xfId="0" applyNumberFormat="1" applyBorder="1"/>
    <xf numFmtId="0" fontId="13" fillId="33" borderId="0" xfId="0" applyFont="1" applyFill="1" applyBorder="1"/>
    <xf numFmtId="0" fontId="0" fillId="0" borderId="10" xfId="0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BOT-Facturador-AFIP\Control%20Facturas.xlsx" TargetMode="External"/><Relationship Id="rId1" Type="http://schemas.openxmlformats.org/officeDocument/2006/relationships/externalLinkPath" Target="Control%20Factu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D1" t="str">
            <v>AUX</v>
          </cell>
          <cell r="E1" t="str">
            <v>Facturado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7"/>
  <sheetViews>
    <sheetView showGridLines="0" tabSelected="1" workbookViewId="0">
      <pane ySplit="1" topLeftCell="A2" activePane="bottomLeft" state="frozenSplit"/>
      <selection activeCell="K17" sqref="K17"/>
      <selection pane="bottomLeft" activeCell="B5" sqref="B5"/>
    </sheetView>
  </sheetViews>
  <sheetFormatPr baseColWidth="10" defaultRowHeight="15" x14ac:dyDescent="0.25"/>
  <cols>
    <col min="1" max="1" width="18.28515625" bestFit="1" customWidth="1"/>
    <col min="2" max="2" width="18.28515625" customWidth="1"/>
    <col min="3" max="3" width="9.140625" customWidth="1"/>
    <col min="4" max="4" width="8.42578125" customWidth="1"/>
    <col min="6" max="7" width="10.7109375" bestFit="1" customWidth="1"/>
    <col min="8" max="8" width="11.5703125" bestFit="1" customWidth="1"/>
    <col min="9" max="9" width="14.7109375" bestFit="1" customWidth="1"/>
    <col min="10" max="12" width="9.140625" customWidth="1"/>
    <col min="13" max="13" width="24.28515625" bestFit="1" customWidth="1"/>
    <col min="14" max="14" width="11.7109375" bestFit="1" customWidth="1"/>
    <col min="15" max="15" width="12" bestFit="1" customWidth="1"/>
    <col min="16" max="16" width="29" customWidth="1"/>
    <col min="17" max="17" width="17.42578125" customWidth="1"/>
    <col min="18" max="18" width="24.42578125" bestFit="1" customWidth="1"/>
    <col min="19" max="19" width="8" customWidth="1"/>
    <col min="20" max="20" width="9.140625" customWidth="1"/>
    <col min="21" max="21" width="10.5703125" customWidth="1"/>
    <col min="22" max="22" width="15.5703125" bestFit="1" customWidth="1"/>
    <col min="23" max="27" width="9.140625" customWidth="1"/>
    <col min="28" max="31" width="8" customWidth="1"/>
    <col min="32" max="36" width="9.140625" customWidth="1"/>
    <col min="37" max="37" width="11" customWidth="1"/>
    <col min="38" max="38" width="10" bestFit="1" customWidth="1"/>
    <col min="39" max="39" width="12.5703125" bestFit="1" customWidth="1"/>
    <col min="40" max="40" width="11" customWidth="1"/>
    <col min="41" max="41" width="11.5703125" customWidth="1"/>
    <col min="42" max="42" width="6.42578125" bestFit="1" customWidth="1"/>
    <col min="43" max="43" width="13.7109375" bestFit="1" customWidth="1"/>
    <col min="44" max="44" width="6" customWidth="1"/>
    <col min="45" max="45" width="5.85546875" customWidth="1"/>
    <col min="46" max="46" width="4" customWidth="1"/>
    <col min="47" max="47" width="7.5703125" bestFit="1" customWidth="1"/>
    <col min="48" max="48" width="14" bestFit="1" customWidth="1"/>
    <col min="49" max="49" width="11" bestFit="1" customWidth="1"/>
    <col min="50" max="50" width="13" bestFit="1" customWidth="1"/>
  </cols>
  <sheetData>
    <row r="1" spans="1:52" x14ac:dyDescent="0.25">
      <c r="A1" s="16" t="s">
        <v>29</v>
      </c>
      <c r="B1" s="22" t="s">
        <v>93</v>
      </c>
      <c r="C1" s="7" t="s">
        <v>79</v>
      </c>
      <c r="D1" s="16" t="s">
        <v>88</v>
      </c>
      <c r="E1" s="16" t="s">
        <v>89</v>
      </c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16" t="s">
        <v>87</v>
      </c>
      <c r="R1" s="7" t="s">
        <v>11</v>
      </c>
      <c r="S1" s="7" t="s">
        <v>82</v>
      </c>
      <c r="T1" s="7" t="s">
        <v>12</v>
      </c>
      <c r="U1" s="7" t="s">
        <v>13</v>
      </c>
      <c r="V1" s="7" t="s">
        <v>14</v>
      </c>
      <c r="W1" s="7" t="s">
        <v>15</v>
      </c>
      <c r="X1" s="7" t="s">
        <v>16</v>
      </c>
      <c r="Y1" s="7" t="s">
        <v>17</v>
      </c>
      <c r="Z1" s="7" t="s">
        <v>18</v>
      </c>
      <c r="AA1" s="7" t="s">
        <v>19</v>
      </c>
      <c r="AB1" s="7" t="s">
        <v>84</v>
      </c>
      <c r="AC1" s="7" t="s">
        <v>83</v>
      </c>
      <c r="AD1" s="7" t="s">
        <v>85</v>
      </c>
      <c r="AE1" s="7" t="s">
        <v>86</v>
      </c>
      <c r="AF1" s="7" t="s">
        <v>70</v>
      </c>
      <c r="AG1" s="7" t="s">
        <v>77</v>
      </c>
      <c r="AH1" s="7" t="s">
        <v>78</v>
      </c>
      <c r="AI1" s="7" t="s">
        <v>20</v>
      </c>
      <c r="AJ1" s="7" t="s">
        <v>21</v>
      </c>
      <c r="AK1" s="7" t="s">
        <v>22</v>
      </c>
      <c r="AL1" s="7" t="s">
        <v>23</v>
      </c>
      <c r="AM1" s="7" t="s">
        <v>24</v>
      </c>
      <c r="AN1" s="7" t="s">
        <v>25</v>
      </c>
      <c r="AO1" s="7" t="s">
        <v>26</v>
      </c>
      <c r="AP1" s="7" t="s">
        <v>27</v>
      </c>
      <c r="AQ1" s="7" t="s">
        <v>28</v>
      </c>
      <c r="AR1" s="16" t="s">
        <v>71</v>
      </c>
      <c r="AS1" s="16" t="s">
        <v>72</v>
      </c>
      <c r="AT1" s="16" t="s">
        <v>73</v>
      </c>
      <c r="AU1" s="16" t="s">
        <v>74</v>
      </c>
      <c r="AV1" s="17" t="s">
        <v>30</v>
      </c>
      <c r="AW1" s="17" t="s">
        <v>31</v>
      </c>
      <c r="AX1" s="17" t="s">
        <v>32</v>
      </c>
      <c r="AY1" s="19" t="s">
        <v>80</v>
      </c>
      <c r="AZ1" s="19" t="s">
        <v>81</v>
      </c>
    </row>
    <row r="2" spans="1:52" x14ac:dyDescent="0.25">
      <c r="A2" s="1" t="str">
        <f>CONCATENATE(J2," - ",O2," - ",P2," - ",R2)</f>
        <v>2 - 30525390086 - COCA COLA FEMSA DE BUENOS AIRES S A - Ajustes Marzo/Abril 2022</v>
      </c>
      <c r="B2" s="23" t="s">
        <v>92</v>
      </c>
      <c r="C2" s="1" t="str">
        <f>IFERROR(VLOOKUP(AQ2,[1]Control!$D:$E,2,0),"")</f>
        <v/>
      </c>
      <c r="D2" s="2" t="s">
        <v>91</v>
      </c>
      <c r="E2" s="2" t="s">
        <v>90</v>
      </c>
      <c r="F2" s="8">
        <f ca="1">TODAY()</f>
        <v>45149</v>
      </c>
      <c r="G2" s="9">
        <f ca="1">DATE(YEAR(H2),MONTH(H2),1)</f>
        <v>45108</v>
      </c>
      <c r="H2" s="9">
        <f ca="1">EOMONTH(F2,-1)</f>
        <v>45138</v>
      </c>
      <c r="I2" s="9">
        <f ca="1">F2+14</f>
        <v>45163</v>
      </c>
      <c r="J2" s="2">
        <v>2</v>
      </c>
      <c r="K2" s="2" t="s">
        <v>33</v>
      </c>
      <c r="L2" s="2" t="s">
        <v>38</v>
      </c>
      <c r="M2" s="2" t="s">
        <v>35</v>
      </c>
      <c r="N2" s="2" t="s">
        <v>9</v>
      </c>
      <c r="O2" s="3">
        <v>30525390086</v>
      </c>
      <c r="P2" s="2" t="s">
        <v>52</v>
      </c>
      <c r="Q2" s="2"/>
      <c r="R2" s="6" t="s">
        <v>53</v>
      </c>
      <c r="S2" s="2"/>
      <c r="T2" s="4">
        <v>7.003044</v>
      </c>
      <c r="U2" s="5">
        <v>19000</v>
      </c>
      <c r="V2" s="5">
        <f>T2*U2</f>
        <v>133057.83600000001</v>
      </c>
      <c r="W2" s="11" t="s">
        <v>37</v>
      </c>
      <c r="X2" s="11"/>
      <c r="Y2" s="11"/>
      <c r="Z2" s="11"/>
      <c r="AA2" s="12"/>
      <c r="AB2" s="21"/>
      <c r="AC2" s="2"/>
      <c r="AD2" s="1" t="str">
        <f>SUBSTITUTE(AB2,",",".")</f>
        <v/>
      </c>
      <c r="AE2" s="1" t="str">
        <f t="shared" ref="AE2" si="0">SUBSTITUTE(AC2,",",".")</f>
        <v/>
      </c>
      <c r="AF2" s="14">
        <f>COUNTIFS(J1:J2,J2,K1:K2,K2,P1:P2,P2)+1</f>
        <v>2</v>
      </c>
      <c r="AG2" s="18" t="str">
        <f>SUBSTITUTE(IF(AT2="A",ROUND(V2/U2,6),ROUND(AM2/U2,6)),",",".")</f>
        <v>7.003044</v>
      </c>
      <c r="AH2" s="18" t="str">
        <f>SUBSTITUTE(TEXT(U2,"0,00"),",",".")</f>
        <v>19000.00</v>
      </c>
      <c r="AI2" s="1" t="str">
        <f t="shared" ref="AI2:AI17" si="1">TEXT(Y2,"00000")</f>
        <v>00000</v>
      </c>
      <c r="AJ2" s="1" t="str">
        <f t="shared" ref="AJ2:AJ17" si="2">TEXT(Z2,"00000000")</f>
        <v>00000000</v>
      </c>
      <c r="AK2" s="9">
        <f>AA2</f>
        <v>0</v>
      </c>
      <c r="AL2" s="13">
        <f>IF(AT2="A",ROUND(V2*W2,2),ROUND(V2*W2/(1+W2),2))</f>
        <v>27942.15</v>
      </c>
      <c r="AM2" s="13">
        <f>IF(AT2="A",ROUND(V2+AL2,2),ROUND(V2,2))</f>
        <v>160999.99</v>
      </c>
      <c r="AN2" s="10" t="str">
        <f>IF(RIGHT(K2,1)="A",SUBSTITUTE(TEXT(V2,"0,00"),",","."),SUBSTITUTE(TEXT(AM2,"0,00"),",","."))</f>
        <v>133057.84</v>
      </c>
      <c r="AO2" s="10" t="str">
        <f>SUBSTITUTE(TEXT(ROUNDUP(AM2,0)-AM2,"0,00"),",",".")</f>
        <v>0.01</v>
      </c>
      <c r="AP2" s="1">
        <f>ROW(P2)</f>
        <v>2</v>
      </c>
      <c r="AQ2" s="15" t="str">
        <f>O2&amp;"-"&amp;AP2</f>
        <v>30525390086-2</v>
      </c>
      <c r="AR2" s="1">
        <f>COUNTIFS(J1:J2,J2,K1:K2,K2,P1:P2,P2)-1</f>
        <v>0</v>
      </c>
      <c r="AS2" s="1">
        <f ca="1">IF(F3="",0,COUNTIFS(J2:J3,J3,K2:K3,K3,P2:P3,P3)-1)</f>
        <v>0</v>
      </c>
      <c r="AT2" s="1" t="str">
        <f>RIGHT(K2)</f>
        <v>A</v>
      </c>
      <c r="AU2" s="1">
        <f>IF(LEFT(K2,4)="Nota",0,1)</f>
        <v>1</v>
      </c>
      <c r="AV2" s="13">
        <f>IF(RIGHT(K2,1)="A",ROUND(U2*T2*(1+W2),2),AM2)</f>
        <v>160999.98000000001</v>
      </c>
      <c r="AW2" s="13">
        <f>ROUND((AV2/(1+W2)),2)</f>
        <v>133057.82999999999</v>
      </c>
      <c r="AX2" s="20">
        <f>IF(AT2="A",ROUND(AW2/U2,6),AV2/U2)</f>
        <v>7.003044</v>
      </c>
      <c r="AY2" s="13">
        <f>IF(AT2="A",ROUND(CEILING(U2*T2*(1+W2),500),2),ROUND(CEILING(U2*T2,500),2))</f>
        <v>161000</v>
      </c>
      <c r="AZ2" s="20">
        <f>IF(AT2="A",ROUND(AW2/U2,6),AY2/U2)</f>
        <v>7.003044</v>
      </c>
    </row>
    <row r="3" spans="1:52" x14ac:dyDescent="0.25">
      <c r="A3" s="1" t="str">
        <f ca="1">CONCATENATE(J3," - ",O3," - ",P3," - ",R3)</f>
        <v>2 - 30525733870 - PRICE WATERHOUSE &amp; CO SOCIEDAD DE RESPONSABILIDAD LIMITADA - Honorarios Julio</v>
      </c>
      <c r="B3" s="23" t="s">
        <v>92</v>
      </c>
      <c r="C3" s="1" t="str">
        <f>IFERROR(VLOOKUP(AQ3,[1]Control!$D:$E,2,0),"")</f>
        <v/>
      </c>
      <c r="D3" s="2" t="s">
        <v>91</v>
      </c>
      <c r="E3" s="2" t="s">
        <v>90</v>
      </c>
      <c r="F3" s="8">
        <f t="shared" ref="F3:F17" ca="1" si="3">TODAY()</f>
        <v>45149</v>
      </c>
      <c r="G3" s="9">
        <f t="shared" ref="G3:G17" ca="1" si="4">DATE(YEAR(H3),MONTH(H3),1)</f>
        <v>45108</v>
      </c>
      <c r="H3" s="9">
        <f t="shared" ref="H3:H17" ca="1" si="5">EOMONTH(F3,-1)</f>
        <v>45138</v>
      </c>
      <c r="I3" s="9">
        <f t="shared" ref="I3:I17" ca="1" si="6">F3+14</f>
        <v>45163</v>
      </c>
      <c r="J3" s="2">
        <v>2</v>
      </c>
      <c r="K3" s="2" t="s">
        <v>33</v>
      </c>
      <c r="L3" s="2" t="s">
        <v>38</v>
      </c>
      <c r="M3" s="2" t="s">
        <v>35</v>
      </c>
      <c r="N3" s="2" t="s">
        <v>9</v>
      </c>
      <c r="O3" s="3">
        <v>30525733870</v>
      </c>
      <c r="P3" s="2" t="s">
        <v>49</v>
      </c>
      <c r="Q3" s="2"/>
      <c r="R3" s="1" t="str">
        <f ca="1">"Honorarios "&amp;PROPER(TEXT(G3,"mmmm"))</f>
        <v>Honorarios Julio</v>
      </c>
      <c r="S3" s="2"/>
      <c r="T3" s="4">
        <v>8.0252280000000003</v>
      </c>
      <c r="U3" s="5">
        <v>19000</v>
      </c>
      <c r="V3" s="5">
        <f t="shared" ref="V3:V17" si="7">T3*U3</f>
        <v>152479.33199999999</v>
      </c>
      <c r="W3" s="11" t="s">
        <v>37</v>
      </c>
      <c r="X3" s="11"/>
      <c r="Y3" s="11"/>
      <c r="Z3" s="11"/>
      <c r="AA3" s="12"/>
      <c r="AB3" s="2"/>
      <c r="AC3" s="2"/>
      <c r="AD3" s="1" t="str">
        <f t="shared" ref="AD3:AD17" si="8">SUBSTITUTE(AB3,",",".")</f>
        <v/>
      </c>
      <c r="AE3" s="1" t="str">
        <f>SUBSTITUTE(AC3,",",".")</f>
        <v/>
      </c>
      <c r="AF3" s="14">
        <f>COUNTIFS(J2:J3,J3,K2:K3,K3,P2:P3,P3)+1</f>
        <v>2</v>
      </c>
      <c r="AG3" s="18" t="str">
        <f>SUBSTITUTE(IF(AT3="A",ROUND(V3/U3,6),ROUND(AM3/U3,6)),",",".")</f>
        <v>8.025228</v>
      </c>
      <c r="AH3" s="18" t="str">
        <f t="shared" ref="AH3:AH17" si="9">SUBSTITUTE(TEXT(U3,"0,00"),",",".")</f>
        <v>19000.00</v>
      </c>
      <c r="AI3" s="1" t="str">
        <f t="shared" si="1"/>
        <v>00000</v>
      </c>
      <c r="AJ3" s="1" t="str">
        <f t="shared" si="2"/>
        <v>00000000</v>
      </c>
      <c r="AK3" s="9">
        <f t="shared" ref="AK3:AK17" si="10">AA3</f>
        <v>0</v>
      </c>
      <c r="AL3" s="13">
        <f>IF(AT3="A",ROUND(V3*W3,2),ROUND(V3*W3/(1+W3),2))</f>
        <v>32020.66</v>
      </c>
      <c r="AM3" s="13">
        <f>IF(AT3="A",ROUND(V3+AL3,2),ROUND(V3,2))</f>
        <v>184499.99</v>
      </c>
      <c r="AN3" s="10" t="str">
        <f>IF(RIGHT(K3,1)="A",SUBSTITUTE(TEXT(V3,"0,00"),",","."),SUBSTITUTE(TEXT(AM3,"0,00"),",","."))</f>
        <v>152479.33</v>
      </c>
      <c r="AO3" s="10" t="str">
        <f>SUBSTITUTE(TEXT(ROUNDUP(AM3,0)-AM3,"0,00"),",",".")</f>
        <v>0.01</v>
      </c>
      <c r="AP3" s="1">
        <f>ROW(P3)</f>
        <v>3</v>
      </c>
      <c r="AQ3" s="15" t="str">
        <f>O3&amp;"-"&amp;AP3</f>
        <v>30525733870-3</v>
      </c>
      <c r="AR3" s="1">
        <f>COUNTIFS(J2:J3,J3,K2:K3,K3,P2:P3,P3)-1</f>
        <v>0</v>
      </c>
      <c r="AS3" s="1">
        <f ca="1">IF(F4="",0,COUNTIFS(J3:J4,J4,K3:K4,K4,P3:P4,P4)-1)</f>
        <v>0</v>
      </c>
      <c r="AT3" s="1" t="str">
        <f>RIGHT(K3)</f>
        <v>A</v>
      </c>
      <c r="AU3" s="1">
        <f>IF(LEFT(K3,4)="Nota",0,1)</f>
        <v>1</v>
      </c>
      <c r="AV3" s="13">
        <f>IF(RIGHT(K3,1)="A",ROUND(U3*T3*(1+W3),2),AM3)</f>
        <v>184499.99</v>
      </c>
      <c r="AW3" s="13">
        <f>ROUND((AV3/(1+W3)),2)</f>
        <v>152479.32999999999</v>
      </c>
      <c r="AX3" s="20">
        <f>IF(AT3="A",ROUND(AW3/U3,6),AV3/U3)</f>
        <v>8.0252280000000003</v>
      </c>
      <c r="AY3" s="13">
        <f>IF(AT3="A",ROUND(CEILING(U3*T3*(1+W3),500),2),ROUND(CEILING(U3*T3,500),2))</f>
        <v>184500</v>
      </c>
      <c r="AZ3" s="20">
        <f>IF(AT3="A",ROUND(AW3/U3,6),AY3/U3)</f>
        <v>8.0252280000000003</v>
      </c>
    </row>
    <row r="4" spans="1:52" x14ac:dyDescent="0.25">
      <c r="A4" s="1" t="str">
        <f ca="1">CONCATENATE(J4," - ",O4," - ",P4," - ",R4)</f>
        <v>2 - 30610252334 - ARCOS DORADOS ARGENTINA SOCIEDAD ANONIMA - Honorarios Julio</v>
      </c>
      <c r="B4" s="23" t="s">
        <v>92</v>
      </c>
      <c r="C4" s="1" t="str">
        <f>IFERROR(VLOOKUP(AQ4,[1]Control!$D:$E,2,0),"")</f>
        <v/>
      </c>
      <c r="D4" s="2" t="s">
        <v>91</v>
      </c>
      <c r="E4" s="2" t="s">
        <v>90</v>
      </c>
      <c r="F4" s="8">
        <f t="shared" ca="1" si="3"/>
        <v>45149</v>
      </c>
      <c r="G4" s="9">
        <f t="shared" ca="1" si="4"/>
        <v>45108</v>
      </c>
      <c r="H4" s="9">
        <f t="shared" ca="1" si="5"/>
        <v>45138</v>
      </c>
      <c r="I4" s="9">
        <f t="shared" ca="1" si="6"/>
        <v>45163</v>
      </c>
      <c r="J4" s="2">
        <v>2</v>
      </c>
      <c r="K4" s="2" t="s">
        <v>33</v>
      </c>
      <c r="L4" s="2" t="s">
        <v>40</v>
      </c>
      <c r="M4" s="2" t="s">
        <v>35</v>
      </c>
      <c r="N4" s="2" t="s">
        <v>9</v>
      </c>
      <c r="O4" s="3">
        <v>30610252334</v>
      </c>
      <c r="P4" s="2" t="s">
        <v>41</v>
      </c>
      <c r="Q4" s="2"/>
      <c r="R4" s="1" t="str">
        <f ca="1">"Honorarios "&amp;PROPER(TEXT(G4,"mmmm"))</f>
        <v>Honorarios Julio</v>
      </c>
      <c r="S4" s="2"/>
      <c r="T4" s="4">
        <v>10.004348999999999</v>
      </c>
      <c r="U4" s="5">
        <v>19000</v>
      </c>
      <c r="V4" s="5">
        <f t="shared" si="7"/>
        <v>190082.63099999999</v>
      </c>
      <c r="W4" s="11" t="s">
        <v>37</v>
      </c>
      <c r="X4" s="11"/>
      <c r="Y4" s="11"/>
      <c r="Z4" s="11"/>
      <c r="AA4" s="12"/>
      <c r="AB4" s="2"/>
      <c r="AC4" s="2"/>
      <c r="AD4" s="1" t="str">
        <f t="shared" si="8"/>
        <v/>
      </c>
      <c r="AE4" s="1" t="str">
        <f t="shared" ref="AE4:AE17" si="11">SUBSTITUTE(AC4,",",".")</f>
        <v/>
      </c>
      <c r="AF4" s="14">
        <f>COUNTIFS(J3:J4,J4,K3:K4,K4,P3:P4,P4)+1</f>
        <v>2</v>
      </c>
      <c r="AG4" s="18" t="str">
        <f>SUBSTITUTE(IF(AT4="A",ROUND(V4/U4,6),ROUND(AM4/U4,6)),",",".")</f>
        <v>10.004349</v>
      </c>
      <c r="AH4" s="18" t="str">
        <f t="shared" si="9"/>
        <v>19000.00</v>
      </c>
      <c r="AI4" s="1" t="str">
        <f t="shared" si="1"/>
        <v>00000</v>
      </c>
      <c r="AJ4" s="1" t="str">
        <f t="shared" si="2"/>
        <v>00000000</v>
      </c>
      <c r="AK4" s="9">
        <f t="shared" si="10"/>
        <v>0</v>
      </c>
      <c r="AL4" s="13">
        <f>IF(AT4="A",ROUND(V4*W4,2),ROUND(V4*W4/(1+W4),2))</f>
        <v>39917.35</v>
      </c>
      <c r="AM4" s="13">
        <f>IF(AT4="A",ROUND(V4+AL4,2),ROUND(V4,2))</f>
        <v>229999.98</v>
      </c>
      <c r="AN4" s="10" t="str">
        <f>IF(RIGHT(K4,1)="A",SUBSTITUTE(TEXT(V4,"0,00"),",","."),SUBSTITUTE(TEXT(AM4,"0,00"),",","."))</f>
        <v>190082.63</v>
      </c>
      <c r="AO4" s="10" t="str">
        <f>SUBSTITUTE(TEXT(ROUNDUP(AM4,0)-AM4,"0,00"),",",".")</f>
        <v>0.02</v>
      </c>
      <c r="AP4" s="1">
        <f>ROW(P4)</f>
        <v>4</v>
      </c>
      <c r="AQ4" s="15" t="str">
        <f>O4&amp;"-"&amp;AP4</f>
        <v>30610252334-4</v>
      </c>
      <c r="AR4" s="1">
        <f>COUNTIFS(J3:J4,J4,K3:K4,K4,P3:P4,P4)-1</f>
        <v>0</v>
      </c>
      <c r="AS4" s="1">
        <f ca="1">IF(F5="",0,COUNTIFS(J4:J5,J5,K4:K5,K5,P4:P5,P5)-1)</f>
        <v>0</v>
      </c>
      <c r="AT4" s="1" t="str">
        <f>RIGHT(K4)</f>
        <v>A</v>
      </c>
      <c r="AU4" s="1">
        <f>IF(LEFT(K4,4)="Nota",0,1)</f>
        <v>1</v>
      </c>
      <c r="AV4" s="13">
        <f>IF(RIGHT(K4,1)="A",ROUND(U4*T4*(1+W4),2),AM4)</f>
        <v>229999.98</v>
      </c>
      <c r="AW4" s="13">
        <f>ROUND((AV4/(1+W4)),2)</f>
        <v>190082.63</v>
      </c>
      <c r="AX4" s="20">
        <f>IF(AT4="A",ROUND(AW4/U4,6),AV4/U4)</f>
        <v>10.004348999999999</v>
      </c>
      <c r="AY4" s="13">
        <f>IF(AT4="A",ROUND(CEILING(U4*T4*(1+W4),500),2),ROUND(CEILING(U4*T4,500),2))</f>
        <v>230000</v>
      </c>
      <c r="AZ4" s="20">
        <f>IF(AT4="A",ROUND(AW4/U4,6),AY4/U4)</f>
        <v>10.004348999999999</v>
      </c>
    </row>
    <row r="5" spans="1:52" x14ac:dyDescent="0.25">
      <c r="A5" s="1" t="str">
        <f ca="1">CONCATENATE(J5," - ",O5," - ",P5," - ",R5)</f>
        <v>2 - 30710964277 - LAKAUT S.A. - Honorarios Julio</v>
      </c>
      <c r="B5" s="23" t="s">
        <v>92</v>
      </c>
      <c r="C5" s="1" t="str">
        <f>IFERROR(VLOOKUP(AQ5,[1]Control!$D:$E,2,0),"")</f>
        <v/>
      </c>
      <c r="D5" s="2" t="s">
        <v>91</v>
      </c>
      <c r="E5" s="2" t="s">
        <v>90</v>
      </c>
      <c r="F5" s="8">
        <f t="shared" ca="1" si="3"/>
        <v>45149</v>
      </c>
      <c r="G5" s="9">
        <f t="shared" ca="1" si="4"/>
        <v>45108</v>
      </c>
      <c r="H5" s="9">
        <f t="shared" ca="1" si="5"/>
        <v>45138</v>
      </c>
      <c r="I5" s="9">
        <f t="shared" ca="1" si="6"/>
        <v>45163</v>
      </c>
      <c r="J5" s="2">
        <v>2</v>
      </c>
      <c r="K5" s="2" t="s">
        <v>33</v>
      </c>
      <c r="L5" s="2" t="s">
        <v>38</v>
      </c>
      <c r="M5" s="2" t="s">
        <v>35</v>
      </c>
      <c r="N5" s="2" t="s">
        <v>9</v>
      </c>
      <c r="O5" s="3">
        <v>30710964277</v>
      </c>
      <c r="P5" s="2" t="s">
        <v>50</v>
      </c>
      <c r="Q5" s="2"/>
      <c r="R5" s="1" t="str">
        <f ca="1">"Honorarios "&amp;PROPER(TEXT(G5,"mmmm"))</f>
        <v>Honorarios Julio</v>
      </c>
      <c r="S5" s="2"/>
      <c r="T5" s="4">
        <v>9.0256629999999998</v>
      </c>
      <c r="U5" s="5">
        <v>19000</v>
      </c>
      <c r="V5" s="5">
        <f t="shared" si="7"/>
        <v>171487.59700000001</v>
      </c>
      <c r="W5" s="11" t="s">
        <v>37</v>
      </c>
      <c r="X5" s="11"/>
      <c r="Y5" s="11"/>
      <c r="Z5" s="11"/>
      <c r="AA5" s="12"/>
      <c r="AB5" s="2"/>
      <c r="AC5" s="2"/>
      <c r="AD5" s="1" t="str">
        <f t="shared" si="8"/>
        <v/>
      </c>
      <c r="AE5" s="1" t="str">
        <f t="shared" si="11"/>
        <v/>
      </c>
      <c r="AF5" s="14">
        <f>COUNTIFS(J4:J5,J5,K4:K5,K5,P4:P5,P5)+1</f>
        <v>2</v>
      </c>
      <c r="AG5" s="18" t="str">
        <f>SUBSTITUTE(IF(AT5="A",ROUND(V5/U5,6),ROUND(AM5/U5,6)),",",".")</f>
        <v>9.025663</v>
      </c>
      <c r="AH5" s="18" t="str">
        <f t="shared" si="9"/>
        <v>19000.00</v>
      </c>
      <c r="AI5" s="1" t="str">
        <f t="shared" si="1"/>
        <v>00000</v>
      </c>
      <c r="AJ5" s="1" t="str">
        <f t="shared" si="2"/>
        <v>00000000</v>
      </c>
      <c r="AK5" s="9">
        <f t="shared" si="10"/>
        <v>0</v>
      </c>
      <c r="AL5" s="13">
        <f>IF(AT5="A",ROUND(V5*W5,2),ROUND(V5*W5/(1+W5),2))</f>
        <v>36012.400000000001</v>
      </c>
      <c r="AM5" s="13">
        <f>IF(AT5="A",ROUND(V5+AL5,2),ROUND(V5,2))</f>
        <v>207500</v>
      </c>
      <c r="AN5" s="10" t="str">
        <f>IF(RIGHT(K5,1)="A",SUBSTITUTE(TEXT(V5,"0,00"),",","."),SUBSTITUTE(TEXT(AM5,"0,00"),",","."))</f>
        <v>171487.60</v>
      </c>
      <c r="AO5" s="10" t="str">
        <f>SUBSTITUTE(TEXT(ROUNDUP(AM5,0)-AM5,"0,00"),",",".")</f>
        <v>0.00</v>
      </c>
      <c r="AP5" s="1">
        <f>ROW(P5)</f>
        <v>5</v>
      </c>
      <c r="AQ5" s="15" t="str">
        <f>O5&amp;"-"&amp;AP5</f>
        <v>30710964277-5</v>
      </c>
      <c r="AR5" s="1">
        <f>COUNTIFS(J4:J5,J5,K4:K5,K5,P4:P5,P5)-1</f>
        <v>0</v>
      </c>
      <c r="AS5" s="1">
        <f ca="1">IF(F6="",0,COUNTIFS(J5:J6,J6,K5:K6,K6,P5:P6,P6)-1)</f>
        <v>0</v>
      </c>
      <c r="AT5" s="1" t="str">
        <f>RIGHT(K5)</f>
        <v>A</v>
      </c>
      <c r="AU5" s="1">
        <f>IF(LEFT(K5,4)="Nota",0,1)</f>
        <v>1</v>
      </c>
      <c r="AV5" s="13">
        <f>IF(RIGHT(K5,1)="A",ROUND(U5*T5*(1+W5),2),AM5)</f>
        <v>207499.99</v>
      </c>
      <c r="AW5" s="13">
        <f>ROUND((AV5/(1+W5)),2)</f>
        <v>171487.6</v>
      </c>
      <c r="AX5" s="20">
        <f>IF(AT5="A",ROUND(AW5/U5,6),AV5/U5)</f>
        <v>9.0256629999999998</v>
      </c>
      <c r="AY5" s="13">
        <f>IF(AT5="A",ROUND(CEILING(U5*T5*(1+W5),500),2),ROUND(CEILING(U5*T5,500),2))</f>
        <v>207500</v>
      </c>
      <c r="AZ5" s="20">
        <f>IF(AT5="A",ROUND(AW5/U5,6),AY5/U5)</f>
        <v>9.0256629999999998</v>
      </c>
    </row>
    <row r="6" spans="1:52" x14ac:dyDescent="0.25">
      <c r="A6" s="1" t="str">
        <f ca="1">CONCATENATE(J6," - ",O6," - ",P6," - ",R6)</f>
        <v>2 - 33610006189 - ACCENTURE SOCIEDAD DE RESPONSABILIDAD LIMITADA - Honorarios Julio</v>
      </c>
      <c r="B6" s="23" t="s">
        <v>92</v>
      </c>
      <c r="C6" s="1" t="str">
        <f>IFERROR(VLOOKUP(AQ6,[1]Control!$D:$E,2,0),"")</f>
        <v/>
      </c>
      <c r="D6" s="2" t="s">
        <v>91</v>
      </c>
      <c r="E6" s="2" t="s">
        <v>90</v>
      </c>
      <c r="F6" s="8">
        <f t="shared" ca="1" si="3"/>
        <v>45149</v>
      </c>
      <c r="G6" s="9">
        <f t="shared" ca="1" si="4"/>
        <v>45108</v>
      </c>
      <c r="H6" s="9">
        <f t="shared" ca="1" si="5"/>
        <v>45138</v>
      </c>
      <c r="I6" s="9">
        <f t="shared" ca="1" si="6"/>
        <v>45163</v>
      </c>
      <c r="J6" s="2">
        <v>2</v>
      </c>
      <c r="K6" s="2" t="s">
        <v>33</v>
      </c>
      <c r="L6" s="2" t="s">
        <v>34</v>
      </c>
      <c r="M6" s="2" t="s">
        <v>35</v>
      </c>
      <c r="N6" s="2" t="s">
        <v>9</v>
      </c>
      <c r="O6" s="3">
        <v>33610006189</v>
      </c>
      <c r="P6" s="2" t="s">
        <v>36</v>
      </c>
      <c r="Q6" s="2"/>
      <c r="R6" s="1" t="str">
        <f ca="1">"Honorarios "&amp;PROPER(TEXT(G6,"mmmm"))</f>
        <v>Honorarios Julio</v>
      </c>
      <c r="S6" s="2"/>
      <c r="T6" s="4">
        <v>5.0239229999999999</v>
      </c>
      <c r="U6" s="5">
        <v>19000</v>
      </c>
      <c r="V6" s="5">
        <f t="shared" si="7"/>
        <v>95454.536999999997</v>
      </c>
      <c r="W6" s="11" t="s">
        <v>37</v>
      </c>
      <c r="X6" s="11" t="s">
        <v>75</v>
      </c>
      <c r="Y6" s="11" t="s">
        <v>45</v>
      </c>
      <c r="Z6" s="11" t="s">
        <v>76</v>
      </c>
      <c r="AA6" s="12">
        <v>44816</v>
      </c>
      <c r="AB6" s="2"/>
      <c r="AC6" s="2"/>
      <c r="AD6" s="1" t="str">
        <f t="shared" si="8"/>
        <v/>
      </c>
      <c r="AE6" s="1" t="str">
        <f t="shared" si="11"/>
        <v/>
      </c>
      <c r="AF6" s="14">
        <f>COUNTIFS(J5:J6,J6,K5:K6,K6,P5:P6,P6)+1</f>
        <v>2</v>
      </c>
      <c r="AG6" s="18" t="str">
        <f>SUBSTITUTE(IF(AT6="A",ROUND(V6/U6,6),ROUND(AM6/U6,6)),",",".")</f>
        <v>5.023923</v>
      </c>
      <c r="AH6" s="18" t="str">
        <f t="shared" si="9"/>
        <v>19000.00</v>
      </c>
      <c r="AI6" s="1" t="str">
        <f t="shared" si="1"/>
        <v>00002</v>
      </c>
      <c r="AJ6" s="1" t="str">
        <f t="shared" si="2"/>
        <v>00000003</v>
      </c>
      <c r="AK6" s="9">
        <f t="shared" si="10"/>
        <v>44816</v>
      </c>
      <c r="AL6" s="13">
        <f>IF(AT6="A",ROUND(V6*W6,2),ROUND(V6*W6/(1+W6),2))</f>
        <v>20045.45</v>
      </c>
      <c r="AM6" s="13">
        <f>IF(AT6="A",ROUND(V6+AL6,2),ROUND(V6,2))</f>
        <v>115499.99</v>
      </c>
      <c r="AN6" s="10" t="str">
        <f>IF(RIGHT(K6,1)="A",SUBSTITUTE(TEXT(V6,"0,00"),",","."),SUBSTITUTE(TEXT(AM6,"0,00"),",","."))</f>
        <v>95454.54</v>
      </c>
      <c r="AO6" s="10" t="str">
        <f>SUBSTITUTE(TEXT(ROUNDUP(AM6,0)-AM6,"0,00"),",",".")</f>
        <v>0.01</v>
      </c>
      <c r="AP6" s="1">
        <f>ROW(P6)</f>
        <v>6</v>
      </c>
      <c r="AQ6" s="15" t="str">
        <f>O6&amp;"-"&amp;AP6</f>
        <v>33610006189-6</v>
      </c>
      <c r="AR6" s="1">
        <f>COUNTIFS(J5:J6,J6,K5:K6,K6,P5:P6,P6)-1</f>
        <v>0</v>
      </c>
      <c r="AS6" s="1">
        <f ca="1">IF(F7="",0,COUNTIFS(J6:J7,J7,K6:K7,K7,P6:P7,P7)-1)</f>
        <v>1</v>
      </c>
      <c r="AT6" s="1" t="str">
        <f>RIGHT(K6)</f>
        <v>A</v>
      </c>
      <c r="AU6" s="1">
        <f>IF(LEFT(K6,4)="Nota",0,1)</f>
        <v>1</v>
      </c>
      <c r="AV6" s="13">
        <f>IF(RIGHT(K6,1)="A",ROUND(U6*T6*(1+W6),2),AM6)</f>
        <v>115499.99</v>
      </c>
      <c r="AW6" s="13">
        <f>ROUND((AV6/(1+W6)),2)</f>
        <v>95454.54</v>
      </c>
      <c r="AX6" s="20">
        <f>IF(AT6="A",ROUND(AW6/U6,6),AV6/U6)</f>
        <v>5.0239229999999999</v>
      </c>
      <c r="AY6" s="13">
        <f>IF(AT6="A",ROUND(CEILING(U6*T6*(1+W6),500),2),ROUND(CEILING(U6*T6,500),2))</f>
        <v>115500</v>
      </c>
      <c r="AZ6" s="20">
        <f>IF(AT6="A",ROUND(AW6/U6,6),AY6/U6)</f>
        <v>5.0239229999999999</v>
      </c>
    </row>
    <row r="7" spans="1:52" x14ac:dyDescent="0.25">
      <c r="A7" s="1" t="str">
        <f>CONCATENATE(J7," - ",O7," - ",P7," - ",R7)</f>
        <v>2 - 33610006189 - ACCENTURE SOCIEDAD DE RESPONSABILIDAD LIMITADA - Horas extra</v>
      </c>
      <c r="B7" s="23" t="s">
        <v>92</v>
      </c>
      <c r="C7" s="1" t="str">
        <f>IFERROR(VLOOKUP(AQ7,[1]Control!$D:$E,2,0),"")</f>
        <v/>
      </c>
      <c r="D7" s="2" t="s">
        <v>91</v>
      </c>
      <c r="E7" s="2" t="s">
        <v>90</v>
      </c>
      <c r="F7" s="8">
        <f t="shared" ca="1" si="3"/>
        <v>45149</v>
      </c>
      <c r="G7" s="9">
        <f t="shared" ca="1" si="4"/>
        <v>45108</v>
      </c>
      <c r="H7" s="9">
        <f t="shared" ca="1" si="5"/>
        <v>45138</v>
      </c>
      <c r="I7" s="9">
        <f t="shared" ca="1" si="6"/>
        <v>45163</v>
      </c>
      <c r="J7" s="2">
        <v>2</v>
      </c>
      <c r="K7" s="2" t="s">
        <v>33</v>
      </c>
      <c r="L7" s="2" t="s">
        <v>38</v>
      </c>
      <c r="M7" s="2" t="s">
        <v>35</v>
      </c>
      <c r="N7" s="2" t="s">
        <v>9</v>
      </c>
      <c r="O7" s="3">
        <v>33610006189</v>
      </c>
      <c r="P7" s="2" t="s">
        <v>36</v>
      </c>
      <c r="Q7" s="2"/>
      <c r="R7" s="6" t="s">
        <v>39</v>
      </c>
      <c r="S7" s="2"/>
      <c r="T7" s="4">
        <v>5.0021740000000001</v>
      </c>
      <c r="U7" s="5">
        <v>19000</v>
      </c>
      <c r="V7" s="5">
        <f t="shared" si="7"/>
        <v>95041.305999999997</v>
      </c>
      <c r="W7" s="11" t="s">
        <v>37</v>
      </c>
      <c r="X7" s="11"/>
      <c r="Y7" s="11"/>
      <c r="Z7" s="11"/>
      <c r="AA7" s="12"/>
      <c r="AB7" s="2"/>
      <c r="AC7" s="2"/>
      <c r="AD7" s="1" t="str">
        <f t="shared" si="8"/>
        <v/>
      </c>
      <c r="AE7" s="1" t="str">
        <f t="shared" si="11"/>
        <v/>
      </c>
      <c r="AF7" s="14">
        <f>COUNTIFS(J6:J7,J7,K6:K7,K7,P6:P7,P7)+1</f>
        <v>3</v>
      </c>
      <c r="AG7" s="18" t="str">
        <f>SUBSTITUTE(IF(AT7="A",ROUND(V7/U7,6),ROUND(AM7/U7,6)),",",".")</f>
        <v>5.002174</v>
      </c>
      <c r="AH7" s="18" t="str">
        <f t="shared" si="9"/>
        <v>19000.00</v>
      </c>
      <c r="AI7" s="1" t="str">
        <f t="shared" si="1"/>
        <v>00000</v>
      </c>
      <c r="AJ7" s="1" t="str">
        <f t="shared" si="2"/>
        <v>00000000</v>
      </c>
      <c r="AK7" s="9">
        <f t="shared" si="10"/>
        <v>0</v>
      </c>
      <c r="AL7" s="13">
        <f>IF(AT7="A",ROUND(V7*W7,2),ROUND(V7*W7/(1+W7),2))</f>
        <v>19958.669999999998</v>
      </c>
      <c r="AM7" s="13">
        <f>IF(AT7="A",ROUND(V7+AL7,2),ROUND(V7,2))</f>
        <v>114999.98</v>
      </c>
      <c r="AN7" s="10" t="str">
        <f>IF(RIGHT(K7,1)="A",SUBSTITUTE(TEXT(V7,"0,00"),",","."),SUBSTITUTE(TEXT(AM7,"0,00"),",","."))</f>
        <v>95041.31</v>
      </c>
      <c r="AO7" s="10" t="str">
        <f t="shared" ref="AO7:AO17" si="12">SUBSTITUTE(TEXT(ROUNDUP(AM7,0)-AM7,"0,00"),",",".")</f>
        <v>0.02</v>
      </c>
      <c r="AP7" s="1">
        <f>ROW(P7)</f>
        <v>7</v>
      </c>
      <c r="AQ7" s="15" t="str">
        <f>O7&amp;"-"&amp;AP7</f>
        <v>33610006189-7</v>
      </c>
      <c r="AR7" s="1">
        <f>COUNTIFS(J6:J7,J7,K6:K7,K7,P6:P7,P7)-1</f>
        <v>1</v>
      </c>
      <c r="AS7" s="1">
        <f ca="1">IF(F8="",0,COUNTIFS(J7:J8,J8,K7:K8,K8,P7:P8,P8)-1)</f>
        <v>0</v>
      </c>
      <c r="AT7" s="1" t="str">
        <f>RIGHT(K7)</f>
        <v>A</v>
      </c>
      <c r="AU7" s="1">
        <f>IF(LEFT(K7,4)="Nota",0,1)</f>
        <v>1</v>
      </c>
      <c r="AV7" s="13">
        <f>IF(RIGHT(K7,1)="A",ROUND(U7*T7*(1+W7),2),AM7)</f>
        <v>114999.98</v>
      </c>
      <c r="AW7" s="13">
        <f>ROUND((AV7/(1+W7)),2)</f>
        <v>95041.31</v>
      </c>
      <c r="AX7" s="20">
        <f>IF(AT7="A",ROUND(AW7/U7,6),AV7/U7)</f>
        <v>5.0021740000000001</v>
      </c>
      <c r="AY7" s="13">
        <f>IF(AT7="A",ROUND(CEILING(U7*T7*(1+W7),500),2),ROUND(CEILING(U7*T7,500),2))</f>
        <v>115000</v>
      </c>
      <c r="AZ7" s="20">
        <f>IF(AT7="A",ROUND(AW7/U7,6),AY7/U7)</f>
        <v>5.0021740000000001</v>
      </c>
    </row>
    <row r="8" spans="1:52" x14ac:dyDescent="0.25">
      <c r="A8" s="1" t="str">
        <f ca="1">CONCATENATE(J8," - ",O8," - ",P8," - ",R8)</f>
        <v>2 - 33615420269 - AUSTRAL LINEAS AEREAS CIELOS DEL SUR S A - Honorarios Julio</v>
      </c>
      <c r="B8" s="23" t="s">
        <v>92</v>
      </c>
      <c r="C8" s="1" t="str">
        <f>IFERROR(VLOOKUP(AQ8,[1]Control!$D:$E,2,0),"")</f>
        <v/>
      </c>
      <c r="D8" s="2" t="s">
        <v>91</v>
      </c>
      <c r="E8" s="2" t="s">
        <v>90</v>
      </c>
      <c r="F8" s="8">
        <f t="shared" ca="1" si="3"/>
        <v>45149</v>
      </c>
      <c r="G8" s="9">
        <f t="shared" ca="1" si="4"/>
        <v>45108</v>
      </c>
      <c r="H8" s="9">
        <f t="shared" ca="1" si="5"/>
        <v>45138</v>
      </c>
      <c r="I8" s="9">
        <f t="shared" ca="1" si="6"/>
        <v>45163</v>
      </c>
      <c r="J8" s="2">
        <v>2</v>
      </c>
      <c r="K8" s="2" t="s">
        <v>33</v>
      </c>
      <c r="L8" s="2" t="s">
        <v>38</v>
      </c>
      <c r="M8" s="2" t="s">
        <v>35</v>
      </c>
      <c r="N8" s="2" t="s">
        <v>9</v>
      </c>
      <c r="O8" s="3">
        <v>33615420269</v>
      </c>
      <c r="P8" s="2" t="s">
        <v>51</v>
      </c>
      <c r="Q8" s="2"/>
      <c r="R8" s="1" t="str">
        <f t="shared" ref="R8:R13" ca="1" si="13">"Honorarios "&amp;PROPER(TEXT(G8,"mmmm"))</f>
        <v>Honorarios Julio</v>
      </c>
      <c r="S8" s="2"/>
      <c r="T8" s="4">
        <v>10.004348999999999</v>
      </c>
      <c r="U8" s="5">
        <v>19000</v>
      </c>
      <c r="V8" s="5">
        <f t="shared" si="7"/>
        <v>190082.63099999999</v>
      </c>
      <c r="W8" s="11" t="s">
        <v>37</v>
      </c>
      <c r="X8" s="11"/>
      <c r="Y8" s="11"/>
      <c r="Z8" s="11"/>
      <c r="AA8" s="12"/>
      <c r="AB8" s="2"/>
      <c r="AC8" s="2"/>
      <c r="AD8" s="1" t="str">
        <f t="shared" si="8"/>
        <v/>
      </c>
      <c r="AE8" s="1" t="str">
        <f t="shared" si="11"/>
        <v/>
      </c>
      <c r="AF8" s="14">
        <f>COUNTIFS(J7:J8,J8,K7:K8,K8,P7:P8,P8)+1</f>
        <v>2</v>
      </c>
      <c r="AG8" s="18" t="str">
        <f>SUBSTITUTE(IF(AT8="A",ROUND(V8/U8,6),ROUND(AM8/U8,6)),",",".")</f>
        <v>10.004349</v>
      </c>
      <c r="AH8" s="18" t="str">
        <f t="shared" si="9"/>
        <v>19000.00</v>
      </c>
      <c r="AI8" s="1" t="str">
        <f t="shared" si="1"/>
        <v>00000</v>
      </c>
      <c r="AJ8" s="1" t="str">
        <f t="shared" si="2"/>
        <v>00000000</v>
      </c>
      <c r="AK8" s="9">
        <f t="shared" si="10"/>
        <v>0</v>
      </c>
      <c r="AL8" s="13">
        <f>IF(AT8="A",ROUND(V8*W8,2),ROUND(V8*W8/(1+W8),2))</f>
        <v>39917.35</v>
      </c>
      <c r="AM8" s="13">
        <f>IF(AT8="A",ROUND(V8+AL8,2),ROUND(V8,2))</f>
        <v>229999.98</v>
      </c>
      <c r="AN8" s="10" t="str">
        <f>IF(RIGHT(K8,1)="A",SUBSTITUTE(TEXT(V8,"0,00"),",","."),SUBSTITUTE(TEXT(AM8,"0,00"),",","."))</f>
        <v>190082.63</v>
      </c>
      <c r="AO8" s="10" t="str">
        <f t="shared" si="12"/>
        <v>0.02</v>
      </c>
      <c r="AP8" s="1">
        <f>ROW(P8)</f>
        <v>8</v>
      </c>
      <c r="AQ8" s="15" t="str">
        <f>O8&amp;"-"&amp;AP8</f>
        <v>33615420269-8</v>
      </c>
      <c r="AR8" s="1">
        <f>COUNTIFS(J7:J8,J8,K7:K8,K8,P7:P8,P8)-1</f>
        <v>0</v>
      </c>
      <c r="AS8" s="1">
        <f ca="1">IF(F9="",0,COUNTIFS(J8:J9,J9,K8:K9,K9,P8:P9,P9)-1)</f>
        <v>0</v>
      </c>
      <c r="AT8" s="1" t="str">
        <f>RIGHT(K8)</f>
        <v>A</v>
      </c>
      <c r="AU8" s="1">
        <f>IF(LEFT(K8,4)="Nota",0,1)</f>
        <v>1</v>
      </c>
      <c r="AV8" s="13">
        <f>IF(RIGHT(K8,1)="A",ROUND(U8*T8*(1+W8),2),AM8)</f>
        <v>229999.98</v>
      </c>
      <c r="AW8" s="13">
        <f>ROUND((AV8/(1+W8)),2)</f>
        <v>190082.63</v>
      </c>
      <c r="AX8" s="20">
        <f>IF(AT8="A",ROUND(AW8/U8,6),AV8/U8)</f>
        <v>10.004348999999999</v>
      </c>
      <c r="AY8" s="13">
        <f>IF(AT8="A",ROUND(CEILING(U8*T8*(1+W8),500),2),ROUND(CEILING(U8*T8,500),2))</f>
        <v>230000</v>
      </c>
      <c r="AZ8" s="20">
        <f>IF(AT8="A",ROUND(AW8/U8,6),AY8/U8)</f>
        <v>10.004348999999999</v>
      </c>
    </row>
    <row r="9" spans="1:52" x14ac:dyDescent="0.25">
      <c r="A9" s="1" t="str">
        <f ca="1">CONCATENATE(J9," - ",O9," - ",P9," - ",R9)</f>
        <v>2 - 20147130202 - BUSTOS JOSE MARTIN - Honorarios Julio</v>
      </c>
      <c r="B9" s="23" t="s">
        <v>92</v>
      </c>
      <c r="C9" s="1" t="str">
        <f>IFERROR(VLOOKUP(AQ9,[1]Control!$D:$E,2,0),"")</f>
        <v/>
      </c>
      <c r="D9" s="2" t="s">
        <v>91</v>
      </c>
      <c r="E9" s="2" t="s">
        <v>90</v>
      </c>
      <c r="F9" s="8">
        <f t="shared" ca="1" si="3"/>
        <v>45149</v>
      </c>
      <c r="G9" s="9">
        <f t="shared" ca="1" si="4"/>
        <v>45108</v>
      </c>
      <c r="H9" s="9">
        <f t="shared" ca="1" si="5"/>
        <v>45138</v>
      </c>
      <c r="I9" s="9">
        <f t="shared" ca="1" si="6"/>
        <v>45163</v>
      </c>
      <c r="J9" s="2">
        <v>2</v>
      </c>
      <c r="K9" s="2" t="s">
        <v>33</v>
      </c>
      <c r="L9" s="2" t="s">
        <v>38</v>
      </c>
      <c r="M9" s="2" t="s">
        <v>54</v>
      </c>
      <c r="N9" s="2" t="s">
        <v>9</v>
      </c>
      <c r="O9" s="2">
        <v>20147130202</v>
      </c>
      <c r="P9" s="2" t="s">
        <v>56</v>
      </c>
      <c r="Q9" s="2"/>
      <c r="R9" s="1" t="str">
        <f t="shared" ca="1" si="13"/>
        <v>Honorarios Julio</v>
      </c>
      <c r="S9" s="2"/>
      <c r="T9" s="4">
        <v>1.0221830000000001</v>
      </c>
      <c r="U9" s="5">
        <v>19000</v>
      </c>
      <c r="V9" s="5">
        <f t="shared" si="7"/>
        <v>19421.477000000003</v>
      </c>
      <c r="W9" s="11" t="s">
        <v>37</v>
      </c>
      <c r="X9" s="11"/>
      <c r="Y9" s="11"/>
      <c r="Z9" s="11"/>
      <c r="AA9" s="12"/>
      <c r="AB9" s="2"/>
      <c r="AC9" s="2"/>
      <c r="AD9" s="1" t="str">
        <f t="shared" si="8"/>
        <v/>
      </c>
      <c r="AE9" s="1" t="str">
        <f t="shared" si="11"/>
        <v/>
      </c>
      <c r="AF9" s="14">
        <f>COUNTIFS(J8:J9,J9,K8:K9,K9,P8:P9,P9)+1</f>
        <v>2</v>
      </c>
      <c r="AG9" s="18" t="str">
        <f>SUBSTITUTE(IF(AT9="A",ROUND(V9/U9,6),ROUND(AM9/U9,6)),",",".")</f>
        <v>1.022183</v>
      </c>
      <c r="AH9" s="18" t="str">
        <f t="shared" si="9"/>
        <v>19000.00</v>
      </c>
      <c r="AI9" s="1" t="str">
        <f t="shared" si="1"/>
        <v>00000</v>
      </c>
      <c r="AJ9" s="1" t="str">
        <f t="shared" si="2"/>
        <v>00000000</v>
      </c>
      <c r="AK9" s="9">
        <f t="shared" si="10"/>
        <v>0</v>
      </c>
      <c r="AL9" s="13">
        <f>IF(AT9="A",ROUND(V9*W9,2),ROUND(V9*W9/(1+W9),2))</f>
        <v>4078.51</v>
      </c>
      <c r="AM9" s="13">
        <f>IF(AT9="A",ROUND(V9+AL9,2),ROUND(V9,2))</f>
        <v>23499.99</v>
      </c>
      <c r="AN9" s="10" t="str">
        <f>IF(RIGHT(K9,1)="A",SUBSTITUTE(TEXT(V9,"0,00"),",","."),SUBSTITUTE(TEXT(AM9,"0,00"),",","."))</f>
        <v>19421.48</v>
      </c>
      <c r="AO9" s="10" t="str">
        <f t="shared" si="12"/>
        <v>0.01</v>
      </c>
      <c r="AP9" s="1">
        <f>ROW(P9)</f>
        <v>9</v>
      </c>
      <c r="AQ9" s="15" t="str">
        <f>O9&amp;"-"&amp;AP9</f>
        <v>20147130202-9</v>
      </c>
      <c r="AR9" s="1">
        <f>COUNTIFS(J8:J9,J9,K8:K9,K9,P8:P9,P9)-1</f>
        <v>0</v>
      </c>
      <c r="AS9" s="1">
        <f ca="1">IF(F10="",0,COUNTIFS(J9:J10,J10,K9:K10,K10,P9:P10,P10)-1)</f>
        <v>0</v>
      </c>
      <c r="AT9" s="1" t="str">
        <f>RIGHT(K9)</f>
        <v>A</v>
      </c>
      <c r="AU9" s="1">
        <f>IF(LEFT(K9,4)="Nota",0,1)</f>
        <v>1</v>
      </c>
      <c r="AV9" s="13">
        <f>IF(RIGHT(K9,1)="A",ROUND(U9*T9*(1+W9),2),AM9)</f>
        <v>23499.99</v>
      </c>
      <c r="AW9" s="13">
        <f>ROUND((AV9/(1+W9)),2)</f>
        <v>19421.48</v>
      </c>
      <c r="AX9" s="20">
        <f>IF(AT9="A",ROUND(AW9/U9,6),AV9/U9)</f>
        <v>1.0221830000000001</v>
      </c>
      <c r="AY9" s="13">
        <f>IF(AT9="A",ROUND(CEILING(U9*T9*(1+W9),500),2),ROUND(CEILING(U9*T9,500),2))</f>
        <v>23500</v>
      </c>
      <c r="AZ9" s="20">
        <f>IF(AT9="A",ROUND(AW9/U9,6),AY9/U9)</f>
        <v>1.0221830000000001</v>
      </c>
    </row>
    <row r="10" spans="1:52" x14ac:dyDescent="0.25">
      <c r="A10" s="1" t="str">
        <f ca="1">CONCATENATE(J10," - ",O10," - ",P10," - ",R10)</f>
        <v>2 - 20374730429 - BUSTOS PIASENTINI AGUSTIN - Honorarios Julio</v>
      </c>
      <c r="B10" s="23" t="s">
        <v>92</v>
      </c>
      <c r="C10" s="1" t="str">
        <f>IFERROR(VLOOKUP(AQ10,[1]Control!$D:$E,2,0),"")</f>
        <v/>
      </c>
      <c r="D10" s="2" t="s">
        <v>91</v>
      </c>
      <c r="E10" s="2" t="s">
        <v>90</v>
      </c>
      <c r="F10" s="8">
        <f t="shared" ca="1" si="3"/>
        <v>45149</v>
      </c>
      <c r="G10" s="9">
        <f t="shared" ca="1" si="4"/>
        <v>45108</v>
      </c>
      <c r="H10" s="9">
        <f t="shared" ca="1" si="5"/>
        <v>45138</v>
      </c>
      <c r="I10" s="9">
        <f t="shared" ca="1" si="6"/>
        <v>45163</v>
      </c>
      <c r="J10" s="2">
        <v>2</v>
      </c>
      <c r="K10" s="2" t="s">
        <v>33</v>
      </c>
      <c r="L10" s="2" t="s">
        <v>38</v>
      </c>
      <c r="M10" s="2" t="s">
        <v>54</v>
      </c>
      <c r="N10" s="2" t="s">
        <v>9</v>
      </c>
      <c r="O10" s="2">
        <v>20374730429</v>
      </c>
      <c r="P10" s="2" t="s">
        <v>55</v>
      </c>
      <c r="Q10" s="2"/>
      <c r="R10" s="1" t="str">
        <f t="shared" ca="1" si="13"/>
        <v>Honorarios Julio</v>
      </c>
      <c r="S10" s="2"/>
      <c r="T10" s="4">
        <v>1.0439320000000001</v>
      </c>
      <c r="U10" s="5">
        <v>19000</v>
      </c>
      <c r="V10" s="5">
        <f t="shared" si="7"/>
        <v>19834.708000000002</v>
      </c>
      <c r="W10" s="11" t="s">
        <v>37</v>
      </c>
      <c r="X10" s="11"/>
      <c r="Y10" s="11"/>
      <c r="Z10" s="11"/>
      <c r="AA10" s="12"/>
      <c r="AB10" s="2"/>
      <c r="AC10" s="2"/>
      <c r="AD10" s="1" t="str">
        <f t="shared" si="8"/>
        <v/>
      </c>
      <c r="AE10" s="1" t="str">
        <f t="shared" si="11"/>
        <v/>
      </c>
      <c r="AF10" s="14">
        <f>COUNTIFS(J9:J10,J10,K9:K10,K10,P9:P10,P10)+1</f>
        <v>2</v>
      </c>
      <c r="AG10" s="18" t="str">
        <f>SUBSTITUTE(IF(AT10="A",ROUND(V10/U10,6),ROUND(AM10/U10,6)),",",".")</f>
        <v>1.043932</v>
      </c>
      <c r="AH10" s="18" t="str">
        <f t="shared" si="9"/>
        <v>19000.00</v>
      </c>
      <c r="AI10" s="1" t="str">
        <f t="shared" si="1"/>
        <v>00000</v>
      </c>
      <c r="AJ10" s="1" t="str">
        <f t="shared" si="2"/>
        <v>00000000</v>
      </c>
      <c r="AK10" s="9">
        <f t="shared" si="10"/>
        <v>0</v>
      </c>
      <c r="AL10" s="13">
        <f>IF(AT10="A",ROUND(V10*W10,2),ROUND(V10*W10/(1+W10),2))</f>
        <v>4165.29</v>
      </c>
      <c r="AM10" s="13">
        <f>IF(AT10="A",ROUND(V10+AL10,2),ROUND(V10,2))</f>
        <v>24000</v>
      </c>
      <c r="AN10" s="10" t="str">
        <f>IF(RIGHT(K10,1)="A",SUBSTITUTE(TEXT(V10,"0,00"),",","."),SUBSTITUTE(TEXT(AM10,"0,00"),",","."))</f>
        <v>19834.71</v>
      </c>
      <c r="AO10" s="10" t="str">
        <f t="shared" si="12"/>
        <v>0.00</v>
      </c>
      <c r="AP10" s="1">
        <f>ROW(P10)</f>
        <v>10</v>
      </c>
      <c r="AQ10" s="15" t="str">
        <f>O10&amp;"-"&amp;AP10</f>
        <v>20374730429-10</v>
      </c>
      <c r="AR10" s="1">
        <f>COUNTIFS(J9:J10,J10,K9:K10,K10,P9:P10,P10)-1</f>
        <v>0</v>
      </c>
      <c r="AS10" s="1">
        <f ca="1">IF(F11="",0,COUNTIFS(J10:J11,J11,K10:K11,K11,P10:P11,P11)-1)</f>
        <v>0</v>
      </c>
      <c r="AT10" s="1" t="str">
        <f>RIGHT(K10)</f>
        <v>A</v>
      </c>
      <c r="AU10" s="1">
        <f>IF(LEFT(K10,4)="Nota",0,1)</f>
        <v>1</v>
      </c>
      <c r="AV10" s="13">
        <f>IF(RIGHT(K10,1)="A",ROUND(U10*T10*(1+W10),2),AM10)</f>
        <v>24000</v>
      </c>
      <c r="AW10" s="13">
        <f>ROUND((AV10/(1+W10)),2)</f>
        <v>19834.71</v>
      </c>
      <c r="AX10" s="20">
        <f>IF(AT10="A",ROUND(AW10/U10,6),AV10/U10)</f>
        <v>1.0439320000000001</v>
      </c>
      <c r="AY10" s="13">
        <f>IF(AT10="A",ROUND(CEILING(U10*T10*(1+W10),500),2),ROUND(CEILING(U10*T10,500),2))</f>
        <v>24000</v>
      </c>
      <c r="AZ10" s="20">
        <f>IF(AT10="A",ROUND(AW10/U10,6),AY10/U10)</f>
        <v>1.0439320000000001</v>
      </c>
    </row>
    <row r="11" spans="1:52" x14ac:dyDescent="0.25">
      <c r="A11" s="1" t="str">
        <f ca="1">CONCATENATE(J11," - ",O11," - ",P11," - ",R11)</f>
        <v>2 - 37473042 - BUSTOS PIASENTINI AGUSTIN - Honorarios Julio</v>
      </c>
      <c r="B11" s="23" t="s">
        <v>92</v>
      </c>
      <c r="C11" s="1" t="str">
        <f>IFERROR(VLOOKUP(AQ11,[1]Control!$D:$E,2,0),"")</f>
        <v/>
      </c>
      <c r="D11" s="2" t="s">
        <v>92</v>
      </c>
      <c r="E11" s="2"/>
      <c r="F11" s="8">
        <f t="shared" ca="1" si="3"/>
        <v>45149</v>
      </c>
      <c r="G11" s="9">
        <f t="shared" ca="1" si="4"/>
        <v>45108</v>
      </c>
      <c r="H11" s="9">
        <f t="shared" ca="1" si="5"/>
        <v>45138</v>
      </c>
      <c r="I11" s="9">
        <f t="shared" ca="1" si="6"/>
        <v>45163</v>
      </c>
      <c r="J11" s="2">
        <v>2</v>
      </c>
      <c r="K11" s="2" t="s">
        <v>57</v>
      </c>
      <c r="L11" s="2" t="s">
        <v>38</v>
      </c>
      <c r="M11" s="2" t="s">
        <v>60</v>
      </c>
      <c r="N11" s="2" t="s">
        <v>61</v>
      </c>
      <c r="O11" s="2">
        <v>37473042</v>
      </c>
      <c r="P11" s="2" t="s">
        <v>55</v>
      </c>
      <c r="Q11" s="2"/>
      <c r="R11" s="1" t="str">
        <f t="shared" ca="1" si="13"/>
        <v>Honorarios Julio</v>
      </c>
      <c r="S11" s="2"/>
      <c r="T11" s="4">
        <v>1.3</v>
      </c>
      <c r="U11" s="5">
        <v>10000</v>
      </c>
      <c r="V11" s="5">
        <f t="shared" si="7"/>
        <v>13000</v>
      </c>
      <c r="W11" s="11" t="s">
        <v>37</v>
      </c>
      <c r="X11" s="11"/>
      <c r="Y11" s="11"/>
      <c r="Z11" s="11"/>
      <c r="AA11" s="12"/>
      <c r="AB11" s="2"/>
      <c r="AC11" s="2"/>
      <c r="AD11" s="1" t="str">
        <f t="shared" si="8"/>
        <v/>
      </c>
      <c r="AE11" s="1" t="str">
        <f t="shared" si="11"/>
        <v/>
      </c>
      <c r="AF11" s="14">
        <f>COUNTIFS(J10:J11,J11,K10:K11,K11,P10:P11,P11)+1</f>
        <v>2</v>
      </c>
      <c r="AG11" s="18" t="str">
        <f>SUBSTITUTE(IF(AT11="A",ROUND(V11/U11,6),ROUND(AM11/U11,6)),",",".")</f>
        <v>1.3</v>
      </c>
      <c r="AH11" s="18" t="str">
        <f t="shared" si="9"/>
        <v>10000.00</v>
      </c>
      <c r="AI11" s="1" t="str">
        <f t="shared" si="1"/>
        <v>00000</v>
      </c>
      <c r="AJ11" s="1" t="str">
        <f t="shared" si="2"/>
        <v>00000000</v>
      </c>
      <c r="AK11" s="9">
        <f t="shared" si="10"/>
        <v>0</v>
      </c>
      <c r="AL11" s="13">
        <f>IF(AT11="A",ROUND(V11*W11,2),ROUND(V11*W11/(1+W11),2))</f>
        <v>2256.1999999999998</v>
      </c>
      <c r="AM11" s="13">
        <f>IF(AT11="A",ROUND(V11+AL11,2),ROUND(V11,2))</f>
        <v>13000</v>
      </c>
      <c r="AN11" s="10" t="str">
        <f>IF(RIGHT(K11,1)="A",SUBSTITUTE(TEXT(V11,"0,00"),",","."),SUBSTITUTE(TEXT(AM11,"0,00"),",","."))</f>
        <v>13000.00</v>
      </c>
      <c r="AO11" s="10" t="str">
        <f t="shared" si="12"/>
        <v>0.00</v>
      </c>
      <c r="AP11" s="1">
        <f>ROW(P11)</f>
        <v>11</v>
      </c>
      <c r="AQ11" s="15" t="str">
        <f>O11&amp;"-"&amp;AP11</f>
        <v>37473042-11</v>
      </c>
      <c r="AR11" s="1">
        <f>COUNTIFS(J10:J11,J11,K10:K11,K11,P10:P11,P11)-1</f>
        <v>0</v>
      </c>
      <c r="AS11" s="1">
        <f ca="1">IF(F12="",0,COUNTIFS(J11:J12,J12,K11:K12,K12,P11:P12,P12)-1)</f>
        <v>0</v>
      </c>
      <c r="AT11" s="1" t="str">
        <f>RIGHT(K11)</f>
        <v>B</v>
      </c>
      <c r="AU11" s="1">
        <f>IF(LEFT(K11,4)="Nota",0,1)</f>
        <v>1</v>
      </c>
      <c r="AV11" s="13">
        <f>IF(RIGHT(K11,1)="A",ROUND(U11*T11*(1+W11),2),AM11)</f>
        <v>13000</v>
      </c>
      <c r="AW11" s="13">
        <f>ROUND((AV11/(1+W11)),2)</f>
        <v>10743.8</v>
      </c>
      <c r="AX11" s="20">
        <f>IF(AT11="A",ROUND(AW11/U11,6),AV11/U11)</f>
        <v>1.3</v>
      </c>
      <c r="AY11" s="13">
        <f>IF(AT11="A",ROUND(CEILING(U11*T11*(1+W11),500),2),ROUND(CEILING(U11*T11,500),2))</f>
        <v>13000</v>
      </c>
      <c r="AZ11" s="20">
        <f>IF(AT11="A",ROUND(AW11/U11,6),AY11/U11)</f>
        <v>1.3</v>
      </c>
    </row>
    <row r="12" spans="1:52" x14ac:dyDescent="0.25">
      <c r="A12" s="1" t="str">
        <f ca="1">CONCATENATE(J12," - ",O12," - ",P12," - ",R12)</f>
        <v>2 - 30707354719 - CAMARA DE ELABORADORES DE TE ARGENTINO C. E. T.A. - Honorarios Julio</v>
      </c>
      <c r="B12" s="23" t="s">
        <v>92</v>
      </c>
      <c r="C12" s="1" t="str">
        <f>IFERROR(VLOOKUP(AQ12,[1]Control!$D:$E,2,0),"")</f>
        <v/>
      </c>
      <c r="D12" s="2" t="s">
        <v>92</v>
      </c>
      <c r="E12" s="2"/>
      <c r="F12" s="8">
        <f t="shared" ca="1" si="3"/>
        <v>45149</v>
      </c>
      <c r="G12" s="9">
        <f t="shared" ca="1" si="4"/>
        <v>45108</v>
      </c>
      <c r="H12" s="9">
        <f t="shared" ca="1" si="5"/>
        <v>45138</v>
      </c>
      <c r="I12" s="9">
        <f t="shared" ca="1" si="6"/>
        <v>45163</v>
      </c>
      <c r="J12" s="2">
        <v>2</v>
      </c>
      <c r="K12" s="2" t="s">
        <v>57</v>
      </c>
      <c r="L12" s="2" t="s">
        <v>38</v>
      </c>
      <c r="M12" s="2" t="s">
        <v>58</v>
      </c>
      <c r="N12" s="2" t="s">
        <v>9</v>
      </c>
      <c r="O12" s="2">
        <v>30707354719</v>
      </c>
      <c r="P12" s="2" t="s">
        <v>59</v>
      </c>
      <c r="Q12" s="2"/>
      <c r="R12" s="1" t="str">
        <f t="shared" ca="1" si="13"/>
        <v>Honorarios Julio</v>
      </c>
      <c r="S12" s="2"/>
      <c r="T12" s="4">
        <v>1.2105263157894737</v>
      </c>
      <c r="U12" s="5">
        <v>19000</v>
      </c>
      <c r="V12" s="5">
        <f t="shared" si="7"/>
        <v>23000</v>
      </c>
      <c r="W12" s="11" t="s">
        <v>37</v>
      </c>
      <c r="X12" s="11"/>
      <c r="Y12" s="11"/>
      <c r="Z12" s="11"/>
      <c r="AA12" s="12"/>
      <c r="AB12" s="2"/>
      <c r="AC12" s="2"/>
      <c r="AD12" s="1" t="str">
        <f t="shared" si="8"/>
        <v/>
      </c>
      <c r="AE12" s="1" t="str">
        <f t="shared" si="11"/>
        <v/>
      </c>
      <c r="AF12" s="14">
        <f>COUNTIFS(J11:J12,J12,K11:K12,K12,P11:P12,P12)+1</f>
        <v>2</v>
      </c>
      <c r="AG12" s="18" t="str">
        <f>SUBSTITUTE(IF(AT12="A",ROUND(V12/U12,6),ROUND(AM12/U12,6)),",",".")</f>
        <v>1.210526</v>
      </c>
      <c r="AH12" s="18" t="str">
        <f t="shared" si="9"/>
        <v>19000.00</v>
      </c>
      <c r="AI12" s="1" t="str">
        <f t="shared" si="1"/>
        <v>00000</v>
      </c>
      <c r="AJ12" s="1" t="str">
        <f t="shared" si="2"/>
        <v>00000000</v>
      </c>
      <c r="AK12" s="9">
        <f t="shared" si="10"/>
        <v>0</v>
      </c>
      <c r="AL12" s="13">
        <f>IF(AT12="A",ROUND(V12*W12,2),ROUND(V12*W12/(1+W12),2))</f>
        <v>3991.74</v>
      </c>
      <c r="AM12" s="13">
        <f>IF(AT12="A",ROUND(V12+AL12,2),ROUND(V12,2))</f>
        <v>23000</v>
      </c>
      <c r="AN12" s="10" t="str">
        <f>IF(RIGHT(K12,1)="A",SUBSTITUTE(TEXT(V12,"0,00"),",","."),SUBSTITUTE(TEXT(AM12,"0,00"),",","."))</f>
        <v>23000.00</v>
      </c>
      <c r="AO12" s="10" t="str">
        <f t="shared" si="12"/>
        <v>0.00</v>
      </c>
      <c r="AP12" s="1">
        <f>ROW(P12)</f>
        <v>12</v>
      </c>
      <c r="AQ12" s="15" t="str">
        <f>O12&amp;"-"&amp;AP12</f>
        <v>30707354719-12</v>
      </c>
      <c r="AR12" s="1">
        <f>COUNTIFS(J11:J12,J12,K11:K12,K12,P11:P12,P12)-1</f>
        <v>0</v>
      </c>
      <c r="AS12" s="1">
        <f ca="1">IF(F13="",0,COUNTIFS(J12:J13,J13,K12:K13,K13,P12:P13,P13)-1)</f>
        <v>0</v>
      </c>
      <c r="AT12" s="1" t="str">
        <f>RIGHT(K12)</f>
        <v>B</v>
      </c>
      <c r="AU12" s="1">
        <f>IF(LEFT(K12,4)="Nota",0,1)</f>
        <v>1</v>
      </c>
      <c r="AV12" s="13">
        <f>IF(RIGHT(K12,1)="A",ROUND(U12*T12*(1+W12),2),AM12)</f>
        <v>23000</v>
      </c>
      <c r="AW12" s="13">
        <f>ROUND((AV12/(1+W12)),2)</f>
        <v>19008.259999999998</v>
      </c>
      <c r="AX12" s="20">
        <f>IF(AT12="A",ROUND(AW12/U12,6),AV12/U12)</f>
        <v>1.2105263157894737</v>
      </c>
      <c r="AY12" s="13">
        <f>IF(AT12="A",ROUND(CEILING(U12*T12*(1+W12),500),2),ROUND(CEILING(U12*T12,500),2))</f>
        <v>23000</v>
      </c>
      <c r="AZ12" s="20">
        <f>IF(AT12="A",ROUND(AW12/U12,6),AY12/U12)</f>
        <v>1.2105263157894737</v>
      </c>
    </row>
    <row r="13" spans="1:52" x14ac:dyDescent="0.25">
      <c r="A13" s="1" t="str">
        <f ca="1">CONCATENATE(J13," - ",O13," - ",P13," - ",R13)</f>
        <v>1 -  - MARTIN BUSTOS - Honorarios Julio</v>
      </c>
      <c r="B13" s="23" t="s">
        <v>92</v>
      </c>
      <c r="C13" s="1" t="str">
        <f>IFERROR(VLOOKUP(AQ13,[1]Control!$D:$E,2,0),"")</f>
        <v/>
      </c>
      <c r="D13" s="2" t="s">
        <v>92</v>
      </c>
      <c r="E13" s="2"/>
      <c r="F13" s="8">
        <f t="shared" ca="1" si="3"/>
        <v>45149</v>
      </c>
      <c r="G13" s="9">
        <f t="shared" ca="1" si="4"/>
        <v>45108</v>
      </c>
      <c r="H13" s="9">
        <f t="shared" ca="1" si="5"/>
        <v>45138</v>
      </c>
      <c r="I13" s="9">
        <f t="shared" ca="1" si="6"/>
        <v>45163</v>
      </c>
      <c r="J13" s="2">
        <v>1</v>
      </c>
      <c r="K13" s="2" t="s">
        <v>68</v>
      </c>
      <c r="L13" s="2" t="s">
        <v>38</v>
      </c>
      <c r="M13" s="2" t="s">
        <v>60</v>
      </c>
      <c r="N13" s="2" t="s">
        <v>61</v>
      </c>
      <c r="O13" s="2"/>
      <c r="P13" s="2" t="s">
        <v>69</v>
      </c>
      <c r="Q13" s="2"/>
      <c r="R13" s="1" t="str">
        <f t="shared" ca="1" si="13"/>
        <v>Honorarios Julio</v>
      </c>
      <c r="S13" s="2"/>
      <c r="T13" s="4">
        <v>1.5</v>
      </c>
      <c r="U13" s="5">
        <v>19000</v>
      </c>
      <c r="V13" s="5">
        <f t="shared" si="7"/>
        <v>28500</v>
      </c>
      <c r="W13" s="11"/>
      <c r="X13" s="11"/>
      <c r="Y13" s="11"/>
      <c r="Z13" s="11"/>
      <c r="AA13" s="12"/>
      <c r="AB13" s="2"/>
      <c r="AC13" s="2"/>
      <c r="AD13" s="1" t="str">
        <f t="shared" si="8"/>
        <v/>
      </c>
      <c r="AE13" s="1" t="str">
        <f t="shared" si="11"/>
        <v/>
      </c>
      <c r="AF13" s="14">
        <f>COUNTIFS(J12:J13,J13,K12:K13,K13,P12:P13,P13)+1</f>
        <v>2</v>
      </c>
      <c r="AG13" s="18" t="str">
        <f>SUBSTITUTE(IF(AT13="A",ROUND(V13/U13,6),ROUND(AM13/U13,6)),",",".")</f>
        <v>1.5</v>
      </c>
      <c r="AH13" s="18" t="str">
        <f t="shared" si="9"/>
        <v>19000.00</v>
      </c>
      <c r="AI13" s="1" t="str">
        <f t="shared" si="1"/>
        <v>00000</v>
      </c>
      <c r="AJ13" s="1" t="str">
        <f t="shared" si="2"/>
        <v>00000000</v>
      </c>
      <c r="AK13" s="9">
        <f t="shared" si="10"/>
        <v>0</v>
      </c>
      <c r="AL13" s="13">
        <f>IF(AT13="A",ROUND(V13*W13,2),ROUND(V13*W13/(1+W13),2))</f>
        <v>0</v>
      </c>
      <c r="AM13" s="13">
        <f>IF(AT13="A",ROUND(V13+AL13,2),ROUND(V13,2))</f>
        <v>28500</v>
      </c>
      <c r="AN13" s="10" t="str">
        <f>IF(RIGHT(K13,1)="A",SUBSTITUTE(TEXT(V13,"0,00"),",","."),SUBSTITUTE(TEXT(AM13,"0,00"),",","."))</f>
        <v>28500.00</v>
      </c>
      <c r="AO13" s="10" t="str">
        <f t="shared" si="12"/>
        <v>0.00</v>
      </c>
      <c r="AP13" s="1">
        <f>ROW(P13)</f>
        <v>13</v>
      </c>
      <c r="AQ13" s="15" t="str">
        <f>O13&amp;"-"&amp;AP13</f>
        <v>-13</v>
      </c>
      <c r="AR13" s="1">
        <f>COUNTIFS(J12:J13,J13,K12:K13,K13,P12:P13,P13)-1</f>
        <v>0</v>
      </c>
      <c r="AS13" s="1">
        <f ca="1">IF(F14="",0,COUNTIFS(J13:J14,J14,K13:K14,K14,P13:P14,P14)-1)</f>
        <v>0</v>
      </c>
      <c r="AT13" s="1" t="str">
        <f>RIGHT(K13)</f>
        <v>C</v>
      </c>
      <c r="AU13" s="1">
        <f>IF(LEFT(K13,4)="Nota",0,1)</f>
        <v>1</v>
      </c>
      <c r="AV13" s="13">
        <f>IF(RIGHT(K13,1)="A",ROUND(U13*T13*(1+W13),2),AM13)</f>
        <v>28500</v>
      </c>
      <c r="AW13" s="13">
        <f>ROUND((AV13/(1+W13)),2)</f>
        <v>28500</v>
      </c>
      <c r="AX13" s="20">
        <f>IF(AT13="A",ROUND(AW13/U13,6),AV13/U13)</f>
        <v>1.5</v>
      </c>
      <c r="AY13" s="13">
        <f>IF(AT13="A",ROUND(CEILING(U13*T13*(1+W13),500),2),ROUND(CEILING(U13*T13,500),2))</f>
        <v>28500</v>
      </c>
      <c r="AZ13" s="20">
        <f>IF(AT13="A",ROUND(AW13/U13,6),AY13/U13)</f>
        <v>1.5</v>
      </c>
    </row>
    <row r="14" spans="1:52" x14ac:dyDescent="0.25">
      <c r="A14" s="1" t="str">
        <f>CONCATENATE(J14," - ",O14," - ",P14," - ",R14)</f>
        <v>2 - 30684125792 - SAMSUNG ELECTRONICS ARGENTINA S A - Ajuste Honorarios</v>
      </c>
      <c r="B14" s="23" t="s">
        <v>92</v>
      </c>
      <c r="C14" s="1" t="str">
        <f>IFERROR(VLOOKUP(AQ14,[1]Control!$D:$E,2,0),"")</f>
        <v/>
      </c>
      <c r="D14" s="2" t="s">
        <v>92</v>
      </c>
      <c r="E14" s="2"/>
      <c r="F14" s="8">
        <f t="shared" ca="1" si="3"/>
        <v>45149</v>
      </c>
      <c r="G14" s="9">
        <f t="shared" ca="1" si="4"/>
        <v>45108</v>
      </c>
      <c r="H14" s="9">
        <f t="shared" ca="1" si="5"/>
        <v>45138</v>
      </c>
      <c r="I14" s="9">
        <f t="shared" ca="1" si="6"/>
        <v>45163</v>
      </c>
      <c r="J14" s="2">
        <v>2</v>
      </c>
      <c r="K14" s="2" t="s">
        <v>42</v>
      </c>
      <c r="L14" s="2" t="s">
        <v>38</v>
      </c>
      <c r="M14" s="2" t="s">
        <v>35</v>
      </c>
      <c r="N14" s="2" t="s">
        <v>9</v>
      </c>
      <c r="O14" s="3">
        <v>30684125792</v>
      </c>
      <c r="P14" s="2" t="s">
        <v>43</v>
      </c>
      <c r="Q14" s="2"/>
      <c r="R14" s="6" t="s">
        <v>44</v>
      </c>
      <c r="S14" s="2"/>
      <c r="T14" s="4">
        <v>7.0247929999999998</v>
      </c>
      <c r="U14" s="5">
        <v>19000</v>
      </c>
      <c r="V14" s="5">
        <f t="shared" si="7"/>
        <v>133471.06700000001</v>
      </c>
      <c r="W14" s="11" t="s">
        <v>37</v>
      </c>
      <c r="X14" s="11" t="s">
        <v>33</v>
      </c>
      <c r="Y14" s="11" t="s">
        <v>45</v>
      </c>
      <c r="Z14" s="11" t="s">
        <v>46</v>
      </c>
      <c r="AA14" s="12">
        <v>44816</v>
      </c>
      <c r="AB14" s="2"/>
      <c r="AC14" s="2"/>
      <c r="AD14" s="1" t="str">
        <f t="shared" si="8"/>
        <v/>
      </c>
      <c r="AE14" s="1" t="str">
        <f t="shared" si="11"/>
        <v/>
      </c>
      <c r="AF14" s="14">
        <f>COUNTIFS(J13:J14,J14,K13:K14,K14,P13:P14,P14)+1</f>
        <v>2</v>
      </c>
      <c r="AG14" s="18" t="str">
        <f>SUBSTITUTE(IF(AT14="A",ROUND(V14/U14,6),ROUND(AM14/U14,6)),",",".")</f>
        <v>7.024793</v>
      </c>
      <c r="AH14" s="18" t="str">
        <f t="shared" si="9"/>
        <v>19000.00</v>
      </c>
      <c r="AI14" s="1" t="str">
        <f t="shared" si="1"/>
        <v>00002</v>
      </c>
      <c r="AJ14" s="1" t="str">
        <f t="shared" si="2"/>
        <v>00000150</v>
      </c>
      <c r="AK14" s="9">
        <f t="shared" si="10"/>
        <v>44816</v>
      </c>
      <c r="AL14" s="13">
        <f>IF(AT14="A",ROUND(V14*W14,2),ROUND(V14*W14/(1+W14),2))</f>
        <v>28028.92</v>
      </c>
      <c r="AM14" s="13">
        <f>IF(AT14="A",ROUND(V14+AL14,2),ROUND(V14,2))</f>
        <v>161499.99</v>
      </c>
      <c r="AN14" s="10" t="str">
        <f>IF(RIGHT(K14,1)="A",SUBSTITUTE(TEXT(V14,"0,00"),",","."),SUBSTITUTE(TEXT(AM14,"0,00"),",","."))</f>
        <v>133471.07</v>
      </c>
      <c r="AO14" s="10" t="str">
        <f t="shared" si="12"/>
        <v>0.01</v>
      </c>
      <c r="AP14" s="1">
        <f>ROW(P14)</f>
        <v>14</v>
      </c>
      <c r="AQ14" s="15" t="str">
        <f>O14&amp;"-"&amp;AP14</f>
        <v>30684125792-14</v>
      </c>
      <c r="AR14" s="1">
        <f>COUNTIFS(J13:J14,J14,K13:K14,K14,P13:P14,P14)-1</f>
        <v>0</v>
      </c>
      <c r="AS14" s="1">
        <f ca="1">IF(F15="",0,COUNTIFS(J14:J15,J15,K14:K15,K15,P14:P15,P15)-1)</f>
        <v>0</v>
      </c>
      <c r="AT14" s="1" t="str">
        <f>RIGHT(K14)</f>
        <v>A</v>
      </c>
      <c r="AU14" s="1">
        <f>IF(LEFT(K14,4)="Nota",0,1)</f>
        <v>0</v>
      </c>
      <c r="AV14" s="13">
        <f>IF(RIGHT(K14,1)="A",ROUND(U14*T14*(1+W14),2),AM14)</f>
        <v>161499.99</v>
      </c>
      <c r="AW14" s="13">
        <f>ROUND((AV14/(1+W14)),2)</f>
        <v>133471.07</v>
      </c>
      <c r="AX14" s="20">
        <f>IF(AT14="A",ROUND(AW14/U14,6),AV14/U14)</f>
        <v>7.0247929999999998</v>
      </c>
      <c r="AY14" s="13">
        <f>IF(AT14="A",ROUND(CEILING(U14*T14*(1+W14),500),2),ROUND(CEILING(U14*T14,500),2))</f>
        <v>161500</v>
      </c>
      <c r="AZ14" s="20">
        <f>IF(AT14="A",ROUND(AW14/U14,6),AY14/U14)</f>
        <v>7.0247929999999998</v>
      </c>
    </row>
    <row r="15" spans="1:52" x14ac:dyDescent="0.25">
      <c r="A15" s="1" t="str">
        <f>CONCATENATE(J15," - ",O15," - ",P15," - ",R15)</f>
        <v>2 - 30707354719 - CAMARA DE ELABORADORES DE TE ARGENTINO C. E. T.A. - Ajuste</v>
      </c>
      <c r="B15" s="23" t="s">
        <v>92</v>
      </c>
      <c r="C15" s="1" t="str">
        <f>IFERROR(VLOOKUP(AQ15,[1]Control!$D:$E,2,0),"")</f>
        <v/>
      </c>
      <c r="D15" s="2" t="s">
        <v>92</v>
      </c>
      <c r="E15" s="2"/>
      <c r="F15" s="8">
        <f t="shared" ca="1" si="3"/>
        <v>45149</v>
      </c>
      <c r="G15" s="9">
        <f t="shared" ca="1" si="4"/>
        <v>45108</v>
      </c>
      <c r="H15" s="9">
        <f t="shared" ca="1" si="5"/>
        <v>45138</v>
      </c>
      <c r="I15" s="9">
        <f t="shared" ca="1" si="6"/>
        <v>45163</v>
      </c>
      <c r="J15" s="2">
        <v>2</v>
      </c>
      <c r="K15" s="2" t="s">
        <v>62</v>
      </c>
      <c r="L15" s="2" t="s">
        <v>38</v>
      </c>
      <c r="M15" s="2" t="s">
        <v>58</v>
      </c>
      <c r="N15" s="2" t="s">
        <v>9</v>
      </c>
      <c r="O15" s="2">
        <v>30707354719</v>
      </c>
      <c r="P15" s="2" t="s">
        <v>59</v>
      </c>
      <c r="Q15" s="2"/>
      <c r="R15" s="6" t="s">
        <v>63</v>
      </c>
      <c r="S15" s="2"/>
      <c r="T15" s="4">
        <v>1.5</v>
      </c>
      <c r="U15" s="5">
        <v>19000</v>
      </c>
      <c r="V15" s="5">
        <f t="shared" si="7"/>
        <v>28500</v>
      </c>
      <c r="W15" s="11" t="s">
        <v>37</v>
      </c>
      <c r="X15" s="11" t="s">
        <v>57</v>
      </c>
      <c r="Y15" s="11" t="s">
        <v>45</v>
      </c>
      <c r="Z15" s="11" t="s">
        <v>64</v>
      </c>
      <c r="AA15" s="12">
        <v>44816</v>
      </c>
      <c r="AB15" s="2"/>
      <c r="AC15" s="2"/>
      <c r="AD15" s="1" t="str">
        <f t="shared" si="8"/>
        <v/>
      </c>
      <c r="AE15" s="1" t="str">
        <f t="shared" si="11"/>
        <v/>
      </c>
      <c r="AF15" s="14">
        <f>COUNTIFS(J14:J15,J15,K14:K15,K15,P14:P15,P15)+1</f>
        <v>2</v>
      </c>
      <c r="AG15" s="18" t="str">
        <f>SUBSTITUTE(IF(AT15="A",ROUND(V15/U15,6),ROUND(AM15/U15,6)),",",".")</f>
        <v>1.5</v>
      </c>
      <c r="AH15" s="18" t="str">
        <f t="shared" si="9"/>
        <v>19000.00</v>
      </c>
      <c r="AI15" s="1" t="str">
        <f t="shared" si="1"/>
        <v>00002</v>
      </c>
      <c r="AJ15" s="1" t="str">
        <f t="shared" si="2"/>
        <v>00000152</v>
      </c>
      <c r="AK15" s="9">
        <f t="shared" si="10"/>
        <v>44816</v>
      </c>
      <c r="AL15" s="13">
        <f>IF(AT15="A",ROUND(V15*W15,2),ROUND(V15*W15/(1+W15),2))</f>
        <v>4946.28</v>
      </c>
      <c r="AM15" s="13">
        <f>IF(AT15="A",ROUND(V15+AL15,2),ROUND(V15,2))</f>
        <v>28500</v>
      </c>
      <c r="AN15" s="10" t="str">
        <f>IF(RIGHT(K15,1)="A",SUBSTITUTE(TEXT(V15,"0,00"),",","."),SUBSTITUTE(TEXT(AM15,"0,00"),",","."))</f>
        <v>28500.00</v>
      </c>
      <c r="AO15" s="10" t="str">
        <f t="shared" si="12"/>
        <v>0.00</v>
      </c>
      <c r="AP15" s="1">
        <f>ROW(P15)</f>
        <v>15</v>
      </c>
      <c r="AQ15" s="15" t="str">
        <f>O15&amp;"-"&amp;AP15</f>
        <v>30707354719-15</v>
      </c>
      <c r="AR15" s="1">
        <f>COUNTIFS(J14:J15,J15,K14:K15,K15,P14:P15,P15)-1</f>
        <v>0</v>
      </c>
      <c r="AS15" s="1">
        <f ca="1">IF(F16="",0,COUNTIFS(J15:J16,J16,K15:K16,K16,P15:P16,P16)-1)</f>
        <v>0</v>
      </c>
      <c r="AT15" s="1" t="str">
        <f>RIGHT(K15)</f>
        <v>B</v>
      </c>
      <c r="AU15" s="1">
        <f>IF(LEFT(K15,4)="Nota",0,1)</f>
        <v>0</v>
      </c>
      <c r="AV15" s="13">
        <f>IF(RIGHT(K15,1)="A",ROUND(U15*T15*(1+W15),2),AM15)</f>
        <v>28500</v>
      </c>
      <c r="AW15" s="13">
        <f>ROUND((AV15/(1+W15)),2)</f>
        <v>23553.72</v>
      </c>
      <c r="AX15" s="20">
        <f>IF(AT15="A",ROUND(AW15/U15,6),AV15/U15)</f>
        <v>1.5</v>
      </c>
      <c r="AY15" s="13">
        <f>IF(AT15="A",ROUND(CEILING(U15*T15*(1+W15),500),2),ROUND(CEILING(U15*T15,500),2))</f>
        <v>28500</v>
      </c>
      <c r="AZ15" s="20">
        <f>IF(AT15="A",ROUND(AW15/U15,6),AY15/U15)</f>
        <v>1.5</v>
      </c>
    </row>
    <row r="16" spans="1:52" x14ac:dyDescent="0.25">
      <c r="A16" s="1" t="str">
        <f>CONCATENATE(J16," - ",O16," - ",P16," - ",R16)</f>
        <v>2 - 30684125792 - SAMSUNG ELECTRONICS ARGENTINA S A - Ajuste Honorarios</v>
      </c>
      <c r="B16" s="23" t="s">
        <v>92</v>
      </c>
      <c r="C16" s="1" t="str">
        <f>IFERROR(VLOOKUP(AQ16,[1]Control!$D:$E,2,0),"")</f>
        <v/>
      </c>
      <c r="D16" s="2" t="s">
        <v>92</v>
      </c>
      <c r="E16" s="2"/>
      <c r="F16" s="8">
        <f t="shared" ca="1" si="3"/>
        <v>45149</v>
      </c>
      <c r="G16" s="9">
        <f t="shared" ca="1" si="4"/>
        <v>45108</v>
      </c>
      <c r="H16" s="9">
        <f t="shared" ca="1" si="5"/>
        <v>45138</v>
      </c>
      <c r="I16" s="9">
        <f t="shared" ca="1" si="6"/>
        <v>45163</v>
      </c>
      <c r="J16" s="2">
        <v>2</v>
      </c>
      <c r="K16" s="2" t="s">
        <v>47</v>
      </c>
      <c r="L16" s="2" t="s">
        <v>38</v>
      </c>
      <c r="M16" s="2" t="s">
        <v>35</v>
      </c>
      <c r="N16" s="2" t="s">
        <v>9</v>
      </c>
      <c r="O16" s="3">
        <v>30684125792</v>
      </c>
      <c r="P16" s="2" t="s">
        <v>43</v>
      </c>
      <c r="Q16" s="2"/>
      <c r="R16" s="6" t="s">
        <v>44</v>
      </c>
      <c r="S16" s="2"/>
      <c r="T16" s="4">
        <v>7.003044</v>
      </c>
      <c r="U16" s="5">
        <v>19000</v>
      </c>
      <c r="V16" s="5">
        <f t="shared" si="7"/>
        <v>133057.83600000001</v>
      </c>
      <c r="W16" s="11" t="s">
        <v>37</v>
      </c>
      <c r="X16" s="11" t="s">
        <v>47</v>
      </c>
      <c r="Y16" s="11" t="s">
        <v>45</v>
      </c>
      <c r="Z16" s="11" t="s">
        <v>48</v>
      </c>
      <c r="AA16" s="12">
        <v>44816</v>
      </c>
      <c r="AB16" s="2"/>
      <c r="AC16" s="2"/>
      <c r="AD16" s="1" t="str">
        <f t="shared" si="8"/>
        <v/>
      </c>
      <c r="AE16" s="1" t="str">
        <f t="shared" si="11"/>
        <v/>
      </c>
      <c r="AF16" s="14">
        <f>COUNTIFS(J15:J16,J16,K15:K16,K16,P15:P16,P16)+1</f>
        <v>2</v>
      </c>
      <c r="AG16" s="18" t="str">
        <f>SUBSTITUTE(IF(AT16="A",ROUND(V16/U16,6),ROUND(AM16/U16,6)),",",".")</f>
        <v>7.003044</v>
      </c>
      <c r="AH16" s="18" t="str">
        <f t="shared" si="9"/>
        <v>19000.00</v>
      </c>
      <c r="AI16" s="1" t="str">
        <f t="shared" si="1"/>
        <v>00002</v>
      </c>
      <c r="AJ16" s="1" t="str">
        <f t="shared" si="2"/>
        <v>00000151</v>
      </c>
      <c r="AK16" s="9">
        <f t="shared" si="10"/>
        <v>44816</v>
      </c>
      <c r="AL16" s="13">
        <f>IF(AT16="A",ROUND(V16*W16,2),ROUND(V16*W16/(1+W16),2))</f>
        <v>27942.15</v>
      </c>
      <c r="AM16" s="13">
        <f>IF(AT16="A",ROUND(V16+AL16,2),ROUND(V16,2))</f>
        <v>160999.99</v>
      </c>
      <c r="AN16" s="10" t="str">
        <f>IF(RIGHT(K16,1)="A",SUBSTITUTE(TEXT(V16,"0,00"),",","."),SUBSTITUTE(TEXT(AM16,"0,00"),",","."))</f>
        <v>133057.84</v>
      </c>
      <c r="AO16" s="10" t="str">
        <f t="shared" si="12"/>
        <v>0.01</v>
      </c>
      <c r="AP16" s="1">
        <f>ROW(P16)</f>
        <v>16</v>
      </c>
      <c r="AQ16" s="15" t="str">
        <f>O16&amp;"-"&amp;AP16</f>
        <v>30684125792-16</v>
      </c>
      <c r="AR16" s="1">
        <f>COUNTIFS(J15:J16,J16,K15:K16,K16,P15:P16,P16)-1</f>
        <v>0</v>
      </c>
      <c r="AS16" s="1">
        <f ca="1">IF(F17="",0,COUNTIFS(J16:J17,J17,K16:K17,K17,P16:P17,P17)-1)</f>
        <v>0</v>
      </c>
      <c r="AT16" s="1" t="str">
        <f>RIGHT(K16)</f>
        <v>A</v>
      </c>
      <c r="AU16" s="1">
        <f>IF(LEFT(K16,4)="Nota",0,1)</f>
        <v>0</v>
      </c>
      <c r="AV16" s="13">
        <f>IF(RIGHT(K16,1)="A",ROUND(U16*T16*(1+W16),2),AM16)</f>
        <v>160999.98000000001</v>
      </c>
      <c r="AW16" s="13">
        <f>ROUND((AV16/(1+W16)),2)</f>
        <v>133057.82999999999</v>
      </c>
      <c r="AX16" s="20">
        <f>IF(AT16="A",ROUND(AW16/U16,6),AV16/U16)</f>
        <v>7.003044</v>
      </c>
      <c r="AY16" s="13">
        <f>IF(AT16="A",ROUND(CEILING(U16*T16*(1+W16),500),2),ROUND(CEILING(U16*T16,500),2))</f>
        <v>161000</v>
      </c>
      <c r="AZ16" s="20">
        <f>IF(AT16="A",ROUND(AW16/U16,6),AY16/U16)</f>
        <v>7.003044</v>
      </c>
    </row>
    <row r="17" spans="1:52" x14ac:dyDescent="0.25">
      <c r="A17" s="1" t="str">
        <f>CONCATENATE(J17," - ",O17," - ",P17," - ",R17)</f>
        <v>2 - 37473042 - BUSTOS PIASENTINI AGUSTIN - Ajuste</v>
      </c>
      <c r="B17" s="23" t="s">
        <v>92</v>
      </c>
      <c r="C17" s="1" t="str">
        <f>IFERROR(VLOOKUP(AQ17,[1]Control!$D:$E,2,0),"")</f>
        <v/>
      </c>
      <c r="D17" s="2" t="s">
        <v>92</v>
      </c>
      <c r="E17" s="2"/>
      <c r="F17" s="8">
        <f t="shared" ca="1" si="3"/>
        <v>45149</v>
      </c>
      <c r="G17" s="9">
        <f t="shared" ca="1" si="4"/>
        <v>45108</v>
      </c>
      <c r="H17" s="9">
        <f t="shared" ca="1" si="5"/>
        <v>45138</v>
      </c>
      <c r="I17" s="9">
        <f t="shared" ca="1" si="6"/>
        <v>45163</v>
      </c>
      <c r="J17" s="2">
        <v>2</v>
      </c>
      <c r="K17" s="2" t="s">
        <v>65</v>
      </c>
      <c r="L17" s="2" t="s">
        <v>38</v>
      </c>
      <c r="M17" s="2" t="s">
        <v>60</v>
      </c>
      <c r="N17" s="2" t="s">
        <v>61</v>
      </c>
      <c r="O17" s="2">
        <v>37473042</v>
      </c>
      <c r="P17" s="2" t="s">
        <v>55</v>
      </c>
      <c r="Q17" s="2"/>
      <c r="R17" s="6" t="s">
        <v>63</v>
      </c>
      <c r="S17" s="2"/>
      <c r="T17" s="4">
        <v>1.5</v>
      </c>
      <c r="U17" s="5">
        <v>19000</v>
      </c>
      <c r="V17" s="5">
        <f t="shared" si="7"/>
        <v>28500</v>
      </c>
      <c r="W17" s="11" t="s">
        <v>37</v>
      </c>
      <c r="X17" s="11" t="s">
        <v>66</v>
      </c>
      <c r="Y17" s="11" t="s">
        <v>45</v>
      </c>
      <c r="Z17" s="11" t="s">
        <v>67</v>
      </c>
      <c r="AA17" s="12">
        <v>44816</v>
      </c>
      <c r="AB17" s="2"/>
      <c r="AC17" s="2"/>
      <c r="AD17" s="1" t="str">
        <f t="shared" si="8"/>
        <v/>
      </c>
      <c r="AE17" s="1" t="str">
        <f t="shared" si="11"/>
        <v/>
      </c>
      <c r="AF17" s="14">
        <f>COUNTIFS(J16:J17,J17,K16:K17,K17,P16:P17,P17)+1</f>
        <v>2</v>
      </c>
      <c r="AG17" s="18" t="str">
        <f>SUBSTITUTE(IF(AT17="A",ROUND(V17/U17,6),ROUND(AM17/U17,6)),",",".")</f>
        <v>1.5</v>
      </c>
      <c r="AH17" s="18" t="str">
        <f t="shared" si="9"/>
        <v>19000.00</v>
      </c>
      <c r="AI17" s="1" t="str">
        <f t="shared" si="1"/>
        <v>00002</v>
      </c>
      <c r="AJ17" s="1" t="str">
        <f t="shared" si="2"/>
        <v>00000153</v>
      </c>
      <c r="AK17" s="9">
        <f t="shared" si="10"/>
        <v>44816</v>
      </c>
      <c r="AL17" s="13">
        <f>IF(AT17="A",ROUND(V17*W17,2),ROUND(V17*W17/(1+W17),2))</f>
        <v>4946.28</v>
      </c>
      <c r="AM17" s="13">
        <f>IF(AT17="A",ROUND(V17+AL17,2),ROUND(V17,2))</f>
        <v>28500</v>
      </c>
      <c r="AN17" s="10" t="str">
        <f>IF(RIGHT(K17,1)="A",SUBSTITUTE(TEXT(V17,"0,00"),",","."),SUBSTITUTE(TEXT(AM17,"0,00"),",","."))</f>
        <v>28500.00</v>
      </c>
      <c r="AO17" s="10" t="str">
        <f t="shared" si="12"/>
        <v>0.00</v>
      </c>
      <c r="AP17" s="1">
        <f>ROW(P17)</f>
        <v>17</v>
      </c>
      <c r="AQ17" s="15" t="str">
        <f>O17&amp;"-"&amp;AP17</f>
        <v>37473042-17</v>
      </c>
      <c r="AR17" s="1">
        <f>COUNTIFS(J16:J17,J17,K16:K17,K17,P16:P17,P17)-1</f>
        <v>0</v>
      </c>
      <c r="AS17" s="1">
        <f>IF(F18="",0,COUNTIFS(J17:J18,J18,K17:K18,K18,P17:P18,P18)-1)</f>
        <v>0</v>
      </c>
      <c r="AT17" s="1" t="str">
        <f>RIGHT(K17)</f>
        <v>B</v>
      </c>
      <c r="AU17" s="1">
        <f>IF(LEFT(K17,4)="Nota",0,1)</f>
        <v>0</v>
      </c>
      <c r="AV17" s="13">
        <f>IF(RIGHT(K17,1)="A",ROUND(U17*T17*(1+W17),2),AM17)</f>
        <v>28500</v>
      </c>
      <c r="AW17" s="13">
        <f>ROUND((AV17/(1+W17)),2)</f>
        <v>23553.72</v>
      </c>
      <c r="AX17" s="20">
        <f>IF(AT17="A",ROUND(AW17/U17,6),AV17/U17)</f>
        <v>1.5</v>
      </c>
      <c r="AY17" s="13">
        <f>IF(AT17="A",ROUND(CEILING(U17*T17*(1+W17),500),2),ROUND(CEILING(U17*T17,500),2))</f>
        <v>28500</v>
      </c>
      <c r="AZ17" s="20">
        <f>IF(AT17="A",ROUND(AW17/U17,6),AY17/U17)</f>
        <v>1.5</v>
      </c>
    </row>
  </sheetData>
  <autoFilter ref="A1:AZ17" xr:uid="{00000000-0001-0000-0000-000000000000}"/>
  <sortState xmlns:xlrd2="http://schemas.microsoft.com/office/spreadsheetml/2017/richdata2" ref="F2:AX17">
    <sortCondition ref="K2:K17"/>
    <sortCondition ref="M2:M17"/>
    <sortCondition ref="O2:O17"/>
  </sortState>
  <dataValidations count="1">
    <dataValidation type="list" allowBlank="1" showInputMessage="1" showErrorMessage="1" sqref="D2:D17 B2:B17" xr:uid="{BFC33D16-50A8-46DB-B879-EC5A925DAA79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Agustín Bustos</cp:lastModifiedBy>
  <cp:lastPrinted>2022-01-05T14:01:13Z</cp:lastPrinted>
  <dcterms:created xsi:type="dcterms:W3CDTF">2021-06-30T14:32:34Z</dcterms:created>
  <dcterms:modified xsi:type="dcterms:W3CDTF">2023-08-11T18:08:10Z</dcterms:modified>
</cp:coreProperties>
</file>