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45" activeTab="1"/>
  </bookViews>
  <sheets>
    <sheet name="Exsum" sheetId="3" r:id="rId1"/>
    <sheet name="Data Summary" sheetId="2" r:id="rId2"/>
    <sheet name="Raw_data" sheetId="1" r:id="rId3"/>
  </sheets>
  <calcPr calcId="144525"/>
</workbook>
</file>

<file path=xl/sharedStrings.xml><?xml version="1.0" encoding="utf-8"?>
<sst xmlns="http://schemas.openxmlformats.org/spreadsheetml/2006/main" count="38" uniqueCount="27">
  <si>
    <t>Input</t>
  </si>
  <si>
    <t>Measurements</t>
  </si>
  <si>
    <t>Tuning</t>
  </si>
  <si>
    <t>Results</t>
  </si>
  <si>
    <t>Erat</t>
  </si>
  <si>
    <t xml:space="preserve">Vti </t>
  </si>
  <si>
    <t>RR</t>
  </si>
  <si>
    <t>IE</t>
  </si>
  <si>
    <t>Tidal Volume</t>
  </si>
  <si>
    <t>dTi*2</t>
  </si>
  <si>
    <t>Step</t>
  </si>
  <si>
    <t>Rpm (est)</t>
  </si>
  <si>
    <t>Pulse Per Second (est)</t>
  </si>
  <si>
    <t>Settings</t>
  </si>
  <si>
    <t>Calculation</t>
  </si>
  <si>
    <t>Time Breath</t>
  </si>
  <si>
    <t>Time Inhale</t>
  </si>
  <si>
    <t>Time Exhale</t>
  </si>
  <si>
    <t>Delta Ti</t>
  </si>
  <si>
    <t>Delta Volume</t>
  </si>
  <si>
    <t>PPS (est)</t>
  </si>
  <si>
    <t>Pulse Period (us)</t>
  </si>
  <si>
    <t>Pulse per Rev</t>
  </si>
  <si>
    <t>Distance per rev shaft</t>
  </si>
  <si>
    <t>mm</t>
  </si>
  <si>
    <t>Gear Ratio</t>
  </si>
  <si>
    <t>Distance per rev motor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</si>
</sst>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6" fillId="13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34" borderId="32" applyNumberFormat="0" applyFont="0" applyAlignment="0" applyProtection="0">
      <alignment vertical="center"/>
    </xf>
    <xf numFmtId="0" fontId="22" fillId="36" borderId="2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3" borderId="26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9" borderId="30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9" xfId="0" applyFill="1" applyBorder="1">
      <alignment vertical="center"/>
    </xf>
    <xf numFmtId="0" fontId="2" fillId="0" borderId="9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3" fillId="5" borderId="9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9" xfId="0" applyNumberFormat="1" applyFill="1" applyBorder="1" applyAlignment="1">
      <alignment vertical="center"/>
    </xf>
    <xf numFmtId="176" fontId="0" fillId="3" borderId="9" xfId="0" applyNumberFormat="1" applyFill="1" applyBorder="1" applyAlignment="1">
      <alignment vertical="center"/>
    </xf>
    <xf numFmtId="176" fontId="0" fillId="4" borderId="9" xfId="0" applyNumberFormat="1" applyFill="1" applyBorder="1" applyAlignment="1">
      <alignment vertical="center"/>
    </xf>
    <xf numFmtId="176" fontId="0" fillId="5" borderId="9" xfId="0" applyNumberFormat="1" applyFill="1" applyBorder="1">
      <alignment vertical="center"/>
    </xf>
    <xf numFmtId="176" fontId="2" fillId="0" borderId="9" xfId="0" applyNumberFormat="1" applyFont="1" applyFill="1" applyBorder="1" applyAlignment="1">
      <alignment vertical="center"/>
    </xf>
    <xf numFmtId="176" fontId="0" fillId="5" borderId="9" xfId="0" applyNumberFormat="1" applyFill="1" applyBorder="1" applyAlignment="1">
      <alignment vertical="center"/>
    </xf>
    <xf numFmtId="176" fontId="3" fillId="5" borderId="9" xfId="0" applyNumberFormat="1" applyFont="1" applyFill="1" applyBorder="1" applyAlignment="1">
      <alignment vertical="center"/>
    </xf>
    <xf numFmtId="176" fontId="2" fillId="4" borderId="9" xfId="0" applyNumberFormat="1" applyFont="1" applyFill="1" applyBorder="1" applyAlignment="1">
      <alignment vertical="center"/>
    </xf>
    <xf numFmtId="176" fontId="3" fillId="4" borderId="9" xfId="0" applyNumberFormat="1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43" fontId="0" fillId="0" borderId="9" xfId="44" applyBorder="1" applyAlignment="1">
      <alignment horizontal="center" vertical="center"/>
    </xf>
    <xf numFmtId="43" fontId="0" fillId="3" borderId="9" xfId="44" applyFill="1" applyBorder="1" applyAlignment="1">
      <alignment horizontal="center" vertical="center"/>
    </xf>
    <xf numFmtId="43" fontId="0" fillId="4" borderId="9" xfId="44" applyFill="1" applyBorder="1" applyAlignment="1">
      <alignment horizontal="center" vertical="center"/>
    </xf>
    <xf numFmtId="43" fontId="0" fillId="5" borderId="9" xfId="44" applyFill="1" applyBorder="1" applyAlignment="1">
      <alignment horizontal="center" vertical="center"/>
    </xf>
    <xf numFmtId="43" fontId="0" fillId="6" borderId="9" xfId="44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RPM vs RR, V300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Summary'!$H$3:$H$7</c:f>
              <c:numCache>
                <c:formatCode>_-* #,##0.00_-;\-* #,##0.00_-;_-* "-"??_-;_-@_-</c:formatCode>
                <c:ptCount val="5"/>
                <c:pt idx="0">
                  <c:v>108.695652173913</c:v>
                </c:pt>
                <c:pt idx="1">
                  <c:v>124.584717607973</c:v>
                </c:pt>
                <c:pt idx="2">
                  <c:v>140.449438202247</c:v>
                </c:pt>
                <c:pt idx="3">
                  <c:v>155.601659751037</c:v>
                </c:pt>
                <c:pt idx="4">
                  <c:v>193.298969072165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Summary'!$H$8:$H$12</c:f>
              <c:numCache>
                <c:formatCode>_-* #,##0.00_-;\-* #,##0.00_-;_-* "-"??_-;_-@_-</c:formatCode>
                <c:ptCount val="5"/>
                <c:pt idx="0">
                  <c:v>148.809523809524</c:v>
                </c:pt>
                <c:pt idx="1">
                  <c:v>172.811059907834</c:v>
                </c:pt>
                <c:pt idx="2">
                  <c:v>202.702702702703</c:v>
                </c:pt>
                <c:pt idx="3">
                  <c:v>231.481481481481</c:v>
                </c:pt>
                <c:pt idx="4">
                  <c:v>307.377049180328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Summary'!$H$13:$H$17</c:f>
              <c:numCache>
                <c:formatCode>_-* #,##0.00_-;\-* #,##0.00_-;_-* "-"??_-;_-@_-</c:formatCode>
                <c:ptCount val="5"/>
                <c:pt idx="0">
                  <c:v>195.3125</c:v>
                </c:pt>
                <c:pt idx="1">
                  <c:v>238.853503184713</c:v>
                </c:pt>
                <c:pt idx="2">
                  <c:v>277.777777777778</c:v>
                </c:pt>
                <c:pt idx="3">
                  <c:v>328.947368421053</c:v>
                </c:pt>
                <c:pt idx="4">
                  <c:v>451.807228915663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Step </a:t>
            </a:r>
            <a:r>
              <a:rPr lang="en-US" altLang="en-US"/>
              <a:t>vs RR, V300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Summary'!$G$3:$G$7</c:f>
              <c:numCache>
                <c:formatCode>General</c:formatCode>
                <c:ptCount val="5"/>
                <c:pt idx="0">
                  <c:v>4500</c:v>
                </c:pt>
                <c:pt idx="1">
                  <c:v>4300</c:v>
                </c:pt>
                <c:pt idx="2">
                  <c:v>4150</c:v>
                </c:pt>
                <c:pt idx="3">
                  <c:v>4000</c:v>
                </c:pt>
                <c:pt idx="4">
                  <c:v>3900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Summary'!$G$8:$G$12</c:f>
              <c:numCache>
                <c:formatCode>General</c:formatCode>
                <c:ptCount val="5"/>
                <c:pt idx="0">
                  <c:v>4050</c:v>
                </c:pt>
                <c:pt idx="1">
                  <c:v>3900</c:v>
                </c:pt>
                <c:pt idx="2">
                  <c:v>3870</c:v>
                </c:pt>
                <c:pt idx="3">
                  <c:v>3820</c:v>
                </c:pt>
                <c:pt idx="4">
                  <c:v>3890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Summary'!$G$13:$G$17</c:f>
              <c:numCache>
                <c:formatCode>General</c:formatCode>
                <c:ptCount val="5"/>
                <c:pt idx="0">
                  <c:v>3850</c:v>
                </c:pt>
                <c:pt idx="1">
                  <c:v>3850</c:v>
                </c:pt>
                <c:pt idx="2">
                  <c:v>3860</c:v>
                </c:pt>
                <c:pt idx="3">
                  <c:v>3900</c:v>
                </c:pt>
                <c:pt idx="4">
                  <c:v>4100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Step</a:t>
                </a:r>
                <a:endParaRPr lang="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RPM vs RR, V</a:t>
            </a:r>
            <a:r>
              <a:rPr lang="" altLang="en-US"/>
              <a:t>4</a:t>
            </a:r>
            <a:r>
              <a:rPr lang="en-US" altLang="en-US"/>
              <a:t>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Summary'!$H$18:$H$22</c:f>
              <c:numCache>
                <c:formatCode>_-* #,##0.00_-;\-* #,##0.00_-;_-* "-"??_-;_-@_-</c:formatCode>
                <c:ptCount val="5"/>
                <c:pt idx="0">
                  <c:v>122.14983713355</c:v>
                </c:pt>
                <c:pt idx="1">
                  <c:v>140.977443609023</c:v>
                </c:pt>
                <c:pt idx="2">
                  <c:v>161.637931034483</c:v>
                </c:pt>
                <c:pt idx="3">
                  <c:v>182.038834951456</c:v>
                </c:pt>
                <c:pt idx="4">
                  <c:v>232.919254658385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Summary'!$H$23:$H$27</c:f>
              <c:numCache>
                <c:formatCode>_-* #,##0.00_-;\-* #,##0.00_-;_-* "-"??_-;_-@_-</c:formatCode>
                <c:ptCount val="5"/>
                <c:pt idx="0">
                  <c:v>172.018348623853</c:v>
                </c:pt>
                <c:pt idx="1">
                  <c:v>208.333333333333</c:v>
                </c:pt>
                <c:pt idx="2">
                  <c:v>245.098039215686</c:v>
                </c:pt>
                <c:pt idx="3">
                  <c:v>288.461538461538</c:v>
                </c:pt>
                <c:pt idx="4">
                  <c:v>382.65306122449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Summary'!$H$28:$H$32</c:f>
              <c:numCache>
                <c:formatCode>_-* #,##0.00_-;\-* #,##0.00_-;_-* "-"??_-;_-@_-</c:formatCode>
                <c:ptCount val="5"/>
                <c:pt idx="0">
                  <c:v>235.849056603774</c:v>
                </c:pt>
                <c:pt idx="1">
                  <c:v>288.461538461538</c:v>
                </c:pt>
                <c:pt idx="2">
                  <c:v>350.467289719626</c:v>
                </c:pt>
                <c:pt idx="3">
                  <c:v>416.666666666667</c:v>
                </c:pt>
                <c:pt idx="4">
                  <c:v>585.9375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Step vs RR, V</a:t>
            </a:r>
            <a:r>
              <a:rPr lang="" altLang="en-US"/>
              <a:t>4</a:t>
            </a:r>
            <a:r>
              <a:rPr lang="en-US" altLang="en-US"/>
              <a:t>00</a:t>
            </a:r>
            <a:endParaRPr lang="en-US" altLang="en-US"/>
          </a:p>
        </c:rich>
      </c:tx>
      <c:layout>
        <c:manualLayout>
          <c:xMode val="edge"/>
          <c:yMode val="edge"/>
          <c:x val="0.32194444444444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Summary'!$G$18:$G$22</c:f>
              <c:numCache>
                <c:formatCode>General</c:formatCode>
                <c:ptCount val="5"/>
                <c:pt idx="0">
                  <c:v>5000</c:v>
                </c:pt>
                <c:pt idx="1">
                  <c:v>4800</c:v>
                </c:pt>
                <c:pt idx="2">
                  <c:v>4700</c:v>
                </c:pt>
                <c:pt idx="3">
                  <c:v>4600</c:v>
                </c:pt>
                <c:pt idx="4">
                  <c:v>4600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Summary'!$G$23:$G$27</c:f>
              <c:numCache>
                <c:formatCode>General</c:formatCode>
                <c:ptCount val="5"/>
                <c:pt idx="0">
                  <c:v>4600</c:v>
                </c:pt>
                <c:pt idx="1">
                  <c:v>4600</c:v>
                </c:pt>
                <c:pt idx="2">
                  <c:v>4600</c:v>
                </c:pt>
                <c:pt idx="3">
                  <c:v>4650</c:v>
                </c:pt>
                <c:pt idx="4">
                  <c:v>4800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Summary'!$G$28:$G$32</c:f>
              <c:numCache>
                <c:formatCode>General</c:formatCode>
                <c:ptCount val="5"/>
                <c:pt idx="0">
                  <c:v>4600</c:v>
                </c:pt>
                <c:pt idx="1">
                  <c:v>4650</c:v>
                </c:pt>
                <c:pt idx="2">
                  <c:v>4750</c:v>
                </c:pt>
                <c:pt idx="3">
                  <c:v>4850</c:v>
                </c:pt>
                <c:pt idx="4">
                  <c:v>5200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Step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RPM vs RR, V</a:t>
            </a:r>
            <a:r>
              <a:rPr lang="" altLang="en-US"/>
              <a:t>5</a:t>
            </a:r>
            <a:r>
              <a:rPr lang="en-US" altLang="en-US"/>
              <a:t>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Summary'!$H$33:$H$37</c:f>
              <c:numCache>
                <c:formatCode>_-* #,##0.00_-;\-* #,##0.00_-;_-* "-"??_-;_-@_-</c:formatCode>
                <c:ptCount val="5"/>
                <c:pt idx="0">
                  <c:v>133.451957295374</c:v>
                </c:pt>
                <c:pt idx="1">
                  <c:v>156.903765690377</c:v>
                </c:pt>
                <c:pt idx="2">
                  <c:v>181.159420289855</c:v>
                </c:pt>
                <c:pt idx="3">
                  <c:v>208.333333333333</c:v>
                </c:pt>
                <c:pt idx="4">
                  <c:v>267.857142857143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Summary'!$H$38:$H$42</c:f>
              <c:numCache>
                <c:formatCode>_-* #,##0.00_-;\-* #,##0.00_-;_-* "-"??_-;_-@_-</c:formatCode>
                <c:ptCount val="5"/>
                <c:pt idx="0">
                  <c:v>197.368421052632</c:v>
                </c:pt>
                <c:pt idx="1">
                  <c:v>240.384615384615</c:v>
                </c:pt>
                <c:pt idx="2">
                  <c:v>290.697674418605</c:v>
                </c:pt>
                <c:pt idx="3">
                  <c:v>344.036697247706</c:v>
                </c:pt>
                <c:pt idx="4">
                  <c:v>451.807228915663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Summary'!$H$43:$H$47</c:f>
              <c:numCache>
                <c:formatCode>_-* #,##0.00_-;\-* #,##0.00_-;_-* "-"??_-;_-@_-</c:formatCode>
                <c:ptCount val="5"/>
                <c:pt idx="0">
                  <c:v>271.739130434783</c:v>
                </c:pt>
                <c:pt idx="1">
                  <c:v>337.837837837838</c:v>
                </c:pt>
                <c:pt idx="2">
                  <c:v>421.348314606742</c:v>
                </c:pt>
                <c:pt idx="3">
                  <c:v>506.756756756757</c:v>
                </c:pt>
                <c:pt idx="4">
                  <c:v>707.547169811321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Step </a:t>
            </a:r>
            <a:r>
              <a:rPr lang="en-US" altLang="en-US"/>
              <a:t>vs RR, V500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Summary'!$G$33:$G$37</c:f>
              <c:numCache>
                <c:formatCode>General</c:formatCode>
                <c:ptCount val="5"/>
                <c:pt idx="0">
                  <c:v>5430</c:v>
                </c:pt>
                <c:pt idx="1">
                  <c:v>5320</c:v>
                </c:pt>
                <c:pt idx="2">
                  <c:v>5250</c:v>
                </c:pt>
                <c:pt idx="3">
                  <c:v>5250</c:v>
                </c:pt>
                <c:pt idx="4">
                  <c:v>5350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Summary'!$G$38:$G$42</c:f>
              <c:numCache>
                <c:formatCode>General</c:formatCode>
                <c:ptCount val="5"/>
                <c:pt idx="0">
                  <c:v>5250</c:v>
                </c:pt>
                <c:pt idx="1">
                  <c:v>5250</c:v>
                </c:pt>
                <c:pt idx="2">
                  <c:v>5350</c:v>
                </c:pt>
                <c:pt idx="3">
                  <c:v>5480</c:v>
                </c:pt>
                <c:pt idx="4">
                  <c:v>5650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Summary'!$G$43:$G$47</c:f>
              <c:numCache>
                <c:formatCode>General</c:formatCode>
                <c:ptCount val="5"/>
                <c:pt idx="0">
                  <c:v>5300</c:v>
                </c:pt>
                <c:pt idx="1">
                  <c:v>5410</c:v>
                </c:pt>
                <c:pt idx="2">
                  <c:v>5600</c:v>
                </c:pt>
                <c:pt idx="3">
                  <c:v>5900</c:v>
                </c:pt>
                <c:pt idx="4">
                  <c:v>5900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Step</a:t>
                </a:r>
                <a:endParaRPr lang="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RPM vs RR, V</a:t>
            </a:r>
            <a:r>
              <a:rPr lang="" altLang="en-US"/>
              <a:t>6</a:t>
            </a:r>
            <a:r>
              <a:rPr lang="en-US" altLang="en-US"/>
              <a:t>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Summary'!$H$48:$H$52</c:f>
              <c:numCache>
                <c:formatCode>_-* #,##0.00_-;\-* #,##0.00_-;_-* "-"??_-;_-@_-</c:formatCode>
                <c:ptCount val="5"/>
                <c:pt idx="0">
                  <c:v>146.484375</c:v>
                </c:pt>
                <c:pt idx="1">
                  <c:v>172.811059907834</c:v>
                </c:pt>
                <c:pt idx="2">
                  <c:v>200.534759358289</c:v>
                </c:pt>
                <c:pt idx="3">
                  <c:v>234.375</c:v>
                </c:pt>
                <c:pt idx="4">
                  <c:v>297.619047619048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Summary'!$H$53:$H$57</c:f>
              <c:numCache>
                <c:formatCode>_-* #,##0.00_-;\-* #,##0.00_-;_-* "-"??_-;_-@_-</c:formatCode>
                <c:ptCount val="5"/>
                <c:pt idx="0">
                  <c:v>219.298245614035</c:v>
                </c:pt>
                <c:pt idx="1">
                  <c:v>269.78417266187</c:v>
                </c:pt>
                <c:pt idx="2">
                  <c:v>323.275862068965</c:v>
                </c:pt>
                <c:pt idx="3">
                  <c:v>382.65306122449</c:v>
                </c:pt>
                <c:pt idx="4">
                  <c:v>513.698630136986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Summary'!$H$58:$H$62</c:f>
              <c:numCache>
                <c:formatCode>_-* #,##0.00_-;\-* #,##0.00_-;_-* "-"??_-;_-@_-</c:formatCode>
                <c:ptCount val="5"/>
                <c:pt idx="0">
                  <c:v>307.377049180328</c:v>
                </c:pt>
                <c:pt idx="1">
                  <c:v>386.59793814433</c:v>
                </c:pt>
                <c:pt idx="2">
                  <c:v>468.75</c:v>
                </c:pt>
                <c:pt idx="3">
                  <c:v>559.701492537313</c:v>
                </c:pt>
                <c:pt idx="4">
                  <c:v>815.217391304348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Step</a:t>
            </a:r>
            <a:r>
              <a:rPr lang="en-US" altLang="en-US"/>
              <a:t> vs RR, V600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Summary'!$G$48:$G$52</c:f>
              <c:numCache>
                <c:formatCode>General</c:formatCode>
                <c:ptCount val="5"/>
                <c:pt idx="0">
                  <c:v>5960</c:v>
                </c:pt>
                <c:pt idx="1">
                  <c:v>5850</c:v>
                </c:pt>
                <c:pt idx="2">
                  <c:v>5850</c:v>
                </c:pt>
                <c:pt idx="3">
                  <c:v>5850</c:v>
                </c:pt>
                <c:pt idx="4">
                  <c:v>6000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Summary'!$G$53:$G$57</c:f>
              <c:numCache>
                <c:formatCode>General</c:formatCode>
                <c:ptCount val="5"/>
                <c:pt idx="0">
                  <c:v>5850</c:v>
                </c:pt>
                <c:pt idx="1">
                  <c:v>5900</c:v>
                </c:pt>
                <c:pt idx="2">
                  <c:v>6000</c:v>
                </c:pt>
                <c:pt idx="3">
                  <c:v>6100</c:v>
                </c:pt>
                <c:pt idx="4">
                  <c:v>6350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Summary'!$G$58:$G$62</c:f>
              <c:numCache>
                <c:formatCode>General</c:formatCode>
                <c:ptCount val="5"/>
                <c:pt idx="0">
                  <c:v>6000</c:v>
                </c:pt>
                <c:pt idx="1">
                  <c:v>6150</c:v>
                </c:pt>
                <c:pt idx="2">
                  <c:v>6300</c:v>
                </c:pt>
                <c:pt idx="3">
                  <c:v>6350</c:v>
                </c:pt>
                <c:pt idx="4">
                  <c:v>6450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Step</a:t>
                </a:r>
                <a:endParaRPr lang="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Raw_data!$N$3:$N$7</c:f>
              <c:numCache>
                <c:formatCode>General</c:formatCode>
                <c:ptCount val="5"/>
                <c:pt idx="0">
                  <c:v>108.695652173913</c:v>
                </c:pt>
                <c:pt idx="1">
                  <c:v>124.584717607973</c:v>
                </c:pt>
                <c:pt idx="2">
                  <c:v>140.449438202247</c:v>
                </c:pt>
                <c:pt idx="3">
                  <c:v>155.601659751037</c:v>
                </c:pt>
                <c:pt idx="4">
                  <c:v>193.298969072165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Raw_data!$N$8:$N$12</c:f>
              <c:numCache>
                <c:formatCode>General</c:formatCode>
                <c:ptCount val="5"/>
                <c:pt idx="0">
                  <c:v>148.809523809524</c:v>
                </c:pt>
                <c:pt idx="1">
                  <c:v>172.811059907834</c:v>
                </c:pt>
                <c:pt idx="2">
                  <c:v>202.702702702703</c:v>
                </c:pt>
                <c:pt idx="3">
                  <c:v>231.481481481481</c:v>
                </c:pt>
                <c:pt idx="4">
                  <c:v>307.377049180328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yVal>
            <c:numRef>
              <c:f>Raw_data!$N$13:$N$17</c:f>
              <c:numCache>
                <c:formatCode>General</c:formatCode>
                <c:ptCount val="5"/>
                <c:pt idx="0">
                  <c:v>195.3125</c:v>
                </c:pt>
                <c:pt idx="1">
                  <c:v>238.853503184713</c:v>
                </c:pt>
                <c:pt idx="2">
                  <c:v>277.777777777778</c:v>
                </c:pt>
                <c:pt idx="3">
                  <c:v>328.947368421053</c:v>
                </c:pt>
                <c:pt idx="4">
                  <c:v>451.807228915663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12006"/>
        <c:axId val="855201080"/>
      </c:scatterChart>
      <c:valAx>
        <c:axId val="1875120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201080"/>
        <c:crosses val="autoZero"/>
        <c:crossBetween val="midCat"/>
      </c:valAx>
      <c:valAx>
        <c:axId val="85520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51200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Step vs RR, V300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Summary'!$G$3:$G$7</c:f>
              <c:numCache>
                <c:formatCode>General</c:formatCode>
                <c:ptCount val="5"/>
                <c:pt idx="0">
                  <c:v>4500</c:v>
                </c:pt>
                <c:pt idx="1">
                  <c:v>4300</c:v>
                </c:pt>
                <c:pt idx="2">
                  <c:v>4150</c:v>
                </c:pt>
                <c:pt idx="3">
                  <c:v>4000</c:v>
                </c:pt>
                <c:pt idx="4">
                  <c:v>3900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Summary'!$G$8:$G$12</c:f>
              <c:numCache>
                <c:formatCode>General</c:formatCode>
                <c:ptCount val="5"/>
                <c:pt idx="0">
                  <c:v>4050</c:v>
                </c:pt>
                <c:pt idx="1">
                  <c:v>3900</c:v>
                </c:pt>
                <c:pt idx="2">
                  <c:v>3870</c:v>
                </c:pt>
                <c:pt idx="3">
                  <c:v>3820</c:v>
                </c:pt>
                <c:pt idx="4">
                  <c:v>3890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Summary'!$G$13:$G$17</c:f>
              <c:numCache>
                <c:formatCode>General</c:formatCode>
                <c:ptCount val="5"/>
                <c:pt idx="0">
                  <c:v>3850</c:v>
                </c:pt>
                <c:pt idx="1">
                  <c:v>3850</c:v>
                </c:pt>
                <c:pt idx="2">
                  <c:v>3860</c:v>
                </c:pt>
                <c:pt idx="3">
                  <c:v>3900</c:v>
                </c:pt>
                <c:pt idx="4">
                  <c:v>4100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Step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RPM vs RR, V400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Summary'!$H$18:$H$22</c:f>
              <c:numCache>
                <c:formatCode>_-* #,##0.00_-;\-* #,##0.00_-;_-* "-"??_-;_-@_-</c:formatCode>
                <c:ptCount val="5"/>
                <c:pt idx="0">
                  <c:v>122.14983713355</c:v>
                </c:pt>
                <c:pt idx="1">
                  <c:v>140.977443609023</c:v>
                </c:pt>
                <c:pt idx="2">
                  <c:v>161.637931034483</c:v>
                </c:pt>
                <c:pt idx="3">
                  <c:v>182.038834951456</c:v>
                </c:pt>
                <c:pt idx="4">
                  <c:v>232.919254658385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Summary'!$H$23:$H$27</c:f>
              <c:numCache>
                <c:formatCode>_-* #,##0.00_-;\-* #,##0.00_-;_-* "-"??_-;_-@_-</c:formatCode>
                <c:ptCount val="5"/>
                <c:pt idx="0">
                  <c:v>172.018348623853</c:v>
                </c:pt>
                <c:pt idx="1">
                  <c:v>208.333333333333</c:v>
                </c:pt>
                <c:pt idx="2">
                  <c:v>245.098039215686</c:v>
                </c:pt>
                <c:pt idx="3">
                  <c:v>288.461538461538</c:v>
                </c:pt>
                <c:pt idx="4">
                  <c:v>382.65306122449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Summary'!$H$28:$H$32</c:f>
              <c:numCache>
                <c:formatCode>_-* #,##0.00_-;\-* #,##0.00_-;_-* "-"??_-;_-@_-</c:formatCode>
                <c:ptCount val="5"/>
                <c:pt idx="0">
                  <c:v>235.849056603774</c:v>
                </c:pt>
                <c:pt idx="1">
                  <c:v>288.461538461538</c:v>
                </c:pt>
                <c:pt idx="2">
                  <c:v>350.467289719626</c:v>
                </c:pt>
                <c:pt idx="3">
                  <c:v>416.666666666667</c:v>
                </c:pt>
                <c:pt idx="4">
                  <c:v>585.9375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Step vs RR, V400</a:t>
            </a:r>
            <a:endParaRPr lang="en-US" altLang="en-US"/>
          </a:p>
        </c:rich>
      </c:tx>
      <c:layout>
        <c:manualLayout>
          <c:xMode val="edge"/>
          <c:yMode val="edge"/>
          <c:x val="0.32194444444444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Summary'!$G$18:$G$22</c:f>
              <c:numCache>
                <c:formatCode>General</c:formatCode>
                <c:ptCount val="5"/>
                <c:pt idx="0">
                  <c:v>5000</c:v>
                </c:pt>
                <c:pt idx="1">
                  <c:v>4800</c:v>
                </c:pt>
                <c:pt idx="2">
                  <c:v>4700</c:v>
                </c:pt>
                <c:pt idx="3">
                  <c:v>4600</c:v>
                </c:pt>
                <c:pt idx="4">
                  <c:v>4600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Summary'!$G$23:$G$27</c:f>
              <c:numCache>
                <c:formatCode>General</c:formatCode>
                <c:ptCount val="5"/>
                <c:pt idx="0">
                  <c:v>4600</c:v>
                </c:pt>
                <c:pt idx="1">
                  <c:v>4600</c:v>
                </c:pt>
                <c:pt idx="2">
                  <c:v>4600</c:v>
                </c:pt>
                <c:pt idx="3">
                  <c:v>4650</c:v>
                </c:pt>
                <c:pt idx="4">
                  <c:v>4800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Summary'!$G$28:$G$32</c:f>
              <c:numCache>
                <c:formatCode>General</c:formatCode>
                <c:ptCount val="5"/>
                <c:pt idx="0">
                  <c:v>4600</c:v>
                </c:pt>
                <c:pt idx="1">
                  <c:v>4650</c:v>
                </c:pt>
                <c:pt idx="2">
                  <c:v>4750</c:v>
                </c:pt>
                <c:pt idx="3">
                  <c:v>4850</c:v>
                </c:pt>
                <c:pt idx="4">
                  <c:v>5200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Step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RPM vs RR, V500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Summary'!$H$33:$H$37</c:f>
              <c:numCache>
                <c:formatCode>_-* #,##0.00_-;\-* #,##0.00_-;_-* "-"??_-;_-@_-</c:formatCode>
                <c:ptCount val="5"/>
                <c:pt idx="0">
                  <c:v>133.451957295374</c:v>
                </c:pt>
                <c:pt idx="1">
                  <c:v>156.903765690377</c:v>
                </c:pt>
                <c:pt idx="2">
                  <c:v>181.159420289855</c:v>
                </c:pt>
                <c:pt idx="3">
                  <c:v>208.333333333333</c:v>
                </c:pt>
                <c:pt idx="4">
                  <c:v>267.857142857143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Summary'!$H$38:$H$42</c:f>
              <c:numCache>
                <c:formatCode>_-* #,##0.00_-;\-* #,##0.00_-;_-* "-"??_-;_-@_-</c:formatCode>
                <c:ptCount val="5"/>
                <c:pt idx="0">
                  <c:v>197.368421052632</c:v>
                </c:pt>
                <c:pt idx="1">
                  <c:v>240.384615384615</c:v>
                </c:pt>
                <c:pt idx="2">
                  <c:v>290.697674418605</c:v>
                </c:pt>
                <c:pt idx="3">
                  <c:v>344.036697247706</c:v>
                </c:pt>
                <c:pt idx="4">
                  <c:v>451.807228915663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Summary'!$H$43:$H$47</c:f>
              <c:numCache>
                <c:formatCode>_-* #,##0.00_-;\-* #,##0.00_-;_-* "-"??_-;_-@_-</c:formatCode>
                <c:ptCount val="5"/>
                <c:pt idx="0">
                  <c:v>271.739130434783</c:v>
                </c:pt>
                <c:pt idx="1">
                  <c:v>337.837837837838</c:v>
                </c:pt>
                <c:pt idx="2">
                  <c:v>421.348314606742</c:v>
                </c:pt>
                <c:pt idx="3">
                  <c:v>506.756756756757</c:v>
                </c:pt>
                <c:pt idx="4">
                  <c:v>707.547169811321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Step vs RR, V500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Summary'!$G$33:$G$37</c:f>
              <c:numCache>
                <c:formatCode>General</c:formatCode>
                <c:ptCount val="5"/>
                <c:pt idx="0">
                  <c:v>5430</c:v>
                </c:pt>
                <c:pt idx="1">
                  <c:v>5320</c:v>
                </c:pt>
                <c:pt idx="2">
                  <c:v>5250</c:v>
                </c:pt>
                <c:pt idx="3">
                  <c:v>5250</c:v>
                </c:pt>
                <c:pt idx="4">
                  <c:v>5350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Summary'!$G$38:$G$42</c:f>
              <c:numCache>
                <c:formatCode>General</c:formatCode>
                <c:ptCount val="5"/>
                <c:pt idx="0">
                  <c:v>5250</c:v>
                </c:pt>
                <c:pt idx="1">
                  <c:v>5250</c:v>
                </c:pt>
                <c:pt idx="2">
                  <c:v>5350</c:v>
                </c:pt>
                <c:pt idx="3">
                  <c:v>5480</c:v>
                </c:pt>
                <c:pt idx="4">
                  <c:v>5650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Summary'!$G$43:$G$47</c:f>
              <c:numCache>
                <c:formatCode>General</c:formatCode>
                <c:ptCount val="5"/>
                <c:pt idx="0">
                  <c:v>5300</c:v>
                </c:pt>
                <c:pt idx="1">
                  <c:v>5410</c:v>
                </c:pt>
                <c:pt idx="2">
                  <c:v>5600</c:v>
                </c:pt>
                <c:pt idx="3">
                  <c:v>5900</c:v>
                </c:pt>
                <c:pt idx="4">
                  <c:v>5900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Step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RPM vs RR, V600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Summary'!$H$48:$H$52</c:f>
              <c:numCache>
                <c:formatCode>_-* #,##0.00_-;\-* #,##0.00_-;_-* "-"??_-;_-@_-</c:formatCode>
                <c:ptCount val="5"/>
                <c:pt idx="0">
                  <c:v>146.484375</c:v>
                </c:pt>
                <c:pt idx="1">
                  <c:v>172.811059907834</c:v>
                </c:pt>
                <c:pt idx="2">
                  <c:v>200.534759358289</c:v>
                </c:pt>
                <c:pt idx="3">
                  <c:v>234.375</c:v>
                </c:pt>
                <c:pt idx="4">
                  <c:v>297.619047619048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Summary'!$H$53:$H$57</c:f>
              <c:numCache>
                <c:formatCode>_-* #,##0.00_-;\-* #,##0.00_-;_-* "-"??_-;_-@_-</c:formatCode>
                <c:ptCount val="5"/>
                <c:pt idx="0">
                  <c:v>219.298245614035</c:v>
                </c:pt>
                <c:pt idx="1">
                  <c:v>269.78417266187</c:v>
                </c:pt>
                <c:pt idx="2">
                  <c:v>323.275862068965</c:v>
                </c:pt>
                <c:pt idx="3">
                  <c:v>382.65306122449</c:v>
                </c:pt>
                <c:pt idx="4">
                  <c:v>513.698630136986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Summary'!$H$58:$H$62</c:f>
              <c:numCache>
                <c:formatCode>_-* #,##0.00_-;\-* #,##0.00_-;_-* "-"??_-;_-@_-</c:formatCode>
                <c:ptCount val="5"/>
                <c:pt idx="0">
                  <c:v>307.377049180328</c:v>
                </c:pt>
                <c:pt idx="1">
                  <c:v>386.59793814433</c:v>
                </c:pt>
                <c:pt idx="2">
                  <c:v>468.75</c:v>
                </c:pt>
                <c:pt idx="3">
                  <c:v>559.701492537313</c:v>
                </c:pt>
                <c:pt idx="4">
                  <c:v>815.217391304348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RPM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Step vs RR, V600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Summary'!$G$48:$G$52</c:f>
              <c:numCache>
                <c:formatCode>General</c:formatCode>
                <c:ptCount val="5"/>
                <c:pt idx="0">
                  <c:v>5960</c:v>
                </c:pt>
                <c:pt idx="1">
                  <c:v>5850</c:v>
                </c:pt>
                <c:pt idx="2">
                  <c:v>5850</c:v>
                </c:pt>
                <c:pt idx="3">
                  <c:v>5850</c:v>
                </c:pt>
                <c:pt idx="4">
                  <c:v>6000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Summary'!$G$53:$G$57</c:f>
              <c:numCache>
                <c:formatCode>General</c:formatCode>
                <c:ptCount val="5"/>
                <c:pt idx="0">
                  <c:v>5850</c:v>
                </c:pt>
                <c:pt idx="1">
                  <c:v>5900</c:v>
                </c:pt>
                <c:pt idx="2">
                  <c:v>6000</c:v>
                </c:pt>
                <c:pt idx="3">
                  <c:v>6100</c:v>
                </c:pt>
                <c:pt idx="4">
                  <c:v>6350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Summary'!$G$58:$G$62</c:f>
              <c:numCache>
                <c:formatCode>General</c:formatCode>
                <c:ptCount val="5"/>
                <c:pt idx="0">
                  <c:v>6000</c:v>
                </c:pt>
                <c:pt idx="1">
                  <c:v>6150</c:v>
                </c:pt>
                <c:pt idx="2">
                  <c:v>6300</c:v>
                </c:pt>
                <c:pt idx="3">
                  <c:v>6350</c:v>
                </c:pt>
                <c:pt idx="4">
                  <c:v>6450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RR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Step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RPM vs RR, V300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"IE 1:1"</c:f>
              <c:strCache>
                <c:ptCount val="1"/>
                <c:pt idx="0">
                  <c:v>IE 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Summary'!$H$3:$H$7</c:f>
              <c:numCache>
                <c:formatCode>_-* #,##0.00_-;\-* #,##0.00_-;_-* "-"??_-;_-@_-</c:formatCode>
                <c:ptCount val="5"/>
                <c:pt idx="0">
                  <c:v>108.695652173913</c:v>
                </c:pt>
                <c:pt idx="1">
                  <c:v>124.584717607973</c:v>
                </c:pt>
                <c:pt idx="2">
                  <c:v>140.449438202247</c:v>
                </c:pt>
                <c:pt idx="3">
                  <c:v>155.601659751037</c:v>
                </c:pt>
                <c:pt idx="4">
                  <c:v>193.298969072165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"IE 1:2"</c:f>
              <c:strCache>
                <c:ptCount val="1"/>
                <c:pt idx="0">
                  <c:v>IE 1:2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Summary'!$H$8:$H$12</c:f>
              <c:numCache>
                <c:formatCode>_-* #,##0.00_-;\-* #,##0.00_-;_-* "-"??_-;_-@_-</c:formatCode>
                <c:ptCount val="5"/>
                <c:pt idx="0">
                  <c:v>148.809523809524</c:v>
                </c:pt>
                <c:pt idx="1">
                  <c:v>172.811059907834</c:v>
                </c:pt>
                <c:pt idx="2">
                  <c:v>202.702702702703</c:v>
                </c:pt>
                <c:pt idx="3">
                  <c:v>231.481481481481</c:v>
                </c:pt>
                <c:pt idx="4">
                  <c:v>307.377049180328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"IE 1:3"</c:f>
              <c:strCache>
                <c:ptCount val="1"/>
                <c:pt idx="0">
                  <c:v>IE 1:3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Summary'!$C$3:$C$7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'Data Summary'!$H$13:$H$17</c:f>
              <c:numCache>
                <c:formatCode>_-* #,##0.00_-;\-* #,##0.00_-;_-* "-"??_-;_-@_-</c:formatCode>
                <c:ptCount val="5"/>
                <c:pt idx="0">
                  <c:v>195.3125</c:v>
                </c:pt>
                <c:pt idx="1">
                  <c:v>238.853503184713</c:v>
                </c:pt>
                <c:pt idx="2">
                  <c:v>277.777777777778</c:v>
                </c:pt>
                <c:pt idx="3">
                  <c:v>328.947368421053</c:v>
                </c:pt>
                <c:pt idx="4">
                  <c:v>451.807228915663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3722"/>
        <c:axId val="595360744"/>
      </c:scatterChart>
      <c:valAx>
        <c:axId val="429983722"/>
        <c:scaling>
          <c:orientation val="minMax"/>
          <c:max val="22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RR</a:t>
                </a:r>
                <a:endParaRPr lang="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60744"/>
        <c:crosses val="autoZero"/>
        <c:crossBetween val="midCat"/>
      </c:valAx>
      <c:valAx>
        <c:axId val="5953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RPM</a:t>
                </a:r>
                <a:endParaRPr lang="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83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7" Type="http://schemas.openxmlformats.org/officeDocument/2006/relationships/chart" Target="../charts/chart15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</xdr:row>
      <xdr:rowOff>8890</xdr:rowOff>
    </xdr:from>
    <xdr:to>
      <xdr:col>5</xdr:col>
      <xdr:colOff>409575</xdr:colOff>
      <xdr:row>18</xdr:row>
      <xdr:rowOff>161290</xdr:rowOff>
    </xdr:to>
    <xdr:graphicFrame>
      <xdr:nvGraphicFramePr>
        <xdr:cNvPr id="3" name="Chart 2"/>
        <xdr:cNvGraphicFramePr/>
      </xdr:nvGraphicFramePr>
      <xdr:xfrm>
        <a:off x="28575" y="3327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419735</xdr:colOff>
      <xdr:row>2</xdr:row>
      <xdr:rowOff>0</xdr:rowOff>
    </xdr:from>
    <xdr:to>
      <xdr:col>10</xdr:col>
      <xdr:colOff>800735</xdr:colOff>
      <xdr:row>18</xdr:row>
      <xdr:rowOff>152400</xdr:rowOff>
    </xdr:to>
    <xdr:graphicFrame>
      <xdr:nvGraphicFramePr>
        <xdr:cNvPr id="4" name="Chart 3"/>
        <xdr:cNvGraphicFramePr/>
      </xdr:nvGraphicFramePr>
      <xdr:xfrm>
        <a:off x="4610735" y="323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18</xdr:row>
      <xdr:rowOff>160655</xdr:rowOff>
    </xdr:from>
    <xdr:to>
      <xdr:col>5</xdr:col>
      <xdr:colOff>409575</xdr:colOff>
      <xdr:row>35</xdr:row>
      <xdr:rowOff>151130</xdr:rowOff>
    </xdr:to>
    <xdr:graphicFrame>
      <xdr:nvGraphicFramePr>
        <xdr:cNvPr id="5" name="Chart 4"/>
        <xdr:cNvGraphicFramePr/>
      </xdr:nvGraphicFramePr>
      <xdr:xfrm>
        <a:off x="28575" y="30753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419735</xdr:colOff>
      <xdr:row>18</xdr:row>
      <xdr:rowOff>151765</xdr:rowOff>
    </xdr:from>
    <xdr:to>
      <xdr:col>10</xdr:col>
      <xdr:colOff>800735</xdr:colOff>
      <xdr:row>35</xdr:row>
      <xdr:rowOff>142240</xdr:rowOff>
    </xdr:to>
    <xdr:graphicFrame>
      <xdr:nvGraphicFramePr>
        <xdr:cNvPr id="6" name="Chart 5"/>
        <xdr:cNvGraphicFramePr/>
      </xdr:nvGraphicFramePr>
      <xdr:xfrm>
        <a:off x="4610735" y="30664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35</xdr:row>
      <xdr:rowOff>161290</xdr:rowOff>
    </xdr:from>
    <xdr:to>
      <xdr:col>5</xdr:col>
      <xdr:colOff>400050</xdr:colOff>
      <xdr:row>52</xdr:row>
      <xdr:rowOff>151765</xdr:rowOff>
    </xdr:to>
    <xdr:graphicFrame>
      <xdr:nvGraphicFramePr>
        <xdr:cNvPr id="7" name="Chart 6"/>
        <xdr:cNvGraphicFramePr/>
      </xdr:nvGraphicFramePr>
      <xdr:xfrm>
        <a:off x="19050" y="58286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428625</xdr:colOff>
      <xdr:row>35</xdr:row>
      <xdr:rowOff>142240</xdr:rowOff>
    </xdr:from>
    <xdr:to>
      <xdr:col>10</xdr:col>
      <xdr:colOff>809625</xdr:colOff>
      <xdr:row>52</xdr:row>
      <xdr:rowOff>132715</xdr:rowOff>
    </xdr:to>
    <xdr:graphicFrame>
      <xdr:nvGraphicFramePr>
        <xdr:cNvPr id="8" name="Chart 7"/>
        <xdr:cNvGraphicFramePr/>
      </xdr:nvGraphicFramePr>
      <xdr:xfrm>
        <a:off x="4619625" y="58096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52</xdr:row>
      <xdr:rowOff>161290</xdr:rowOff>
    </xdr:from>
    <xdr:to>
      <xdr:col>5</xdr:col>
      <xdr:colOff>381000</xdr:colOff>
      <xdr:row>69</xdr:row>
      <xdr:rowOff>151765</xdr:rowOff>
    </xdr:to>
    <xdr:graphicFrame>
      <xdr:nvGraphicFramePr>
        <xdr:cNvPr id="9" name="Chart 8"/>
        <xdr:cNvGraphicFramePr/>
      </xdr:nvGraphicFramePr>
      <xdr:xfrm>
        <a:off x="0" y="85813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342900</xdr:colOff>
      <xdr:row>52</xdr:row>
      <xdr:rowOff>151765</xdr:rowOff>
    </xdr:from>
    <xdr:to>
      <xdr:col>10</xdr:col>
      <xdr:colOff>723900</xdr:colOff>
      <xdr:row>69</xdr:row>
      <xdr:rowOff>142240</xdr:rowOff>
    </xdr:to>
    <xdr:graphicFrame>
      <xdr:nvGraphicFramePr>
        <xdr:cNvPr id="10" name="Chart 9"/>
        <xdr:cNvGraphicFramePr/>
      </xdr:nvGraphicFramePr>
      <xdr:xfrm>
        <a:off x="4533900" y="85718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228600</xdr:colOff>
      <xdr:row>0</xdr:row>
      <xdr:rowOff>9525</xdr:rowOff>
    </xdr:from>
    <xdr:to>
      <xdr:col>13</xdr:col>
      <xdr:colOff>466725</xdr:colOff>
      <xdr:row>17</xdr:row>
      <xdr:rowOff>0</xdr:rowOff>
    </xdr:to>
    <xdr:graphicFrame>
      <xdr:nvGraphicFramePr>
        <xdr:cNvPr id="2" name="Chart 1"/>
        <xdr:cNvGraphicFramePr/>
      </xdr:nvGraphicFramePr>
      <xdr:xfrm>
        <a:off x="9839325" y="9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476885</xdr:colOff>
      <xdr:row>0</xdr:row>
      <xdr:rowOff>635</xdr:rowOff>
    </xdr:from>
    <xdr:to>
      <xdr:col>19</xdr:col>
      <xdr:colOff>19685</xdr:colOff>
      <xdr:row>16</xdr:row>
      <xdr:rowOff>153035</xdr:rowOff>
    </xdr:to>
    <xdr:graphicFrame>
      <xdr:nvGraphicFramePr>
        <xdr:cNvPr id="3" name="Chart 2"/>
        <xdr:cNvGraphicFramePr/>
      </xdr:nvGraphicFramePr>
      <xdr:xfrm>
        <a:off x="14421485" y="6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16</xdr:row>
      <xdr:rowOff>161290</xdr:rowOff>
    </xdr:from>
    <xdr:to>
      <xdr:col>13</xdr:col>
      <xdr:colOff>466725</xdr:colOff>
      <xdr:row>33</xdr:row>
      <xdr:rowOff>151765</xdr:rowOff>
    </xdr:to>
    <xdr:graphicFrame>
      <xdr:nvGraphicFramePr>
        <xdr:cNvPr id="4" name="Chart 3"/>
        <xdr:cNvGraphicFramePr/>
      </xdr:nvGraphicFramePr>
      <xdr:xfrm>
        <a:off x="9839325" y="27520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476885</xdr:colOff>
      <xdr:row>16</xdr:row>
      <xdr:rowOff>152400</xdr:rowOff>
    </xdr:from>
    <xdr:to>
      <xdr:col>19</xdr:col>
      <xdr:colOff>19685</xdr:colOff>
      <xdr:row>33</xdr:row>
      <xdr:rowOff>142875</xdr:rowOff>
    </xdr:to>
    <xdr:graphicFrame>
      <xdr:nvGraphicFramePr>
        <xdr:cNvPr id="5" name="Chart 4"/>
        <xdr:cNvGraphicFramePr/>
      </xdr:nvGraphicFramePr>
      <xdr:xfrm>
        <a:off x="14421485" y="2743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219075</xdr:colOff>
      <xdr:row>34</xdr:row>
      <xdr:rowOff>0</xdr:rowOff>
    </xdr:from>
    <xdr:to>
      <xdr:col>13</xdr:col>
      <xdr:colOff>457200</xdr:colOff>
      <xdr:row>50</xdr:row>
      <xdr:rowOff>152400</xdr:rowOff>
    </xdr:to>
    <xdr:graphicFrame>
      <xdr:nvGraphicFramePr>
        <xdr:cNvPr id="7" name="Chart 6"/>
        <xdr:cNvGraphicFramePr/>
      </xdr:nvGraphicFramePr>
      <xdr:xfrm>
        <a:off x="9829800" y="5505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485775</xdr:colOff>
      <xdr:row>33</xdr:row>
      <xdr:rowOff>142875</xdr:rowOff>
    </xdr:from>
    <xdr:to>
      <xdr:col>19</xdr:col>
      <xdr:colOff>28575</xdr:colOff>
      <xdr:row>50</xdr:row>
      <xdr:rowOff>133350</xdr:rowOff>
    </xdr:to>
    <xdr:graphicFrame>
      <xdr:nvGraphicFramePr>
        <xdr:cNvPr id="9" name="Chart 8"/>
        <xdr:cNvGraphicFramePr/>
      </xdr:nvGraphicFramePr>
      <xdr:xfrm>
        <a:off x="14430375" y="5486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200025</xdr:colOff>
      <xdr:row>51</xdr:row>
      <xdr:rowOff>0</xdr:rowOff>
    </xdr:from>
    <xdr:to>
      <xdr:col>13</xdr:col>
      <xdr:colOff>438150</xdr:colOff>
      <xdr:row>67</xdr:row>
      <xdr:rowOff>152400</xdr:rowOff>
    </xdr:to>
    <xdr:graphicFrame>
      <xdr:nvGraphicFramePr>
        <xdr:cNvPr id="10" name="Chart 9"/>
        <xdr:cNvGraphicFramePr/>
      </xdr:nvGraphicFramePr>
      <xdr:xfrm>
        <a:off x="9810750" y="8258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400050</xdr:colOff>
      <xdr:row>50</xdr:row>
      <xdr:rowOff>152400</xdr:rowOff>
    </xdr:from>
    <xdr:to>
      <xdr:col>18</xdr:col>
      <xdr:colOff>781050</xdr:colOff>
      <xdr:row>67</xdr:row>
      <xdr:rowOff>142875</xdr:rowOff>
    </xdr:to>
    <xdr:graphicFrame>
      <xdr:nvGraphicFramePr>
        <xdr:cNvPr id="11" name="Chart 10"/>
        <xdr:cNvGraphicFramePr/>
      </xdr:nvGraphicFramePr>
      <xdr:xfrm>
        <a:off x="14344650" y="8248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155575</xdr:colOff>
      <xdr:row>11</xdr:row>
      <xdr:rowOff>0</xdr:rowOff>
    </xdr:from>
    <xdr:to>
      <xdr:col>21</xdr:col>
      <xdr:colOff>536575</xdr:colOff>
      <xdr:row>27</xdr:row>
      <xdr:rowOff>152400</xdr:rowOff>
    </xdr:to>
    <xdr:graphicFrame>
      <xdr:nvGraphicFramePr>
        <xdr:cNvPr id="3" name="Chart 2"/>
        <xdr:cNvGraphicFramePr/>
      </xdr:nvGraphicFramePr>
      <xdr:xfrm>
        <a:off x="16700500" y="1781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60" zoomScaleNormal="60" workbookViewId="0">
      <selection activeCell="P43" sqref="P43"/>
    </sheetView>
  </sheetViews>
  <sheetFormatPr defaultColWidth="8.8" defaultRowHeight="12.7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tabSelected="1" workbookViewId="0">
      <selection activeCell="A3" sqref="A3:I62"/>
    </sheetView>
  </sheetViews>
  <sheetFormatPr defaultColWidth="8.8" defaultRowHeight="12.75"/>
  <cols>
    <col min="4" max="4" width="12.5"/>
    <col min="5" max="5" width="11.2" customWidth="1"/>
    <col min="6" max="6" width="12.5"/>
    <col min="8" max="8" width="10.4" customWidth="1"/>
    <col min="9" max="10" width="19.1" customWidth="1"/>
  </cols>
  <sheetData>
    <row r="1" spans="1:9">
      <c r="A1" s="1" t="s">
        <v>0</v>
      </c>
      <c r="B1" s="2"/>
      <c r="C1" s="3"/>
      <c r="D1" s="4" t="s">
        <v>1</v>
      </c>
      <c r="E1" s="41"/>
      <c r="F1" s="42" t="s">
        <v>2</v>
      </c>
      <c r="G1" s="43"/>
      <c r="H1" s="44" t="s">
        <v>3</v>
      </c>
      <c r="I1" s="52"/>
    </row>
    <row r="2" spans="1:10">
      <c r="A2" s="5" t="s">
        <v>4</v>
      </c>
      <c r="B2" s="6" t="s">
        <v>5</v>
      </c>
      <c r="C2" s="7" t="s">
        <v>6</v>
      </c>
      <c r="D2" s="8" t="s">
        <v>7</v>
      </c>
      <c r="E2" s="24" t="s">
        <v>8</v>
      </c>
      <c r="F2" s="45" t="s">
        <v>9</v>
      </c>
      <c r="G2" s="45" t="s">
        <v>10</v>
      </c>
      <c r="H2" s="46" t="s">
        <v>11</v>
      </c>
      <c r="I2" s="53" t="s">
        <v>12</v>
      </c>
      <c r="J2" s="29"/>
    </row>
    <row r="3" spans="1:9">
      <c r="A3" s="9">
        <v>1</v>
      </c>
      <c r="B3" s="9">
        <v>300</v>
      </c>
      <c r="C3" s="10">
        <v>10</v>
      </c>
      <c r="D3" s="32">
        <v>1</v>
      </c>
      <c r="E3" s="9">
        <v>300</v>
      </c>
      <c r="F3" s="32">
        <v>0.21</v>
      </c>
      <c r="G3" s="9">
        <v>4500</v>
      </c>
      <c r="H3" s="47">
        <v>108.695652173913</v>
      </c>
      <c r="I3" s="47">
        <v>1449.27536231884</v>
      </c>
    </row>
    <row r="4" spans="1:9">
      <c r="A4" s="9">
        <v>1</v>
      </c>
      <c r="B4" s="9">
        <v>300</v>
      </c>
      <c r="C4" s="9">
        <v>12</v>
      </c>
      <c r="D4" s="32">
        <v>1.02</v>
      </c>
      <c r="E4" s="9">
        <v>300</v>
      </c>
      <c r="F4" s="32">
        <v>0.17</v>
      </c>
      <c r="G4" s="9">
        <v>4300</v>
      </c>
      <c r="H4" s="47">
        <v>124.584717607973</v>
      </c>
      <c r="I4" s="47">
        <v>1661.12956810631</v>
      </c>
    </row>
    <row r="5" spans="1:9">
      <c r="A5" s="9">
        <v>1</v>
      </c>
      <c r="B5" s="9">
        <v>300</v>
      </c>
      <c r="C5" s="9">
        <v>14</v>
      </c>
      <c r="D5" s="32">
        <v>1.01</v>
      </c>
      <c r="E5" s="9">
        <v>303</v>
      </c>
      <c r="F5" s="32">
        <v>0.14</v>
      </c>
      <c r="G5" s="9">
        <v>4150</v>
      </c>
      <c r="H5" s="47">
        <v>140.449438202247</v>
      </c>
      <c r="I5" s="47">
        <v>1872.65917602996</v>
      </c>
    </row>
    <row r="6" spans="1:9">
      <c r="A6" s="9">
        <v>1</v>
      </c>
      <c r="B6" s="9">
        <v>300</v>
      </c>
      <c r="C6" s="9">
        <v>16</v>
      </c>
      <c r="D6" s="32">
        <v>1.01</v>
      </c>
      <c r="E6" s="9">
        <v>304</v>
      </c>
      <c r="F6" s="32">
        <v>0.1</v>
      </c>
      <c r="G6" s="9">
        <v>4000</v>
      </c>
      <c r="H6" s="47">
        <v>155.601659751037</v>
      </c>
      <c r="I6" s="47">
        <v>2074.6887966805</v>
      </c>
    </row>
    <row r="7" spans="1:9">
      <c r="A7" s="9">
        <v>1</v>
      </c>
      <c r="B7" s="9">
        <v>300</v>
      </c>
      <c r="C7" s="9">
        <v>20</v>
      </c>
      <c r="D7" s="32">
        <v>1.02</v>
      </c>
      <c r="E7" s="9">
        <v>305</v>
      </c>
      <c r="F7" s="32">
        <v>0.03</v>
      </c>
      <c r="G7" s="9">
        <v>3900</v>
      </c>
      <c r="H7" s="47">
        <v>193.298969072165</v>
      </c>
      <c r="I7" s="47">
        <v>2577.31958762887</v>
      </c>
    </row>
    <row r="8" spans="1:9">
      <c r="A8" s="11">
        <v>2</v>
      </c>
      <c r="B8" s="11">
        <v>300</v>
      </c>
      <c r="C8" s="11">
        <v>10</v>
      </c>
      <c r="D8" s="33">
        <v>2.02</v>
      </c>
      <c r="E8" s="11">
        <v>302</v>
      </c>
      <c r="F8" s="33">
        <v>0.08</v>
      </c>
      <c r="G8" s="11">
        <v>4050</v>
      </c>
      <c r="H8" s="48">
        <v>148.809523809524</v>
      </c>
      <c r="I8" s="48">
        <v>1984.12698412698</v>
      </c>
    </row>
    <row r="9" spans="1:9">
      <c r="A9" s="11">
        <v>2</v>
      </c>
      <c r="B9" s="11">
        <v>300</v>
      </c>
      <c r="C9" s="11">
        <v>12</v>
      </c>
      <c r="D9" s="33">
        <v>2.02</v>
      </c>
      <c r="E9" s="11">
        <v>303</v>
      </c>
      <c r="F9" s="33">
        <v>0.05</v>
      </c>
      <c r="G9" s="11">
        <v>3900</v>
      </c>
      <c r="H9" s="48">
        <v>172.811059907834</v>
      </c>
      <c r="I9" s="48">
        <v>2304.14746543779</v>
      </c>
    </row>
    <row r="10" spans="1:9">
      <c r="A10" s="11">
        <v>2</v>
      </c>
      <c r="B10" s="11">
        <v>300</v>
      </c>
      <c r="C10" s="11">
        <v>14</v>
      </c>
      <c r="D10" s="33">
        <v>2</v>
      </c>
      <c r="E10" s="11">
        <v>302</v>
      </c>
      <c r="F10" s="33">
        <v>0.01</v>
      </c>
      <c r="G10" s="11">
        <v>3870</v>
      </c>
      <c r="H10" s="48">
        <v>202.702702702703</v>
      </c>
      <c r="I10" s="48">
        <v>2702.7027027027</v>
      </c>
    </row>
    <row r="11" spans="1:9">
      <c r="A11" s="11">
        <v>2</v>
      </c>
      <c r="B11" s="11">
        <v>300</v>
      </c>
      <c r="C11" s="11">
        <v>16</v>
      </c>
      <c r="D11" s="33">
        <v>1.99</v>
      </c>
      <c r="E11" s="11">
        <v>300</v>
      </c>
      <c r="F11" s="33">
        <v>-0.03</v>
      </c>
      <c r="G11" s="11">
        <v>3820</v>
      </c>
      <c r="H11" s="48">
        <v>231.481481481481</v>
      </c>
      <c r="I11" s="48">
        <v>3086.41975308642</v>
      </c>
    </row>
    <row r="12" spans="1:9">
      <c r="A12" s="11">
        <v>2</v>
      </c>
      <c r="B12" s="11">
        <v>300</v>
      </c>
      <c r="C12" s="11">
        <v>20</v>
      </c>
      <c r="D12" s="33">
        <v>2.03</v>
      </c>
      <c r="E12" s="11">
        <v>301</v>
      </c>
      <c r="F12" s="33">
        <v>-0.1</v>
      </c>
      <c r="G12" s="11">
        <v>3890</v>
      </c>
      <c r="H12" s="48">
        <v>307.377049180328</v>
      </c>
      <c r="I12" s="48">
        <v>4098.36065573771</v>
      </c>
    </row>
    <row r="13" spans="1:9">
      <c r="A13" s="9">
        <v>3</v>
      </c>
      <c r="B13" s="9">
        <v>300</v>
      </c>
      <c r="C13" s="9">
        <v>10</v>
      </c>
      <c r="D13" s="32">
        <v>3.03</v>
      </c>
      <c r="E13" s="9">
        <v>303</v>
      </c>
      <c r="F13" s="32">
        <v>-0.04</v>
      </c>
      <c r="G13" s="9">
        <v>3850</v>
      </c>
      <c r="H13" s="47">
        <v>195.3125</v>
      </c>
      <c r="I13" s="47">
        <v>2604.16666666667</v>
      </c>
    </row>
    <row r="14" spans="1:9">
      <c r="A14" s="9">
        <v>3</v>
      </c>
      <c r="B14" s="9">
        <v>300</v>
      </c>
      <c r="C14" s="9">
        <v>12</v>
      </c>
      <c r="D14" s="32">
        <v>3.04</v>
      </c>
      <c r="E14" s="9">
        <v>304</v>
      </c>
      <c r="F14" s="32">
        <v>-0.08</v>
      </c>
      <c r="G14" s="9">
        <v>3850</v>
      </c>
      <c r="H14" s="47">
        <v>238.853503184713</v>
      </c>
      <c r="I14" s="47">
        <v>3184.71337579618</v>
      </c>
    </row>
    <row r="15" spans="1:9">
      <c r="A15" s="9">
        <v>3</v>
      </c>
      <c r="B15" s="9">
        <v>300</v>
      </c>
      <c r="C15" s="9">
        <v>14</v>
      </c>
      <c r="D15" s="32">
        <v>3</v>
      </c>
      <c r="E15" s="9">
        <v>302</v>
      </c>
      <c r="F15" s="32">
        <f>(1039721.9-1070928.6)*2/1000000</f>
        <v>-0.0624134000000001</v>
      </c>
      <c r="G15" s="9">
        <v>3860</v>
      </c>
      <c r="H15" s="47">
        <v>277.777777777778</v>
      </c>
      <c r="I15" s="47">
        <v>3703.7037037037</v>
      </c>
    </row>
    <row r="16" spans="1:9">
      <c r="A16" s="9">
        <v>3</v>
      </c>
      <c r="B16" s="9">
        <v>300</v>
      </c>
      <c r="C16" s="9">
        <v>16</v>
      </c>
      <c r="D16" s="32">
        <v>3</v>
      </c>
      <c r="E16" s="9">
        <v>300</v>
      </c>
      <c r="F16" s="32">
        <f>(-937000+892357.19)*2/1000000</f>
        <v>-0.0892856200000001</v>
      </c>
      <c r="G16" s="9">
        <v>3900</v>
      </c>
      <c r="H16" s="47">
        <v>328.947368421053</v>
      </c>
      <c r="I16" s="47">
        <v>4385.9649122807</v>
      </c>
    </row>
    <row r="17" spans="1:9">
      <c r="A17" s="9">
        <v>3</v>
      </c>
      <c r="B17" s="9">
        <v>300</v>
      </c>
      <c r="C17" s="9">
        <v>20</v>
      </c>
      <c r="D17" s="32">
        <v>3.02</v>
      </c>
      <c r="E17" s="9">
        <v>302</v>
      </c>
      <c r="F17" s="32">
        <f>(681318.19-749500)*2/1000000</f>
        <v>-0.13636362</v>
      </c>
      <c r="G17" s="9">
        <v>4100</v>
      </c>
      <c r="H17" s="47">
        <v>451.807228915663</v>
      </c>
      <c r="I17" s="47">
        <v>6024.09638554217</v>
      </c>
    </row>
    <row r="18" spans="1:9">
      <c r="A18" s="12">
        <v>1</v>
      </c>
      <c r="B18" s="12">
        <v>400</v>
      </c>
      <c r="C18" s="12">
        <v>10</v>
      </c>
      <c r="D18" s="34">
        <v>1.01</v>
      </c>
      <c r="E18" s="12">
        <v>404</v>
      </c>
      <c r="F18" s="34">
        <v>0.15</v>
      </c>
      <c r="G18" s="12">
        <v>5000</v>
      </c>
      <c r="H18" s="49">
        <v>122.14983713355</v>
      </c>
      <c r="I18" s="49">
        <v>1628.66449511401</v>
      </c>
    </row>
    <row r="19" spans="1:9">
      <c r="A19" s="12">
        <v>1</v>
      </c>
      <c r="B19" s="12">
        <v>400</v>
      </c>
      <c r="C19" s="12">
        <v>12</v>
      </c>
      <c r="D19" s="34">
        <v>1</v>
      </c>
      <c r="E19" s="12">
        <v>396</v>
      </c>
      <c r="F19" s="34">
        <v>0.11</v>
      </c>
      <c r="G19" s="12">
        <v>4800</v>
      </c>
      <c r="H19" s="49">
        <v>140.977443609023</v>
      </c>
      <c r="I19" s="49">
        <v>1879.6992481203</v>
      </c>
    </row>
    <row r="20" spans="1:9">
      <c r="A20" s="12">
        <v>1</v>
      </c>
      <c r="B20" s="12">
        <v>400</v>
      </c>
      <c r="C20" s="12">
        <v>14</v>
      </c>
      <c r="D20" s="34">
        <v>1</v>
      </c>
      <c r="E20" s="12">
        <v>403</v>
      </c>
      <c r="F20" s="34">
        <v>0.08</v>
      </c>
      <c r="G20" s="12">
        <v>4700</v>
      </c>
      <c r="H20" s="49">
        <v>161.637931034483</v>
      </c>
      <c r="I20" s="49">
        <v>2155.1724137931</v>
      </c>
    </row>
    <row r="21" spans="1:9">
      <c r="A21" s="12">
        <v>1</v>
      </c>
      <c r="B21" s="12">
        <v>400</v>
      </c>
      <c r="C21" s="12">
        <v>16</v>
      </c>
      <c r="D21" s="34">
        <v>1.01</v>
      </c>
      <c r="E21" s="12">
        <v>399</v>
      </c>
      <c r="F21" s="34">
        <v>0.04</v>
      </c>
      <c r="G21" s="12">
        <v>4600</v>
      </c>
      <c r="H21" s="49">
        <v>182.038834951456</v>
      </c>
      <c r="I21" s="49">
        <v>2427.18446601942</v>
      </c>
    </row>
    <row r="22" spans="1:9">
      <c r="A22" s="12">
        <v>1</v>
      </c>
      <c r="B22" s="12">
        <v>400</v>
      </c>
      <c r="C22" s="12">
        <v>20</v>
      </c>
      <c r="D22" s="34">
        <v>1.02</v>
      </c>
      <c r="E22" s="12">
        <v>405</v>
      </c>
      <c r="F22" s="34">
        <v>-0.03</v>
      </c>
      <c r="G22" s="12">
        <v>4600</v>
      </c>
      <c r="H22" s="49">
        <v>232.919254658385</v>
      </c>
      <c r="I22" s="49">
        <v>3105.5900621118</v>
      </c>
    </row>
    <row r="23" spans="1:9">
      <c r="A23" s="13">
        <v>2</v>
      </c>
      <c r="B23" s="13">
        <v>400</v>
      </c>
      <c r="C23" s="13">
        <v>10</v>
      </c>
      <c r="D23" s="35">
        <v>2.01</v>
      </c>
      <c r="E23" s="14">
        <v>399</v>
      </c>
      <c r="F23" s="35">
        <v>0.02</v>
      </c>
      <c r="G23" s="14">
        <v>4600</v>
      </c>
      <c r="H23" s="50">
        <v>172.018348623853</v>
      </c>
      <c r="I23" s="50">
        <v>2293.57798165138</v>
      </c>
    </row>
    <row r="24" spans="1:9">
      <c r="A24" s="13">
        <v>2</v>
      </c>
      <c r="B24" s="13">
        <v>400</v>
      </c>
      <c r="C24" s="13">
        <v>12</v>
      </c>
      <c r="D24" s="35">
        <v>2.02</v>
      </c>
      <c r="E24" s="14">
        <v>404</v>
      </c>
      <c r="F24" s="35">
        <v>-0.02</v>
      </c>
      <c r="G24" s="14">
        <v>4600</v>
      </c>
      <c r="H24" s="50">
        <v>208.333333333333</v>
      </c>
      <c r="I24" s="50">
        <v>2777.77777777778</v>
      </c>
    </row>
    <row r="25" spans="1:9">
      <c r="A25" s="13">
        <v>2</v>
      </c>
      <c r="B25" s="13">
        <v>400</v>
      </c>
      <c r="C25" s="13">
        <v>14</v>
      </c>
      <c r="D25" s="35">
        <v>2.01</v>
      </c>
      <c r="E25" s="14">
        <v>403</v>
      </c>
      <c r="F25" s="35">
        <v>-0.05</v>
      </c>
      <c r="G25" s="14">
        <v>4600</v>
      </c>
      <c r="H25" s="50">
        <v>245.098039215686</v>
      </c>
      <c r="I25" s="50">
        <v>3267.97385620915</v>
      </c>
    </row>
    <row r="26" spans="1:9">
      <c r="A26" s="13">
        <v>2</v>
      </c>
      <c r="B26" s="13">
        <v>400</v>
      </c>
      <c r="C26" s="13">
        <v>16</v>
      </c>
      <c r="D26" s="35">
        <v>2.01</v>
      </c>
      <c r="E26" s="14">
        <v>403</v>
      </c>
      <c r="F26" s="35">
        <v>-0.09</v>
      </c>
      <c r="G26" s="14">
        <v>4650</v>
      </c>
      <c r="H26" s="50">
        <v>288.461538461538</v>
      </c>
      <c r="I26" s="50">
        <v>3846.15384615385</v>
      </c>
    </row>
    <row r="27" spans="1:9">
      <c r="A27" s="13">
        <v>2</v>
      </c>
      <c r="B27" s="13">
        <v>400</v>
      </c>
      <c r="C27" s="13">
        <v>20</v>
      </c>
      <c r="D27" s="35">
        <v>2.01</v>
      </c>
      <c r="E27" s="14">
        <v>400</v>
      </c>
      <c r="F27" s="35">
        <f>(937000-999500)*2/1000000</f>
        <v>-0.125</v>
      </c>
      <c r="G27" s="14">
        <v>4800</v>
      </c>
      <c r="H27" s="50">
        <v>382.65306122449</v>
      </c>
      <c r="I27" s="50">
        <v>5102.04081632653</v>
      </c>
    </row>
    <row r="28" spans="1:9">
      <c r="A28" s="12">
        <v>3</v>
      </c>
      <c r="B28" s="12">
        <v>400</v>
      </c>
      <c r="C28" s="12">
        <v>10</v>
      </c>
      <c r="D28" s="34">
        <v>3.01</v>
      </c>
      <c r="E28" s="12">
        <v>404</v>
      </c>
      <c r="F28" s="34">
        <f>(1462914.5-1499500)*2/1000000</f>
        <v>-0.073171</v>
      </c>
      <c r="G28" s="12">
        <v>4600</v>
      </c>
      <c r="H28" s="49">
        <v>235.849056603774</v>
      </c>
      <c r="I28" s="49">
        <v>3144.65408805031</v>
      </c>
    </row>
    <row r="29" spans="1:9">
      <c r="A29" s="12">
        <v>3</v>
      </c>
      <c r="B29" s="12">
        <v>400</v>
      </c>
      <c r="C29" s="12">
        <v>12</v>
      </c>
      <c r="D29" s="34">
        <v>3</v>
      </c>
      <c r="E29" s="12">
        <v>403</v>
      </c>
      <c r="F29" s="34">
        <f>(1210153.6-1249500)*2/1000000</f>
        <v>-0.0786927999999998</v>
      </c>
      <c r="G29" s="12">
        <v>4650</v>
      </c>
      <c r="H29" s="49">
        <v>288.461538461538</v>
      </c>
      <c r="I29" s="49">
        <v>3846.15384615385</v>
      </c>
    </row>
    <row r="30" spans="1:9">
      <c r="A30" s="12">
        <v>3</v>
      </c>
      <c r="B30" s="12">
        <v>400</v>
      </c>
      <c r="C30" s="12">
        <v>14</v>
      </c>
      <c r="D30" s="34">
        <v>3</v>
      </c>
      <c r="E30" s="12">
        <v>401</v>
      </c>
      <c r="F30" s="34">
        <f>(1019908.3-1070928.6)*2/1000000</f>
        <v>-0.1020406</v>
      </c>
      <c r="G30" s="12">
        <v>4750</v>
      </c>
      <c r="H30" s="49">
        <v>350.467289719626</v>
      </c>
      <c r="I30" s="49">
        <v>4672.89719626168</v>
      </c>
    </row>
    <row r="31" spans="1:9">
      <c r="A31" s="12">
        <v>3</v>
      </c>
      <c r="B31" s="12">
        <v>400</v>
      </c>
      <c r="C31" s="12">
        <v>16</v>
      </c>
      <c r="D31" s="34">
        <v>3</v>
      </c>
      <c r="E31" s="12">
        <v>401</v>
      </c>
      <c r="F31" s="34">
        <f>(877720.13-937000)*2/1000000</f>
        <v>-0.11855974</v>
      </c>
      <c r="G31" s="12">
        <v>4850</v>
      </c>
      <c r="H31" s="49">
        <v>416.666666666667</v>
      </c>
      <c r="I31" s="49">
        <v>5555.55555555556</v>
      </c>
    </row>
    <row r="32" spans="1:9">
      <c r="A32" s="12">
        <v>3</v>
      </c>
      <c r="B32" s="12">
        <v>400</v>
      </c>
      <c r="C32" s="12">
        <v>20</v>
      </c>
      <c r="D32" s="34">
        <v>3</v>
      </c>
      <c r="E32" s="12">
        <v>402</v>
      </c>
      <c r="F32" s="34">
        <f>(666166.69-749500)*2/1000000</f>
        <v>-0.16666662</v>
      </c>
      <c r="G32" s="12">
        <v>5200</v>
      </c>
      <c r="H32" s="49">
        <v>585.9375</v>
      </c>
      <c r="I32" s="49">
        <v>7812.5</v>
      </c>
    </row>
    <row r="33" spans="1:9">
      <c r="A33" s="9">
        <v>1</v>
      </c>
      <c r="B33" s="9">
        <v>500</v>
      </c>
      <c r="C33" s="9">
        <v>10</v>
      </c>
      <c r="D33" s="32">
        <f>1/1.02</f>
        <v>0.980392156862745</v>
      </c>
      <c r="E33" s="9">
        <v>500</v>
      </c>
      <c r="F33" s="32">
        <v>0.11</v>
      </c>
      <c r="G33" s="9">
        <v>5430</v>
      </c>
      <c r="H33" s="47">
        <v>133.451957295374</v>
      </c>
      <c r="I33" s="47">
        <v>1779.35943060498</v>
      </c>
    </row>
    <row r="34" spans="1:9">
      <c r="A34" s="9">
        <v>1</v>
      </c>
      <c r="B34" s="9">
        <v>500</v>
      </c>
      <c r="C34" s="9">
        <v>12</v>
      </c>
      <c r="D34" s="32">
        <v>1</v>
      </c>
      <c r="E34" s="9">
        <v>504</v>
      </c>
      <c r="F34" s="32">
        <v>0.09</v>
      </c>
      <c r="G34" s="9">
        <v>5320</v>
      </c>
      <c r="H34" s="47">
        <v>156.903765690377</v>
      </c>
      <c r="I34" s="47">
        <v>2092.05020920502</v>
      </c>
    </row>
    <row r="35" spans="1:9">
      <c r="A35" s="9">
        <v>1</v>
      </c>
      <c r="B35" s="9">
        <v>500</v>
      </c>
      <c r="C35" s="9">
        <v>14</v>
      </c>
      <c r="D35" s="32">
        <v>1.01</v>
      </c>
      <c r="E35" s="9">
        <v>503</v>
      </c>
      <c r="F35" s="32">
        <v>0.06</v>
      </c>
      <c r="G35" s="9">
        <v>5250</v>
      </c>
      <c r="H35" s="47">
        <v>181.159420289855</v>
      </c>
      <c r="I35" s="47">
        <v>2415.45893719807</v>
      </c>
    </row>
    <row r="36" spans="1:9">
      <c r="A36" s="9">
        <v>1</v>
      </c>
      <c r="B36" s="9">
        <v>500</v>
      </c>
      <c r="C36" s="9">
        <v>16</v>
      </c>
      <c r="D36" s="32">
        <v>1</v>
      </c>
      <c r="E36" s="9">
        <v>502</v>
      </c>
      <c r="F36" s="32">
        <v>0.04</v>
      </c>
      <c r="G36" s="9">
        <v>5250</v>
      </c>
      <c r="H36" s="47">
        <v>208.333333333333</v>
      </c>
      <c r="I36" s="47">
        <v>2777.77777777778</v>
      </c>
    </row>
    <row r="37" spans="1:9">
      <c r="A37" s="9">
        <v>1</v>
      </c>
      <c r="B37" s="9">
        <v>500</v>
      </c>
      <c r="C37" s="9">
        <v>20</v>
      </c>
      <c r="D37" s="32">
        <v>1.05</v>
      </c>
      <c r="E37" s="9">
        <v>505</v>
      </c>
      <c r="F37" s="32">
        <v>0</v>
      </c>
      <c r="G37" s="9">
        <v>5350</v>
      </c>
      <c r="H37" s="47">
        <v>267.857142857143</v>
      </c>
      <c r="I37" s="47">
        <v>3571.42857142857</v>
      </c>
    </row>
    <row r="38" spans="1:9">
      <c r="A38" s="11">
        <v>2</v>
      </c>
      <c r="B38" s="11">
        <v>500</v>
      </c>
      <c r="C38" s="11">
        <v>10</v>
      </c>
      <c r="D38" s="33">
        <v>2.03</v>
      </c>
      <c r="E38" s="11">
        <v>503</v>
      </c>
      <c r="F38" s="33">
        <v>0</v>
      </c>
      <c r="G38" s="11">
        <v>5250</v>
      </c>
      <c r="H38" s="51">
        <v>197.368421052632</v>
      </c>
      <c r="I38" s="51">
        <v>2631.57894736842</v>
      </c>
    </row>
    <row r="39" spans="1:9">
      <c r="A39" s="11">
        <v>2</v>
      </c>
      <c r="B39" s="11">
        <v>500</v>
      </c>
      <c r="C39" s="11">
        <v>12</v>
      </c>
      <c r="D39" s="33">
        <v>2.01</v>
      </c>
      <c r="E39" s="11">
        <v>501</v>
      </c>
      <c r="F39" s="33">
        <f>(1633487-1666166.8)*2/1000000</f>
        <v>-0.0653596000000001</v>
      </c>
      <c r="G39" s="11">
        <v>5250</v>
      </c>
      <c r="H39" s="51">
        <v>240.384615384615</v>
      </c>
      <c r="I39" s="51">
        <v>3205.12820512821</v>
      </c>
    </row>
    <row r="40" spans="1:9">
      <c r="A40" s="11">
        <v>2</v>
      </c>
      <c r="B40" s="11">
        <v>500</v>
      </c>
      <c r="C40" s="11">
        <v>14</v>
      </c>
      <c r="D40" s="33">
        <v>2</v>
      </c>
      <c r="E40" s="11">
        <v>500</v>
      </c>
      <c r="F40" s="33">
        <f>(1381988.4-1428071.5)*2/1000000</f>
        <v>-0.0921662000000002</v>
      </c>
      <c r="G40" s="11">
        <v>5350</v>
      </c>
      <c r="H40" s="51">
        <v>290.697674418605</v>
      </c>
      <c r="I40" s="51">
        <v>3875.96899224806</v>
      </c>
    </row>
    <row r="41" spans="1:9">
      <c r="A41" s="11">
        <v>2</v>
      </c>
      <c r="B41" s="11">
        <v>500</v>
      </c>
      <c r="C41" s="11">
        <v>16</v>
      </c>
      <c r="D41" s="33">
        <v>2</v>
      </c>
      <c r="E41" s="11">
        <v>504</v>
      </c>
      <c r="F41" s="33">
        <f>(1197583.1-1249500)*2/1000000</f>
        <v>-0.1038338</v>
      </c>
      <c r="G41" s="11">
        <v>5480</v>
      </c>
      <c r="H41" s="51">
        <v>344.036697247706</v>
      </c>
      <c r="I41" s="51">
        <v>4587.15596330275</v>
      </c>
    </row>
    <row r="42" spans="1:9">
      <c r="A42" s="11">
        <v>2</v>
      </c>
      <c r="B42" s="11">
        <v>500</v>
      </c>
      <c r="C42" s="11">
        <v>20</v>
      </c>
      <c r="D42" s="33">
        <v>2.02</v>
      </c>
      <c r="E42" s="11">
        <v>500</v>
      </c>
      <c r="F42" s="33">
        <f>(937000-999500)*2/1000000</f>
        <v>-0.125</v>
      </c>
      <c r="G42" s="11">
        <v>5650</v>
      </c>
      <c r="H42" s="51">
        <v>451.807228915663</v>
      </c>
      <c r="I42" s="51">
        <v>6024.09638554217</v>
      </c>
    </row>
    <row r="43" spans="1:9">
      <c r="A43" s="9">
        <v>3</v>
      </c>
      <c r="B43" s="9">
        <v>500</v>
      </c>
      <c r="C43" s="9">
        <v>10</v>
      </c>
      <c r="D43" s="32">
        <v>2.99</v>
      </c>
      <c r="E43" s="9">
        <v>501</v>
      </c>
      <c r="F43" s="32">
        <f>(1462914.5-1499500)*2/1000000</f>
        <v>-0.073171</v>
      </c>
      <c r="G43" s="9">
        <v>5300</v>
      </c>
      <c r="H43" s="47">
        <v>271.739130434783</v>
      </c>
      <c r="I43" s="47">
        <v>3623.1884057971</v>
      </c>
    </row>
    <row r="44" spans="1:9">
      <c r="A44" s="9">
        <v>3</v>
      </c>
      <c r="B44" s="9">
        <v>500</v>
      </c>
      <c r="C44" s="9">
        <v>12</v>
      </c>
      <c r="D44" s="32">
        <v>3</v>
      </c>
      <c r="E44" s="9">
        <v>499</v>
      </c>
      <c r="F44" s="32">
        <f>(1195672.4-1249500)*2/1000000</f>
        <v>-0.1076552</v>
      </c>
      <c r="G44" s="9">
        <v>5410</v>
      </c>
      <c r="H44" s="47">
        <v>337.837837837838</v>
      </c>
      <c r="I44" s="47">
        <v>4504.5045045045</v>
      </c>
    </row>
    <row r="45" spans="1:9">
      <c r="A45" s="9">
        <v>3</v>
      </c>
      <c r="B45" s="9">
        <v>500</v>
      </c>
      <c r="C45" s="9">
        <v>14</v>
      </c>
      <c r="D45" s="32">
        <v>3.04</v>
      </c>
      <c r="E45" s="9">
        <v>501</v>
      </c>
      <c r="F45" s="32">
        <f>(996177.75-1070928.6)*2/1000000</f>
        <v>-0.1495017</v>
      </c>
      <c r="G45" s="9">
        <v>5600</v>
      </c>
      <c r="H45" s="47">
        <v>421.348314606742</v>
      </c>
      <c r="I45" s="47">
        <v>5617.97752808989</v>
      </c>
    </row>
    <row r="46" spans="1:9">
      <c r="A46" s="9">
        <v>3</v>
      </c>
      <c r="B46" s="9">
        <v>500</v>
      </c>
      <c r="C46" s="9">
        <v>16</v>
      </c>
      <c r="D46" s="32">
        <v>3.02</v>
      </c>
      <c r="E46" s="9">
        <v>505</v>
      </c>
      <c r="F46" s="32">
        <f>(871593-937000)/500000</f>
        <v>-0.130814</v>
      </c>
      <c r="G46" s="9">
        <v>5900</v>
      </c>
      <c r="H46" s="47">
        <v>506.756756756757</v>
      </c>
      <c r="I46" s="47">
        <v>6756.75675675676</v>
      </c>
    </row>
    <row r="47" spans="1:9">
      <c r="A47" s="9">
        <v>3</v>
      </c>
      <c r="B47" s="9">
        <v>500</v>
      </c>
      <c r="C47" s="15">
        <v>20</v>
      </c>
      <c r="D47" s="36">
        <v>2.98</v>
      </c>
      <c r="E47" s="15">
        <v>505</v>
      </c>
      <c r="F47" s="36">
        <f>(624500-749500)/500000</f>
        <v>-0.25</v>
      </c>
      <c r="G47" s="15">
        <v>5900</v>
      </c>
      <c r="H47" s="47">
        <v>707.547169811321</v>
      </c>
      <c r="I47" s="47">
        <v>9433.96226415094</v>
      </c>
    </row>
    <row r="48" spans="1:9">
      <c r="A48" s="12">
        <v>1</v>
      </c>
      <c r="B48" s="12">
        <v>600</v>
      </c>
      <c r="C48" s="12">
        <v>10</v>
      </c>
      <c r="D48" s="34">
        <f>1/1.01</f>
        <v>0.99009900990099</v>
      </c>
      <c r="E48" s="12">
        <v>602</v>
      </c>
      <c r="F48" s="34">
        <v>0.11</v>
      </c>
      <c r="G48" s="12">
        <v>5960</v>
      </c>
      <c r="H48" s="49">
        <v>146.484375</v>
      </c>
      <c r="I48" s="49">
        <v>1953.125</v>
      </c>
    </row>
    <row r="49" spans="1:9">
      <c r="A49" s="12">
        <v>1</v>
      </c>
      <c r="B49" s="12">
        <v>600</v>
      </c>
      <c r="C49" s="12">
        <v>12</v>
      </c>
      <c r="D49" s="34">
        <f>D48</f>
        <v>0.99009900990099</v>
      </c>
      <c r="E49" s="12">
        <v>606</v>
      </c>
      <c r="F49" s="34">
        <v>0.09</v>
      </c>
      <c r="G49" s="12">
        <v>5850</v>
      </c>
      <c r="H49" s="49">
        <v>172.811059907834</v>
      </c>
      <c r="I49" s="49">
        <v>2304.14746543779</v>
      </c>
    </row>
    <row r="50" spans="1:9">
      <c r="A50" s="12">
        <v>1</v>
      </c>
      <c r="B50" s="12">
        <v>600</v>
      </c>
      <c r="C50" s="12">
        <v>14</v>
      </c>
      <c r="D50" s="34">
        <f>1</f>
        <v>1</v>
      </c>
      <c r="E50" s="12">
        <v>603</v>
      </c>
      <c r="F50" s="34">
        <v>0.08</v>
      </c>
      <c r="G50" s="12">
        <v>5850</v>
      </c>
      <c r="H50" s="49">
        <v>200.534759358289</v>
      </c>
      <c r="I50" s="49">
        <v>2673.79679144385</v>
      </c>
    </row>
    <row r="51" spans="1:9">
      <c r="A51" s="12">
        <v>1</v>
      </c>
      <c r="B51" s="12">
        <v>600</v>
      </c>
      <c r="C51" s="12">
        <v>16</v>
      </c>
      <c r="D51" s="34">
        <v>1.01</v>
      </c>
      <c r="E51" s="12">
        <v>606</v>
      </c>
      <c r="F51" s="34">
        <v>0</v>
      </c>
      <c r="G51" s="12">
        <v>5850</v>
      </c>
      <c r="H51" s="49">
        <v>234.375</v>
      </c>
      <c r="I51" s="49">
        <v>3125</v>
      </c>
    </row>
    <row r="52" spans="1:9">
      <c r="A52" s="12">
        <v>1</v>
      </c>
      <c r="B52" s="12">
        <v>600</v>
      </c>
      <c r="C52" s="12">
        <v>20</v>
      </c>
      <c r="D52" s="34">
        <v>1.06</v>
      </c>
      <c r="E52" s="12">
        <v>601</v>
      </c>
      <c r="F52" s="34">
        <v>0.03</v>
      </c>
      <c r="G52" s="12">
        <v>6000</v>
      </c>
      <c r="H52" s="49">
        <v>297.619047619048</v>
      </c>
      <c r="I52" s="49">
        <v>3968.25396825397</v>
      </c>
    </row>
    <row r="53" spans="1:9">
      <c r="A53" s="13">
        <v>2</v>
      </c>
      <c r="B53" s="13">
        <v>600</v>
      </c>
      <c r="C53" s="13">
        <v>10</v>
      </c>
      <c r="D53" s="37">
        <v>1.98</v>
      </c>
      <c r="E53" s="13">
        <v>602</v>
      </c>
      <c r="F53" s="37">
        <v>0</v>
      </c>
      <c r="G53" s="13">
        <v>5850</v>
      </c>
      <c r="H53" s="50">
        <v>219.298245614035</v>
      </c>
      <c r="I53" s="50">
        <v>2923.97660818713</v>
      </c>
    </row>
    <row r="54" spans="1:9">
      <c r="A54" s="13">
        <v>2</v>
      </c>
      <c r="B54" s="13">
        <v>600</v>
      </c>
      <c r="C54" s="13">
        <v>12</v>
      </c>
      <c r="D54" s="37">
        <v>2</v>
      </c>
      <c r="E54" s="13">
        <v>600</v>
      </c>
      <c r="F54" s="37">
        <v>-0.06</v>
      </c>
      <c r="G54" s="13">
        <v>5900</v>
      </c>
      <c r="H54" s="50">
        <v>269.78417266187</v>
      </c>
      <c r="I54" s="50">
        <v>3597.12230215827</v>
      </c>
    </row>
    <row r="55" spans="1:9">
      <c r="A55" s="13">
        <v>2</v>
      </c>
      <c r="B55" s="13">
        <v>600</v>
      </c>
      <c r="C55" s="13">
        <v>14</v>
      </c>
      <c r="D55" s="37">
        <v>1.99</v>
      </c>
      <c r="E55" s="13">
        <v>601</v>
      </c>
      <c r="F55" s="37">
        <v>-0.08</v>
      </c>
      <c r="G55" s="13">
        <v>6000</v>
      </c>
      <c r="H55" s="50">
        <v>323.275862068965</v>
      </c>
      <c r="I55" s="50">
        <v>4310.34482758621</v>
      </c>
    </row>
    <row r="56" spans="1:9">
      <c r="A56" s="13">
        <v>2</v>
      </c>
      <c r="B56" s="13">
        <v>600</v>
      </c>
      <c r="C56" s="13">
        <v>16</v>
      </c>
      <c r="D56" s="37">
        <v>2</v>
      </c>
      <c r="E56" s="13">
        <v>598</v>
      </c>
      <c r="F56" s="37">
        <v>-0.11</v>
      </c>
      <c r="G56" s="13">
        <v>6100</v>
      </c>
      <c r="H56" s="50">
        <v>382.65306122449</v>
      </c>
      <c r="I56" s="50">
        <v>5102.04081632653</v>
      </c>
    </row>
    <row r="57" spans="1:9">
      <c r="A57" s="13">
        <v>2</v>
      </c>
      <c r="B57" s="13">
        <v>600</v>
      </c>
      <c r="C57" s="16">
        <v>20</v>
      </c>
      <c r="D57" s="38">
        <v>2.01</v>
      </c>
      <c r="E57" s="17">
        <v>604</v>
      </c>
      <c r="F57" s="38">
        <v>-0.15</v>
      </c>
      <c r="G57" s="17">
        <v>6350</v>
      </c>
      <c r="H57" s="50">
        <v>513.698630136986</v>
      </c>
      <c r="I57" s="50">
        <v>6849.31506849315</v>
      </c>
    </row>
    <row r="58" spans="1:9">
      <c r="A58" s="12">
        <v>3</v>
      </c>
      <c r="B58" s="12">
        <v>600</v>
      </c>
      <c r="C58" s="12">
        <v>10</v>
      </c>
      <c r="D58" s="34">
        <v>2.98</v>
      </c>
      <c r="E58" s="12">
        <v>604</v>
      </c>
      <c r="F58" s="34">
        <f>(1462914.5-1499500)/500000</f>
        <v>-0.073171</v>
      </c>
      <c r="G58" s="12">
        <v>6000</v>
      </c>
      <c r="H58" s="49">
        <v>307.377049180328</v>
      </c>
      <c r="I58" s="49">
        <v>4098.36065573771</v>
      </c>
    </row>
    <row r="59" spans="1:9">
      <c r="A59" s="12">
        <v>3</v>
      </c>
      <c r="B59" s="12">
        <v>600</v>
      </c>
      <c r="C59" s="12">
        <v>12</v>
      </c>
      <c r="D59" s="34">
        <v>3.02</v>
      </c>
      <c r="E59" s="12">
        <v>596</v>
      </c>
      <c r="F59" s="34">
        <f>(1189976.4-1249500)/500000</f>
        <v>-0.1190472</v>
      </c>
      <c r="G59" s="12">
        <v>6150</v>
      </c>
      <c r="H59" s="49">
        <v>386.59793814433</v>
      </c>
      <c r="I59" s="49">
        <v>5154.63917525773</v>
      </c>
    </row>
    <row r="60" spans="1:9">
      <c r="A60" s="12">
        <v>3</v>
      </c>
      <c r="B60" s="12">
        <v>600</v>
      </c>
      <c r="C60" s="18">
        <v>14</v>
      </c>
      <c r="D60" s="39">
        <v>2.98</v>
      </c>
      <c r="E60" s="18">
        <v>606</v>
      </c>
      <c r="F60" s="39">
        <f>(1007903.4-1070928.6)/500000</f>
        <v>-0.1260504</v>
      </c>
      <c r="G60" s="18">
        <v>6300</v>
      </c>
      <c r="H60" s="49">
        <v>468.75</v>
      </c>
      <c r="I60" s="49">
        <v>6250</v>
      </c>
    </row>
    <row r="61" spans="1:9">
      <c r="A61" s="12">
        <v>3</v>
      </c>
      <c r="B61" s="12">
        <v>600</v>
      </c>
      <c r="C61" s="18">
        <v>16</v>
      </c>
      <c r="D61" s="40">
        <v>2.94</v>
      </c>
      <c r="E61" s="19">
        <v>599</v>
      </c>
      <c r="F61" s="40">
        <f>(851772.69-937000)/500000</f>
        <v>-0.17045462</v>
      </c>
      <c r="G61" s="19">
        <v>6350</v>
      </c>
      <c r="H61" s="49">
        <v>559.701492537313</v>
      </c>
      <c r="I61" s="49">
        <v>7462.68656716418</v>
      </c>
    </row>
    <row r="62" spans="1:9">
      <c r="A62" s="12">
        <v>3</v>
      </c>
      <c r="B62" s="12">
        <v>600</v>
      </c>
      <c r="C62" s="18">
        <v>20</v>
      </c>
      <c r="D62" s="40">
        <v>3</v>
      </c>
      <c r="E62" s="19">
        <v>577</v>
      </c>
      <c r="F62" s="40">
        <f>(599500-749500)/500000</f>
        <v>-0.3</v>
      </c>
      <c r="G62" s="19">
        <v>6450</v>
      </c>
      <c r="H62" s="49">
        <v>815.217391304348</v>
      </c>
      <c r="I62" s="49">
        <v>10869.5652173913</v>
      </c>
    </row>
  </sheetData>
  <mergeCells count="4">
    <mergeCell ref="A1:C1"/>
    <mergeCell ref="D1:E1"/>
    <mergeCell ref="F1:G1"/>
    <mergeCell ref="H1:I1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2"/>
  <sheetViews>
    <sheetView workbookViewId="0">
      <selection activeCell="G11" sqref="G11"/>
    </sheetView>
  </sheetViews>
  <sheetFormatPr defaultColWidth="8.8" defaultRowHeight="12.75"/>
  <cols>
    <col min="3" max="4" width="12.5"/>
    <col min="6" max="7" width="12.5"/>
    <col min="9" max="9" width="12.5"/>
    <col min="14" max="14" width="12.5"/>
    <col min="15" max="15" width="15.8"/>
    <col min="16" max="16" width="12.5"/>
  </cols>
  <sheetData>
    <row r="1" spans="1:12">
      <c r="A1" s="1" t="s">
        <v>0</v>
      </c>
      <c r="B1" s="2"/>
      <c r="C1" s="3"/>
      <c r="D1" s="4" t="s">
        <v>1</v>
      </c>
      <c r="E1" s="20"/>
      <c r="F1" s="21" t="s">
        <v>13</v>
      </c>
      <c r="G1" s="22"/>
      <c r="H1" s="23" t="s">
        <v>14</v>
      </c>
      <c r="I1" s="26"/>
      <c r="J1" s="27"/>
      <c r="K1" s="27"/>
      <c r="L1" s="27"/>
    </row>
    <row r="2" spans="1:20">
      <c r="A2" s="5" t="s">
        <v>4</v>
      </c>
      <c r="B2" s="6" t="s">
        <v>5</v>
      </c>
      <c r="C2" s="7" t="s">
        <v>6</v>
      </c>
      <c r="D2" s="8" t="s">
        <v>7</v>
      </c>
      <c r="E2" s="24" t="s">
        <v>8</v>
      </c>
      <c r="F2" s="25" t="s">
        <v>9</v>
      </c>
      <c r="G2" s="25" t="s">
        <v>10</v>
      </c>
      <c r="H2" s="6" t="s">
        <v>15</v>
      </c>
      <c r="I2" s="28" t="s">
        <v>16</v>
      </c>
      <c r="J2" s="8" t="s">
        <v>17</v>
      </c>
      <c r="K2" s="28" t="s">
        <v>18</v>
      </c>
      <c r="L2" s="8" t="s">
        <v>19</v>
      </c>
      <c r="M2" s="29"/>
      <c r="N2" s="30" t="s">
        <v>11</v>
      </c>
      <c r="O2" s="30" t="s">
        <v>20</v>
      </c>
      <c r="P2" t="s">
        <v>21</v>
      </c>
      <c r="S2" t="s">
        <v>22</v>
      </c>
      <c r="T2">
        <v>800</v>
      </c>
    </row>
    <row r="3" spans="1:21">
      <c r="A3" s="9">
        <v>1</v>
      </c>
      <c r="B3" s="9">
        <v>300</v>
      </c>
      <c r="C3" s="10">
        <v>10</v>
      </c>
      <c r="D3" s="9">
        <v>1</v>
      </c>
      <c r="E3" s="9">
        <v>300</v>
      </c>
      <c r="F3" s="9">
        <v>0.21</v>
      </c>
      <c r="G3" s="9">
        <v>4500</v>
      </c>
      <c r="H3" s="9">
        <f t="shared" ref="H3:H62" si="0">60/C3</f>
        <v>6</v>
      </c>
      <c r="I3" s="9">
        <f>H3/(1+D3)</f>
        <v>3</v>
      </c>
      <c r="J3" s="9">
        <f t="shared" ref="J3:J62" si="1">I3*D3</f>
        <v>3</v>
      </c>
      <c r="K3" s="9">
        <f t="shared" ref="K3:K62" si="2">J3-I3*A3</f>
        <v>0</v>
      </c>
      <c r="L3" s="9">
        <f t="shared" ref="L3:L62" si="3">E3-B3</f>
        <v>0</v>
      </c>
      <c r="N3">
        <f>O3/$T$2*60</f>
        <v>108.695652173913</v>
      </c>
      <c r="O3" s="31">
        <f>1000000/P3</f>
        <v>1449.27536231884</v>
      </c>
      <c r="P3">
        <f>ROUND((H3/(A3+1)-0.5/1000+F3/2)/G3/2*1000000,0)*2</f>
        <v>690</v>
      </c>
      <c r="S3" t="s">
        <v>23</v>
      </c>
      <c r="T3">
        <v>8</v>
      </c>
      <c r="U3" t="s">
        <v>24</v>
      </c>
    </row>
    <row r="4" spans="1:20">
      <c r="A4" s="9">
        <v>1</v>
      </c>
      <c r="B4" s="9">
        <v>300</v>
      </c>
      <c r="C4" s="9">
        <v>12</v>
      </c>
      <c r="D4" s="9">
        <v>1.02</v>
      </c>
      <c r="E4" s="9">
        <v>300</v>
      </c>
      <c r="F4" s="9">
        <v>0.17</v>
      </c>
      <c r="G4" s="9">
        <v>4300</v>
      </c>
      <c r="H4" s="9">
        <f t="shared" si="0"/>
        <v>5</v>
      </c>
      <c r="I4" s="9">
        <f t="shared" ref="I3:I62" si="4">H4/(1+D4)</f>
        <v>2.47524752475248</v>
      </c>
      <c r="J4" s="9">
        <f t="shared" si="1"/>
        <v>2.52475247524752</v>
      </c>
      <c r="K4" s="9">
        <f t="shared" si="2"/>
        <v>0.0495049504950495</v>
      </c>
      <c r="L4" s="9">
        <f t="shared" si="3"/>
        <v>0</v>
      </c>
      <c r="N4">
        <f t="shared" ref="N4:N35" si="5">O4/$T$2*60</f>
        <v>124.584717607973</v>
      </c>
      <c r="O4" s="31">
        <f t="shared" ref="O4:O35" si="6">1000000/P4</f>
        <v>1661.12956810631</v>
      </c>
      <c r="P4">
        <f t="shared" ref="P4:P35" si="7">ROUND((H4/(A4+1)-0.5/1000+F4/2)/G4/2*1000000,0)*2</f>
        <v>602</v>
      </c>
      <c r="S4" t="s">
        <v>25</v>
      </c>
      <c r="T4">
        <v>2</v>
      </c>
    </row>
    <row r="5" spans="1:21">
      <c r="A5" s="9">
        <v>1</v>
      </c>
      <c r="B5" s="9">
        <v>300</v>
      </c>
      <c r="C5" s="9">
        <v>14</v>
      </c>
      <c r="D5" s="9">
        <v>1.01</v>
      </c>
      <c r="E5" s="9">
        <v>303</v>
      </c>
      <c r="F5" s="9">
        <v>0.14</v>
      </c>
      <c r="G5" s="9">
        <v>4150</v>
      </c>
      <c r="H5" s="9">
        <f t="shared" si="0"/>
        <v>4.28571428571429</v>
      </c>
      <c r="I5" s="9">
        <f t="shared" si="4"/>
        <v>2.13219616204691</v>
      </c>
      <c r="J5" s="9">
        <f t="shared" si="1"/>
        <v>2.15351812366738</v>
      </c>
      <c r="K5" s="9">
        <f t="shared" si="2"/>
        <v>0.021321961620469</v>
      </c>
      <c r="L5" s="9">
        <f t="shared" si="3"/>
        <v>3</v>
      </c>
      <c r="N5">
        <f t="shared" si="5"/>
        <v>140.449438202247</v>
      </c>
      <c r="O5" s="31">
        <f t="shared" si="6"/>
        <v>1872.65917602996</v>
      </c>
      <c r="P5">
        <f t="shared" si="7"/>
        <v>534</v>
      </c>
      <c r="S5" t="s">
        <v>26</v>
      </c>
      <c r="T5">
        <f>T4*T3</f>
        <v>16</v>
      </c>
      <c r="U5" t="s">
        <v>24</v>
      </c>
    </row>
    <row r="6" spans="1:16">
      <c r="A6" s="9">
        <v>1</v>
      </c>
      <c r="B6" s="9">
        <v>300</v>
      </c>
      <c r="C6" s="9">
        <v>16</v>
      </c>
      <c r="D6" s="9">
        <v>1.01</v>
      </c>
      <c r="E6" s="9">
        <v>304</v>
      </c>
      <c r="F6" s="9">
        <v>0.1</v>
      </c>
      <c r="G6" s="9">
        <v>4000</v>
      </c>
      <c r="H6" s="9">
        <f t="shared" si="0"/>
        <v>3.75</v>
      </c>
      <c r="I6" s="9">
        <f t="shared" si="4"/>
        <v>1.86567164179105</v>
      </c>
      <c r="J6" s="9">
        <f t="shared" si="1"/>
        <v>1.88432835820896</v>
      </c>
      <c r="K6" s="9">
        <f t="shared" si="2"/>
        <v>0.0186567164179106</v>
      </c>
      <c r="L6" s="9">
        <f t="shared" si="3"/>
        <v>4</v>
      </c>
      <c r="N6">
        <f t="shared" si="5"/>
        <v>155.601659751037</v>
      </c>
      <c r="O6" s="31">
        <f t="shared" si="6"/>
        <v>2074.6887966805</v>
      </c>
      <c r="P6">
        <f t="shared" si="7"/>
        <v>482</v>
      </c>
    </row>
    <row r="7" spans="1:16">
      <c r="A7" s="9">
        <v>1</v>
      </c>
      <c r="B7" s="9">
        <v>300</v>
      </c>
      <c r="C7" s="9">
        <v>20</v>
      </c>
      <c r="D7" s="9">
        <v>1.02</v>
      </c>
      <c r="E7" s="9">
        <v>305</v>
      </c>
      <c r="F7" s="9">
        <v>0.03</v>
      </c>
      <c r="G7" s="9">
        <v>3900</v>
      </c>
      <c r="H7" s="9">
        <f t="shared" si="0"/>
        <v>3</v>
      </c>
      <c r="I7" s="9">
        <f t="shared" si="4"/>
        <v>1.48514851485149</v>
      </c>
      <c r="J7" s="9">
        <f t="shared" si="1"/>
        <v>1.51485148514851</v>
      </c>
      <c r="K7" s="9">
        <f t="shared" si="2"/>
        <v>0.0297029702970297</v>
      </c>
      <c r="L7" s="9">
        <f t="shared" si="3"/>
        <v>5</v>
      </c>
      <c r="N7">
        <f t="shared" si="5"/>
        <v>193.298969072165</v>
      </c>
      <c r="O7" s="31">
        <f t="shared" si="6"/>
        <v>2577.31958762887</v>
      </c>
      <c r="P7">
        <f t="shared" si="7"/>
        <v>388</v>
      </c>
    </row>
    <row r="8" spans="1:16">
      <c r="A8" s="11">
        <v>2</v>
      </c>
      <c r="B8" s="11">
        <v>300</v>
      </c>
      <c r="C8" s="11">
        <v>10</v>
      </c>
      <c r="D8" s="11">
        <v>2.02</v>
      </c>
      <c r="E8" s="11">
        <v>302</v>
      </c>
      <c r="F8" s="11">
        <v>0.08</v>
      </c>
      <c r="G8" s="11">
        <v>4050</v>
      </c>
      <c r="H8" s="11">
        <f t="shared" si="0"/>
        <v>6</v>
      </c>
      <c r="I8" s="11">
        <f t="shared" si="4"/>
        <v>1.98675496688742</v>
      </c>
      <c r="J8" s="11">
        <f t="shared" si="1"/>
        <v>4.01324503311258</v>
      </c>
      <c r="K8" s="11">
        <f t="shared" si="2"/>
        <v>0.0397350993377481</v>
      </c>
      <c r="L8" s="11">
        <f t="shared" si="3"/>
        <v>2</v>
      </c>
      <c r="N8">
        <f t="shared" si="5"/>
        <v>148.809523809524</v>
      </c>
      <c r="O8" s="31">
        <f t="shared" si="6"/>
        <v>1984.12698412698</v>
      </c>
      <c r="P8">
        <f t="shared" si="7"/>
        <v>504</v>
      </c>
    </row>
    <row r="9" spans="1:16">
      <c r="A9" s="11">
        <v>2</v>
      </c>
      <c r="B9" s="11">
        <v>300</v>
      </c>
      <c r="C9" s="11">
        <v>12</v>
      </c>
      <c r="D9" s="11">
        <v>2.02</v>
      </c>
      <c r="E9" s="11">
        <v>303</v>
      </c>
      <c r="F9" s="11">
        <v>0.05</v>
      </c>
      <c r="G9" s="11">
        <v>3900</v>
      </c>
      <c r="H9" s="11">
        <f t="shared" si="0"/>
        <v>5</v>
      </c>
      <c r="I9" s="11">
        <f t="shared" si="4"/>
        <v>1.65562913907285</v>
      </c>
      <c r="J9" s="11">
        <f t="shared" si="1"/>
        <v>3.34437086092715</v>
      </c>
      <c r="K9" s="11">
        <f t="shared" si="2"/>
        <v>0.0331125827814569</v>
      </c>
      <c r="L9" s="11">
        <f t="shared" si="3"/>
        <v>3</v>
      </c>
      <c r="N9">
        <f t="shared" si="5"/>
        <v>172.811059907834</v>
      </c>
      <c r="O9" s="31">
        <f t="shared" si="6"/>
        <v>2304.14746543779</v>
      </c>
      <c r="P9">
        <f t="shared" si="7"/>
        <v>434</v>
      </c>
    </row>
    <row r="10" spans="1:16">
      <c r="A10" s="11">
        <v>2</v>
      </c>
      <c r="B10" s="11">
        <v>300</v>
      </c>
      <c r="C10" s="11">
        <v>14</v>
      </c>
      <c r="D10" s="11">
        <v>2</v>
      </c>
      <c r="E10" s="11">
        <v>302</v>
      </c>
      <c r="F10" s="11">
        <v>0.01</v>
      </c>
      <c r="G10" s="11">
        <v>3870</v>
      </c>
      <c r="H10" s="11">
        <f t="shared" si="0"/>
        <v>4.28571428571429</v>
      </c>
      <c r="I10" s="11">
        <f t="shared" si="4"/>
        <v>1.42857142857143</v>
      </c>
      <c r="J10" s="11">
        <f t="shared" si="1"/>
        <v>2.85714285714286</v>
      </c>
      <c r="K10" s="11">
        <f t="shared" si="2"/>
        <v>0</v>
      </c>
      <c r="L10" s="11">
        <f t="shared" si="3"/>
        <v>2</v>
      </c>
      <c r="N10">
        <f t="shared" si="5"/>
        <v>202.702702702703</v>
      </c>
      <c r="O10" s="31">
        <f t="shared" si="6"/>
        <v>2702.7027027027</v>
      </c>
      <c r="P10">
        <f t="shared" si="7"/>
        <v>370</v>
      </c>
    </row>
    <row r="11" spans="1:16">
      <c r="A11" s="11">
        <v>2</v>
      </c>
      <c r="B11" s="11">
        <v>300</v>
      </c>
      <c r="C11" s="11">
        <v>16</v>
      </c>
      <c r="D11" s="11">
        <v>1.99</v>
      </c>
      <c r="E11" s="11">
        <v>300</v>
      </c>
      <c r="F11" s="11">
        <v>-0.03</v>
      </c>
      <c r="G11" s="11">
        <v>3820</v>
      </c>
      <c r="H11" s="11">
        <f t="shared" si="0"/>
        <v>3.75</v>
      </c>
      <c r="I11" s="11">
        <f t="shared" si="4"/>
        <v>1.25418060200669</v>
      </c>
      <c r="J11" s="11">
        <f t="shared" si="1"/>
        <v>2.49581939799331</v>
      </c>
      <c r="K11" s="11">
        <f t="shared" si="2"/>
        <v>-0.0125418060200668</v>
      </c>
      <c r="L11" s="11">
        <f t="shared" si="3"/>
        <v>0</v>
      </c>
      <c r="N11">
        <f t="shared" si="5"/>
        <v>231.481481481481</v>
      </c>
      <c r="O11" s="31">
        <f t="shared" si="6"/>
        <v>3086.41975308642</v>
      </c>
      <c r="P11">
        <f t="shared" si="7"/>
        <v>324</v>
      </c>
    </row>
    <row r="12" spans="1:16">
      <c r="A12" s="11">
        <v>2</v>
      </c>
      <c r="B12" s="11">
        <v>300</v>
      </c>
      <c r="C12" s="11">
        <v>20</v>
      </c>
      <c r="D12" s="11">
        <v>2.03</v>
      </c>
      <c r="E12" s="11">
        <v>301</v>
      </c>
      <c r="F12" s="11">
        <v>-0.1</v>
      </c>
      <c r="G12" s="11">
        <v>3890</v>
      </c>
      <c r="H12" s="11">
        <f t="shared" si="0"/>
        <v>3</v>
      </c>
      <c r="I12" s="11">
        <f t="shared" si="4"/>
        <v>0.99009900990099</v>
      </c>
      <c r="J12" s="11">
        <f t="shared" si="1"/>
        <v>2.00990099009901</v>
      </c>
      <c r="K12" s="11">
        <f t="shared" si="2"/>
        <v>0.0297029702970295</v>
      </c>
      <c r="L12" s="11">
        <f t="shared" si="3"/>
        <v>1</v>
      </c>
      <c r="N12">
        <f t="shared" si="5"/>
        <v>307.377049180328</v>
      </c>
      <c r="O12" s="31">
        <f t="shared" si="6"/>
        <v>4098.36065573771</v>
      </c>
      <c r="P12">
        <f t="shared" si="7"/>
        <v>244</v>
      </c>
    </row>
    <row r="13" spans="1:16">
      <c r="A13" s="9">
        <v>3</v>
      </c>
      <c r="B13" s="9">
        <v>300</v>
      </c>
      <c r="C13" s="9">
        <v>10</v>
      </c>
      <c r="D13" s="9">
        <v>3.03</v>
      </c>
      <c r="E13" s="9">
        <v>303</v>
      </c>
      <c r="F13" s="9">
        <v>-0.04</v>
      </c>
      <c r="G13" s="9">
        <v>3850</v>
      </c>
      <c r="H13" s="9">
        <f t="shared" si="0"/>
        <v>6</v>
      </c>
      <c r="I13" s="9">
        <f t="shared" si="4"/>
        <v>1.48883374689826</v>
      </c>
      <c r="J13" s="9">
        <f t="shared" si="1"/>
        <v>4.51116625310174</v>
      </c>
      <c r="K13" s="9">
        <f t="shared" si="2"/>
        <v>0.0446650124069476</v>
      </c>
      <c r="L13" s="9">
        <f t="shared" si="3"/>
        <v>3</v>
      </c>
      <c r="N13">
        <f t="shared" si="5"/>
        <v>195.3125</v>
      </c>
      <c r="O13" s="31">
        <f t="shared" si="6"/>
        <v>2604.16666666667</v>
      </c>
      <c r="P13">
        <f t="shared" si="7"/>
        <v>384</v>
      </c>
    </row>
    <row r="14" spans="1:16">
      <c r="A14" s="9">
        <v>3</v>
      </c>
      <c r="B14" s="9">
        <v>300</v>
      </c>
      <c r="C14" s="9">
        <v>12</v>
      </c>
      <c r="D14" s="9">
        <v>3.04</v>
      </c>
      <c r="E14" s="9">
        <v>304</v>
      </c>
      <c r="F14" s="9">
        <v>-0.08</v>
      </c>
      <c r="G14" s="9">
        <v>3850</v>
      </c>
      <c r="H14" s="9">
        <f t="shared" si="0"/>
        <v>5</v>
      </c>
      <c r="I14" s="9">
        <f t="shared" si="4"/>
        <v>1.23762376237624</v>
      </c>
      <c r="J14" s="9">
        <f t="shared" si="1"/>
        <v>3.76237623762376</v>
      </c>
      <c r="K14" s="9">
        <f t="shared" si="2"/>
        <v>0.0495049504950495</v>
      </c>
      <c r="L14" s="9">
        <f t="shared" si="3"/>
        <v>4</v>
      </c>
      <c r="N14">
        <f t="shared" si="5"/>
        <v>238.853503184713</v>
      </c>
      <c r="O14" s="31">
        <f t="shared" si="6"/>
        <v>3184.71337579618</v>
      </c>
      <c r="P14">
        <f t="shared" si="7"/>
        <v>314</v>
      </c>
    </row>
    <row r="15" spans="1:16">
      <c r="A15" s="9">
        <v>3</v>
      </c>
      <c r="B15" s="9">
        <v>300</v>
      </c>
      <c r="C15" s="9">
        <v>14</v>
      </c>
      <c r="D15" s="9">
        <v>3</v>
      </c>
      <c r="E15" s="9">
        <v>302</v>
      </c>
      <c r="F15" s="9">
        <f>(1039721.9-1070928.6)*2/1000000</f>
        <v>-0.0624134000000001</v>
      </c>
      <c r="G15" s="9">
        <v>3860</v>
      </c>
      <c r="H15" s="9">
        <f t="shared" si="0"/>
        <v>4.28571428571429</v>
      </c>
      <c r="I15" s="9">
        <f t="shared" si="4"/>
        <v>1.07142857142857</v>
      </c>
      <c r="J15" s="9">
        <f t="shared" si="1"/>
        <v>3.21428571428571</v>
      </c>
      <c r="K15" s="9">
        <f t="shared" si="2"/>
        <v>0</v>
      </c>
      <c r="L15" s="9">
        <f t="shared" si="3"/>
        <v>2</v>
      </c>
      <c r="N15">
        <f t="shared" si="5"/>
        <v>277.777777777778</v>
      </c>
      <c r="O15" s="31">
        <f t="shared" si="6"/>
        <v>3703.7037037037</v>
      </c>
      <c r="P15">
        <f t="shared" si="7"/>
        <v>270</v>
      </c>
    </row>
    <row r="16" spans="1:16">
      <c r="A16" s="9">
        <v>3</v>
      </c>
      <c r="B16" s="9">
        <v>300</v>
      </c>
      <c r="C16" s="9">
        <v>16</v>
      </c>
      <c r="D16" s="9">
        <v>3</v>
      </c>
      <c r="E16" s="9">
        <v>300</v>
      </c>
      <c r="F16" s="9">
        <f>(-937000+892357.19)*2/1000000</f>
        <v>-0.0892856200000001</v>
      </c>
      <c r="G16" s="9">
        <v>3900</v>
      </c>
      <c r="H16" s="9">
        <f t="shared" si="0"/>
        <v>3.75</v>
      </c>
      <c r="I16" s="9">
        <f t="shared" si="4"/>
        <v>0.9375</v>
      </c>
      <c r="J16" s="9">
        <f t="shared" si="1"/>
        <v>2.8125</v>
      </c>
      <c r="K16" s="9">
        <f t="shared" si="2"/>
        <v>0</v>
      </c>
      <c r="L16" s="9">
        <f t="shared" si="3"/>
        <v>0</v>
      </c>
      <c r="N16">
        <f t="shared" si="5"/>
        <v>328.947368421053</v>
      </c>
      <c r="O16" s="31">
        <f t="shared" si="6"/>
        <v>4385.9649122807</v>
      </c>
      <c r="P16">
        <f t="shared" si="7"/>
        <v>228</v>
      </c>
    </row>
    <row r="17" spans="1:16">
      <c r="A17" s="9">
        <v>3</v>
      </c>
      <c r="B17" s="9">
        <v>300</v>
      </c>
      <c r="C17" s="9">
        <v>20</v>
      </c>
      <c r="D17" s="9">
        <v>3.02</v>
      </c>
      <c r="E17" s="9">
        <v>302</v>
      </c>
      <c r="F17" s="9">
        <f>(681318.19-749500)*2/1000000</f>
        <v>-0.13636362</v>
      </c>
      <c r="G17" s="9">
        <v>4100</v>
      </c>
      <c r="H17" s="9">
        <f t="shared" si="0"/>
        <v>3</v>
      </c>
      <c r="I17" s="9">
        <f t="shared" si="4"/>
        <v>0.746268656716418</v>
      </c>
      <c r="J17" s="9">
        <f t="shared" si="1"/>
        <v>2.25373134328358</v>
      </c>
      <c r="K17" s="9">
        <f t="shared" si="2"/>
        <v>0.0149253731343282</v>
      </c>
      <c r="L17" s="9">
        <f t="shared" si="3"/>
        <v>2</v>
      </c>
      <c r="N17">
        <f t="shared" si="5"/>
        <v>451.807228915663</v>
      </c>
      <c r="O17" s="31">
        <f t="shared" si="6"/>
        <v>6024.09638554217</v>
      </c>
      <c r="P17">
        <f t="shared" si="7"/>
        <v>166</v>
      </c>
    </row>
    <row r="18" spans="1:16">
      <c r="A18" s="12">
        <v>1</v>
      </c>
      <c r="B18" s="12">
        <v>400</v>
      </c>
      <c r="C18" s="12">
        <v>10</v>
      </c>
      <c r="D18" s="12">
        <v>1.01</v>
      </c>
      <c r="E18" s="12">
        <v>404</v>
      </c>
      <c r="F18" s="12">
        <v>0.15</v>
      </c>
      <c r="G18" s="12">
        <v>5000</v>
      </c>
      <c r="H18" s="12">
        <f t="shared" si="0"/>
        <v>6</v>
      </c>
      <c r="I18" s="12">
        <f t="shared" si="4"/>
        <v>2.98507462686567</v>
      </c>
      <c r="J18" s="12">
        <f t="shared" si="1"/>
        <v>3.01492537313433</v>
      </c>
      <c r="K18" s="12">
        <f t="shared" si="2"/>
        <v>0.0298507462686568</v>
      </c>
      <c r="L18" s="12">
        <f t="shared" si="3"/>
        <v>4</v>
      </c>
      <c r="N18">
        <f t="shared" si="5"/>
        <v>122.14983713355</v>
      </c>
      <c r="O18" s="31">
        <f t="shared" si="6"/>
        <v>1628.66449511401</v>
      </c>
      <c r="P18">
        <f t="shared" si="7"/>
        <v>614</v>
      </c>
    </row>
    <row r="19" spans="1:16">
      <c r="A19" s="12">
        <v>1</v>
      </c>
      <c r="B19" s="12">
        <v>400</v>
      </c>
      <c r="C19" s="12">
        <v>12</v>
      </c>
      <c r="D19" s="12">
        <v>1</v>
      </c>
      <c r="E19" s="12">
        <v>396</v>
      </c>
      <c r="F19" s="12">
        <v>0.11</v>
      </c>
      <c r="G19" s="12">
        <v>4800</v>
      </c>
      <c r="H19" s="12">
        <f t="shared" si="0"/>
        <v>5</v>
      </c>
      <c r="I19" s="12">
        <f t="shared" si="4"/>
        <v>2.5</v>
      </c>
      <c r="J19" s="12">
        <f t="shared" si="1"/>
        <v>2.5</v>
      </c>
      <c r="K19" s="12">
        <f t="shared" si="2"/>
        <v>0</v>
      </c>
      <c r="L19" s="12">
        <f t="shared" si="3"/>
        <v>-4</v>
      </c>
      <c r="N19">
        <f t="shared" si="5"/>
        <v>140.977443609023</v>
      </c>
      <c r="O19" s="31">
        <f t="shared" si="6"/>
        <v>1879.6992481203</v>
      </c>
      <c r="P19">
        <f t="shared" si="7"/>
        <v>532</v>
      </c>
    </row>
    <row r="20" spans="1:16">
      <c r="A20" s="12">
        <v>1</v>
      </c>
      <c r="B20" s="12">
        <v>400</v>
      </c>
      <c r="C20" s="12">
        <v>14</v>
      </c>
      <c r="D20" s="12">
        <v>1</v>
      </c>
      <c r="E20" s="12">
        <v>403</v>
      </c>
      <c r="F20" s="12">
        <v>0.08</v>
      </c>
      <c r="G20" s="12">
        <v>4700</v>
      </c>
      <c r="H20" s="12">
        <f t="shared" si="0"/>
        <v>4.28571428571429</v>
      </c>
      <c r="I20" s="12">
        <f t="shared" si="4"/>
        <v>2.14285714285714</v>
      </c>
      <c r="J20" s="12">
        <f t="shared" si="1"/>
        <v>2.14285714285714</v>
      </c>
      <c r="K20" s="12">
        <f t="shared" si="2"/>
        <v>0</v>
      </c>
      <c r="L20" s="12">
        <f t="shared" si="3"/>
        <v>3</v>
      </c>
      <c r="N20">
        <f t="shared" si="5"/>
        <v>161.637931034483</v>
      </c>
      <c r="O20" s="31">
        <f t="shared" si="6"/>
        <v>2155.1724137931</v>
      </c>
      <c r="P20">
        <f t="shared" si="7"/>
        <v>464</v>
      </c>
    </row>
    <row r="21" spans="1:16">
      <c r="A21" s="12">
        <v>1</v>
      </c>
      <c r="B21" s="12">
        <v>400</v>
      </c>
      <c r="C21" s="12">
        <v>16</v>
      </c>
      <c r="D21" s="12">
        <v>1.01</v>
      </c>
      <c r="E21" s="12">
        <v>399</v>
      </c>
      <c r="F21" s="12">
        <v>0.04</v>
      </c>
      <c r="G21" s="12">
        <v>4600</v>
      </c>
      <c r="H21" s="12">
        <f t="shared" si="0"/>
        <v>3.75</v>
      </c>
      <c r="I21" s="12">
        <f t="shared" si="4"/>
        <v>1.86567164179105</v>
      </c>
      <c r="J21" s="12">
        <f t="shared" si="1"/>
        <v>1.88432835820896</v>
      </c>
      <c r="K21" s="12">
        <f t="shared" si="2"/>
        <v>0.0186567164179106</v>
      </c>
      <c r="L21" s="12">
        <f t="shared" si="3"/>
        <v>-1</v>
      </c>
      <c r="N21">
        <f t="shared" si="5"/>
        <v>182.038834951456</v>
      </c>
      <c r="O21" s="31">
        <f t="shared" si="6"/>
        <v>2427.18446601942</v>
      </c>
      <c r="P21">
        <f t="shared" si="7"/>
        <v>412</v>
      </c>
    </row>
    <row r="22" spans="1:16">
      <c r="A22" s="12">
        <v>1</v>
      </c>
      <c r="B22" s="12">
        <v>400</v>
      </c>
      <c r="C22" s="12">
        <v>20</v>
      </c>
      <c r="D22" s="12">
        <v>1.02</v>
      </c>
      <c r="E22" s="12">
        <v>405</v>
      </c>
      <c r="F22" s="12">
        <v>-0.03</v>
      </c>
      <c r="G22" s="12">
        <v>4600</v>
      </c>
      <c r="H22" s="12">
        <f t="shared" si="0"/>
        <v>3</v>
      </c>
      <c r="I22" s="12">
        <f t="shared" si="4"/>
        <v>1.48514851485149</v>
      </c>
      <c r="J22" s="12">
        <f t="shared" si="1"/>
        <v>1.51485148514851</v>
      </c>
      <c r="K22" s="12">
        <f t="shared" si="2"/>
        <v>0.0297029702970297</v>
      </c>
      <c r="L22" s="12">
        <f t="shared" si="3"/>
        <v>5</v>
      </c>
      <c r="N22">
        <f t="shared" si="5"/>
        <v>232.919254658385</v>
      </c>
      <c r="O22" s="31">
        <f t="shared" si="6"/>
        <v>3105.5900621118</v>
      </c>
      <c r="P22">
        <f t="shared" si="7"/>
        <v>322</v>
      </c>
    </row>
    <row r="23" spans="1:16">
      <c r="A23" s="13">
        <v>2</v>
      </c>
      <c r="B23" s="13">
        <v>400</v>
      </c>
      <c r="C23" s="13">
        <v>10</v>
      </c>
      <c r="D23" s="14">
        <v>2.01</v>
      </c>
      <c r="E23" s="14">
        <v>399</v>
      </c>
      <c r="F23" s="14">
        <v>0.02</v>
      </c>
      <c r="G23" s="14">
        <v>4600</v>
      </c>
      <c r="H23" s="13">
        <f t="shared" si="0"/>
        <v>6</v>
      </c>
      <c r="I23" s="13">
        <f t="shared" si="4"/>
        <v>1.99335548172757</v>
      </c>
      <c r="J23" s="13">
        <f t="shared" si="1"/>
        <v>4.00664451827243</v>
      </c>
      <c r="K23" s="13">
        <f t="shared" si="2"/>
        <v>0.0199335548172757</v>
      </c>
      <c r="L23" s="13">
        <f t="shared" si="3"/>
        <v>-1</v>
      </c>
      <c r="N23">
        <f t="shared" si="5"/>
        <v>172.018348623853</v>
      </c>
      <c r="O23" s="31">
        <f t="shared" si="6"/>
        <v>2293.57798165138</v>
      </c>
      <c r="P23">
        <f t="shared" si="7"/>
        <v>436</v>
      </c>
    </row>
    <row r="24" spans="1:16">
      <c r="A24" s="13">
        <v>2</v>
      </c>
      <c r="B24" s="13">
        <v>400</v>
      </c>
      <c r="C24" s="13">
        <v>12</v>
      </c>
      <c r="D24" s="14">
        <v>2.02</v>
      </c>
      <c r="E24" s="14">
        <v>404</v>
      </c>
      <c r="F24" s="14">
        <v>-0.02</v>
      </c>
      <c r="G24" s="14">
        <v>4600</v>
      </c>
      <c r="H24" s="13">
        <f t="shared" si="0"/>
        <v>5</v>
      </c>
      <c r="I24" s="13">
        <f t="shared" si="4"/>
        <v>1.65562913907285</v>
      </c>
      <c r="J24" s="13">
        <f t="shared" si="1"/>
        <v>3.34437086092715</v>
      </c>
      <c r="K24" s="13">
        <f t="shared" si="2"/>
        <v>0.0331125827814569</v>
      </c>
      <c r="L24" s="13">
        <f t="shared" si="3"/>
        <v>4</v>
      </c>
      <c r="N24">
        <f t="shared" si="5"/>
        <v>208.333333333333</v>
      </c>
      <c r="O24" s="31">
        <f t="shared" si="6"/>
        <v>2777.77777777778</v>
      </c>
      <c r="P24">
        <f t="shared" si="7"/>
        <v>360</v>
      </c>
    </row>
    <row r="25" spans="1:16">
      <c r="A25" s="13">
        <v>2</v>
      </c>
      <c r="B25" s="13">
        <v>400</v>
      </c>
      <c r="C25" s="13">
        <v>14</v>
      </c>
      <c r="D25" s="14">
        <v>2.01</v>
      </c>
      <c r="E25" s="14">
        <v>403</v>
      </c>
      <c r="F25" s="14">
        <v>-0.05</v>
      </c>
      <c r="G25" s="14">
        <v>4600</v>
      </c>
      <c r="H25" s="13">
        <f t="shared" si="0"/>
        <v>4.28571428571429</v>
      </c>
      <c r="I25" s="13">
        <f t="shared" si="4"/>
        <v>1.42382534409112</v>
      </c>
      <c r="J25" s="13">
        <f t="shared" si="1"/>
        <v>2.86188894162316</v>
      </c>
      <c r="K25" s="13">
        <f t="shared" si="2"/>
        <v>0.0142382534409111</v>
      </c>
      <c r="L25" s="13">
        <f t="shared" si="3"/>
        <v>3</v>
      </c>
      <c r="N25">
        <f t="shared" si="5"/>
        <v>245.098039215686</v>
      </c>
      <c r="O25" s="31">
        <f t="shared" si="6"/>
        <v>3267.97385620915</v>
      </c>
      <c r="P25">
        <f t="shared" si="7"/>
        <v>306</v>
      </c>
    </row>
    <row r="26" spans="1:16">
      <c r="A26" s="13">
        <v>2</v>
      </c>
      <c r="B26" s="13">
        <v>400</v>
      </c>
      <c r="C26" s="13">
        <v>16</v>
      </c>
      <c r="D26" s="14">
        <v>2.01</v>
      </c>
      <c r="E26" s="14">
        <v>403</v>
      </c>
      <c r="F26" s="14">
        <v>-0.09</v>
      </c>
      <c r="G26" s="14">
        <v>4650</v>
      </c>
      <c r="H26" s="13">
        <f t="shared" si="0"/>
        <v>3.75</v>
      </c>
      <c r="I26" s="13">
        <f t="shared" si="4"/>
        <v>1.24584717607973</v>
      </c>
      <c r="J26" s="13">
        <f t="shared" si="1"/>
        <v>2.50415282392027</v>
      </c>
      <c r="K26" s="13">
        <f t="shared" si="2"/>
        <v>0.0124584717607972</v>
      </c>
      <c r="L26" s="13">
        <f t="shared" si="3"/>
        <v>3</v>
      </c>
      <c r="N26">
        <f t="shared" si="5"/>
        <v>288.461538461538</v>
      </c>
      <c r="O26" s="31">
        <f t="shared" si="6"/>
        <v>3846.15384615385</v>
      </c>
      <c r="P26">
        <f t="shared" si="7"/>
        <v>260</v>
      </c>
    </row>
    <row r="27" spans="1:16">
      <c r="A27" s="13">
        <v>2</v>
      </c>
      <c r="B27" s="13">
        <v>400</v>
      </c>
      <c r="C27" s="13">
        <v>20</v>
      </c>
      <c r="D27" s="14">
        <v>2.01</v>
      </c>
      <c r="E27" s="14">
        <v>400</v>
      </c>
      <c r="F27" s="14">
        <f>(937000-999500)*2/1000000</f>
        <v>-0.125</v>
      </c>
      <c r="G27" s="14">
        <v>4800</v>
      </c>
      <c r="H27" s="13">
        <f t="shared" si="0"/>
        <v>3</v>
      </c>
      <c r="I27" s="13">
        <f t="shared" si="4"/>
        <v>0.996677740863787</v>
      </c>
      <c r="J27" s="13">
        <f t="shared" si="1"/>
        <v>2.00332225913621</v>
      </c>
      <c r="K27" s="13">
        <f t="shared" si="2"/>
        <v>0.00996677740863783</v>
      </c>
      <c r="L27" s="13">
        <f t="shared" si="3"/>
        <v>0</v>
      </c>
      <c r="N27">
        <f t="shared" si="5"/>
        <v>382.65306122449</v>
      </c>
      <c r="O27" s="31">
        <f t="shared" si="6"/>
        <v>5102.04081632653</v>
      </c>
      <c r="P27">
        <f t="shared" si="7"/>
        <v>196</v>
      </c>
    </row>
    <row r="28" spans="1:16">
      <c r="A28" s="12">
        <v>3</v>
      </c>
      <c r="B28" s="12">
        <v>400</v>
      </c>
      <c r="C28" s="12">
        <v>10</v>
      </c>
      <c r="D28" s="12">
        <v>3.01</v>
      </c>
      <c r="E28" s="12">
        <v>404</v>
      </c>
      <c r="F28" s="12">
        <f>(1462914.5-1499500)*2/1000000</f>
        <v>-0.073171</v>
      </c>
      <c r="G28" s="12">
        <v>4600</v>
      </c>
      <c r="H28" s="12">
        <f t="shared" si="0"/>
        <v>6</v>
      </c>
      <c r="I28" s="12">
        <f t="shared" si="4"/>
        <v>1.49625935162095</v>
      </c>
      <c r="J28" s="12">
        <f t="shared" si="1"/>
        <v>4.50374064837905</v>
      </c>
      <c r="K28" s="12">
        <f t="shared" si="2"/>
        <v>0.0149625935162092</v>
      </c>
      <c r="L28" s="12">
        <f t="shared" si="3"/>
        <v>4</v>
      </c>
      <c r="N28">
        <f t="shared" si="5"/>
        <v>235.849056603774</v>
      </c>
      <c r="O28" s="31">
        <f t="shared" si="6"/>
        <v>3144.65408805031</v>
      </c>
      <c r="P28">
        <f t="shared" si="7"/>
        <v>318</v>
      </c>
    </row>
    <row r="29" spans="1:16">
      <c r="A29" s="12">
        <v>3</v>
      </c>
      <c r="B29" s="12">
        <v>400</v>
      </c>
      <c r="C29" s="12">
        <v>12</v>
      </c>
      <c r="D29" s="12">
        <v>3</v>
      </c>
      <c r="E29" s="12">
        <v>403</v>
      </c>
      <c r="F29" s="12">
        <f>(1210153.6-1249500)*2/1000000</f>
        <v>-0.0786927999999998</v>
      </c>
      <c r="G29" s="12">
        <v>4650</v>
      </c>
      <c r="H29" s="12">
        <f t="shared" si="0"/>
        <v>5</v>
      </c>
      <c r="I29" s="12">
        <f t="shared" si="4"/>
        <v>1.25</v>
      </c>
      <c r="J29" s="12">
        <f t="shared" si="1"/>
        <v>3.75</v>
      </c>
      <c r="K29" s="12">
        <f t="shared" si="2"/>
        <v>0</v>
      </c>
      <c r="L29" s="12">
        <f t="shared" si="3"/>
        <v>3</v>
      </c>
      <c r="N29">
        <f t="shared" si="5"/>
        <v>288.461538461538</v>
      </c>
      <c r="O29" s="31">
        <f t="shared" si="6"/>
        <v>3846.15384615385</v>
      </c>
      <c r="P29">
        <f t="shared" si="7"/>
        <v>260</v>
      </c>
    </row>
    <row r="30" spans="1:16">
      <c r="A30" s="12">
        <v>3</v>
      </c>
      <c r="B30" s="12">
        <v>400</v>
      </c>
      <c r="C30" s="12">
        <v>14</v>
      </c>
      <c r="D30" s="12">
        <v>3</v>
      </c>
      <c r="E30" s="12">
        <v>401</v>
      </c>
      <c r="F30" s="12">
        <f>(1019908.3-1070928.6)*2/1000000</f>
        <v>-0.1020406</v>
      </c>
      <c r="G30" s="12">
        <v>4750</v>
      </c>
      <c r="H30" s="12">
        <f t="shared" si="0"/>
        <v>4.28571428571429</v>
      </c>
      <c r="I30" s="12">
        <f t="shared" si="4"/>
        <v>1.07142857142857</v>
      </c>
      <c r="J30" s="12">
        <f t="shared" si="1"/>
        <v>3.21428571428571</v>
      </c>
      <c r="K30" s="12">
        <f t="shared" si="2"/>
        <v>0</v>
      </c>
      <c r="L30" s="12">
        <f t="shared" si="3"/>
        <v>1</v>
      </c>
      <c r="N30">
        <f t="shared" si="5"/>
        <v>350.467289719626</v>
      </c>
      <c r="O30" s="31">
        <f t="shared" si="6"/>
        <v>4672.89719626168</v>
      </c>
      <c r="P30">
        <f t="shared" si="7"/>
        <v>214</v>
      </c>
    </row>
    <row r="31" spans="1:16">
      <c r="A31" s="12">
        <v>3</v>
      </c>
      <c r="B31" s="12">
        <v>400</v>
      </c>
      <c r="C31" s="12">
        <v>16</v>
      </c>
      <c r="D31" s="12">
        <v>3</v>
      </c>
      <c r="E31" s="12">
        <v>401</v>
      </c>
      <c r="F31" s="12">
        <f>(877720.13-937000)*2/1000000</f>
        <v>-0.11855974</v>
      </c>
      <c r="G31" s="12">
        <v>4850</v>
      </c>
      <c r="H31" s="12">
        <f t="shared" si="0"/>
        <v>3.75</v>
      </c>
      <c r="I31" s="12">
        <f t="shared" si="4"/>
        <v>0.9375</v>
      </c>
      <c r="J31" s="12">
        <f t="shared" si="1"/>
        <v>2.8125</v>
      </c>
      <c r="K31" s="12">
        <f t="shared" si="2"/>
        <v>0</v>
      </c>
      <c r="L31" s="12">
        <f t="shared" si="3"/>
        <v>1</v>
      </c>
      <c r="N31">
        <f t="shared" si="5"/>
        <v>416.666666666667</v>
      </c>
      <c r="O31" s="31">
        <f t="shared" si="6"/>
        <v>5555.55555555556</v>
      </c>
      <c r="P31">
        <f t="shared" si="7"/>
        <v>180</v>
      </c>
    </row>
    <row r="32" spans="1:16">
      <c r="A32" s="12">
        <v>3</v>
      </c>
      <c r="B32" s="12">
        <v>400</v>
      </c>
      <c r="C32" s="12">
        <v>20</v>
      </c>
      <c r="D32" s="12">
        <v>3</v>
      </c>
      <c r="E32" s="12">
        <v>402</v>
      </c>
      <c r="F32" s="12">
        <f>(666166.69-749500)*2/1000000</f>
        <v>-0.16666662</v>
      </c>
      <c r="G32" s="12">
        <v>5200</v>
      </c>
      <c r="H32" s="12">
        <f t="shared" si="0"/>
        <v>3</v>
      </c>
      <c r="I32" s="12">
        <f t="shared" si="4"/>
        <v>0.75</v>
      </c>
      <c r="J32" s="12">
        <f t="shared" si="1"/>
        <v>2.25</v>
      </c>
      <c r="K32" s="12">
        <f t="shared" si="2"/>
        <v>0</v>
      </c>
      <c r="L32" s="12">
        <f t="shared" si="3"/>
        <v>2</v>
      </c>
      <c r="N32">
        <f t="shared" si="5"/>
        <v>585.9375</v>
      </c>
      <c r="O32" s="31">
        <f t="shared" si="6"/>
        <v>7812.5</v>
      </c>
      <c r="P32">
        <f t="shared" si="7"/>
        <v>128</v>
      </c>
    </row>
    <row r="33" spans="1:16">
      <c r="A33" s="9">
        <v>1</v>
      </c>
      <c r="B33" s="9">
        <v>500</v>
      </c>
      <c r="C33" s="9">
        <v>10</v>
      </c>
      <c r="D33" s="9">
        <f>1/1.02</f>
        <v>0.980392156862745</v>
      </c>
      <c r="E33" s="9">
        <v>500</v>
      </c>
      <c r="F33" s="9">
        <v>0.11</v>
      </c>
      <c r="G33" s="9">
        <v>5430</v>
      </c>
      <c r="H33" s="9">
        <f t="shared" si="0"/>
        <v>6</v>
      </c>
      <c r="I33" s="9">
        <f t="shared" si="4"/>
        <v>3.02970297029703</v>
      </c>
      <c r="J33" s="9">
        <f t="shared" si="1"/>
        <v>2.97029702970297</v>
      </c>
      <c r="K33" s="9">
        <f t="shared" si="2"/>
        <v>-0.0594059405940595</v>
      </c>
      <c r="L33" s="9">
        <f t="shared" si="3"/>
        <v>0</v>
      </c>
      <c r="N33">
        <f t="shared" si="5"/>
        <v>133.451957295374</v>
      </c>
      <c r="O33" s="31">
        <f t="shared" si="6"/>
        <v>1779.35943060498</v>
      </c>
      <c r="P33">
        <f t="shared" si="7"/>
        <v>562</v>
      </c>
    </row>
    <row r="34" spans="1:16">
      <c r="A34" s="9">
        <v>1</v>
      </c>
      <c r="B34" s="9">
        <v>500</v>
      </c>
      <c r="C34" s="9">
        <v>12</v>
      </c>
      <c r="D34" s="9">
        <v>1</v>
      </c>
      <c r="E34" s="9">
        <v>504</v>
      </c>
      <c r="F34" s="9">
        <v>0.09</v>
      </c>
      <c r="G34" s="9">
        <v>5320</v>
      </c>
      <c r="H34" s="9">
        <f t="shared" si="0"/>
        <v>5</v>
      </c>
      <c r="I34" s="9">
        <f t="shared" si="4"/>
        <v>2.5</v>
      </c>
      <c r="J34" s="9">
        <f t="shared" si="1"/>
        <v>2.5</v>
      </c>
      <c r="K34" s="9">
        <f t="shared" si="2"/>
        <v>0</v>
      </c>
      <c r="L34" s="9">
        <f t="shared" si="3"/>
        <v>4</v>
      </c>
      <c r="N34">
        <f t="shared" si="5"/>
        <v>156.903765690377</v>
      </c>
      <c r="O34" s="31">
        <f t="shared" si="6"/>
        <v>2092.05020920502</v>
      </c>
      <c r="P34">
        <f t="shared" si="7"/>
        <v>478</v>
      </c>
    </row>
    <row r="35" spans="1:16">
      <c r="A35" s="9">
        <v>1</v>
      </c>
      <c r="B35" s="9">
        <v>500</v>
      </c>
      <c r="C35" s="9">
        <v>14</v>
      </c>
      <c r="D35" s="9">
        <v>1.01</v>
      </c>
      <c r="E35" s="9">
        <v>503</v>
      </c>
      <c r="F35" s="9">
        <v>0.06</v>
      </c>
      <c r="G35" s="9">
        <v>5250</v>
      </c>
      <c r="H35" s="9">
        <f t="shared" si="0"/>
        <v>4.28571428571429</v>
      </c>
      <c r="I35" s="9">
        <f t="shared" si="4"/>
        <v>2.13219616204691</v>
      </c>
      <c r="J35" s="9">
        <f t="shared" si="1"/>
        <v>2.15351812366738</v>
      </c>
      <c r="K35" s="9">
        <f t="shared" si="2"/>
        <v>0.021321961620469</v>
      </c>
      <c r="L35" s="9">
        <f t="shared" si="3"/>
        <v>3</v>
      </c>
      <c r="N35">
        <f t="shared" si="5"/>
        <v>181.159420289855</v>
      </c>
      <c r="O35" s="31">
        <f t="shared" si="6"/>
        <v>2415.45893719807</v>
      </c>
      <c r="P35">
        <f t="shared" si="7"/>
        <v>414</v>
      </c>
    </row>
    <row r="36" spans="1:16">
      <c r="A36" s="9">
        <v>1</v>
      </c>
      <c r="B36" s="9">
        <v>500</v>
      </c>
      <c r="C36" s="9">
        <v>16</v>
      </c>
      <c r="D36" s="9">
        <v>1</v>
      </c>
      <c r="E36" s="9">
        <v>502</v>
      </c>
      <c r="F36" s="9">
        <v>0.04</v>
      </c>
      <c r="G36" s="9">
        <v>5250</v>
      </c>
      <c r="H36" s="9">
        <f t="shared" si="0"/>
        <v>3.75</v>
      </c>
      <c r="I36" s="9">
        <f t="shared" si="4"/>
        <v>1.875</v>
      </c>
      <c r="J36" s="9">
        <f t="shared" si="1"/>
        <v>1.875</v>
      </c>
      <c r="K36" s="9">
        <f t="shared" si="2"/>
        <v>0</v>
      </c>
      <c r="L36" s="9">
        <f t="shared" si="3"/>
        <v>2</v>
      </c>
      <c r="N36">
        <f t="shared" ref="N36:N62" si="8">O36/$T$2*60</f>
        <v>208.333333333333</v>
      </c>
      <c r="O36" s="31">
        <f t="shared" ref="O36:O62" si="9">1000000/P36</f>
        <v>2777.77777777778</v>
      </c>
      <c r="P36">
        <f t="shared" ref="P36:P62" si="10">ROUND((H36/(A36+1)-0.5/1000+F36/2)/G36/2*1000000,0)*2</f>
        <v>360</v>
      </c>
    </row>
    <row r="37" spans="1:16">
      <c r="A37" s="9">
        <v>1</v>
      </c>
      <c r="B37" s="9">
        <v>500</v>
      </c>
      <c r="C37" s="9">
        <v>20</v>
      </c>
      <c r="D37" s="9">
        <v>1.05</v>
      </c>
      <c r="E37" s="9">
        <v>505</v>
      </c>
      <c r="F37" s="9">
        <v>0</v>
      </c>
      <c r="G37" s="9">
        <v>5350</v>
      </c>
      <c r="H37" s="9">
        <f t="shared" si="0"/>
        <v>3</v>
      </c>
      <c r="I37" s="9">
        <f t="shared" si="4"/>
        <v>1.46341463414634</v>
      </c>
      <c r="J37" s="9">
        <f t="shared" si="1"/>
        <v>1.53658536585366</v>
      </c>
      <c r="K37" s="9">
        <f t="shared" si="2"/>
        <v>0.0731707317073171</v>
      </c>
      <c r="L37" s="9">
        <f t="shared" si="3"/>
        <v>5</v>
      </c>
      <c r="N37">
        <f t="shared" si="8"/>
        <v>267.857142857143</v>
      </c>
      <c r="O37" s="31">
        <f t="shared" si="9"/>
        <v>3571.42857142857</v>
      </c>
      <c r="P37">
        <f t="shared" si="10"/>
        <v>280</v>
      </c>
    </row>
    <row r="38" spans="1:16">
      <c r="A38" s="11">
        <v>2</v>
      </c>
      <c r="B38" s="11">
        <v>500</v>
      </c>
      <c r="C38" s="11">
        <v>10</v>
      </c>
      <c r="D38" s="11">
        <v>2.03</v>
      </c>
      <c r="E38" s="11">
        <v>503</v>
      </c>
      <c r="F38" s="11">
        <v>0</v>
      </c>
      <c r="G38" s="11">
        <v>5250</v>
      </c>
      <c r="H38" s="11">
        <f t="shared" si="0"/>
        <v>6</v>
      </c>
      <c r="I38" s="11">
        <f t="shared" si="4"/>
        <v>1.98019801980198</v>
      </c>
      <c r="J38" s="11">
        <f t="shared" si="1"/>
        <v>4.01980198019802</v>
      </c>
      <c r="K38" s="11">
        <f t="shared" si="2"/>
        <v>0.059405940594059</v>
      </c>
      <c r="L38" s="11">
        <f t="shared" si="3"/>
        <v>3</v>
      </c>
      <c r="N38">
        <f t="shared" si="8"/>
        <v>197.368421052632</v>
      </c>
      <c r="O38" s="31">
        <f t="shared" si="9"/>
        <v>2631.57894736842</v>
      </c>
      <c r="P38">
        <f t="shared" si="10"/>
        <v>380</v>
      </c>
    </row>
    <row r="39" spans="1:16">
      <c r="A39" s="11">
        <v>2</v>
      </c>
      <c r="B39" s="11">
        <v>500</v>
      </c>
      <c r="C39" s="11">
        <v>12</v>
      </c>
      <c r="D39" s="11">
        <v>2.01</v>
      </c>
      <c r="E39" s="11">
        <v>501</v>
      </c>
      <c r="F39" s="11">
        <f>(1633487-1666166.8)*2/1000000</f>
        <v>-0.0653596000000001</v>
      </c>
      <c r="G39" s="11">
        <v>5250</v>
      </c>
      <c r="H39" s="11">
        <f t="shared" si="0"/>
        <v>5</v>
      </c>
      <c r="I39" s="11">
        <f t="shared" si="4"/>
        <v>1.66112956810631</v>
      </c>
      <c r="J39" s="11">
        <f t="shared" si="1"/>
        <v>3.33887043189369</v>
      </c>
      <c r="K39" s="11">
        <f t="shared" si="2"/>
        <v>0.0166112956810629</v>
      </c>
      <c r="L39" s="11">
        <f t="shared" si="3"/>
        <v>1</v>
      </c>
      <c r="N39">
        <f t="shared" si="8"/>
        <v>240.384615384615</v>
      </c>
      <c r="O39" s="31">
        <f t="shared" si="9"/>
        <v>3205.12820512821</v>
      </c>
      <c r="P39">
        <f t="shared" si="10"/>
        <v>312</v>
      </c>
    </row>
    <row r="40" spans="1:16">
      <c r="A40" s="11">
        <v>2</v>
      </c>
      <c r="B40" s="11">
        <v>500</v>
      </c>
      <c r="C40" s="11">
        <v>14</v>
      </c>
      <c r="D40" s="11">
        <v>2</v>
      </c>
      <c r="E40" s="11">
        <v>500</v>
      </c>
      <c r="F40" s="11">
        <f>(1381988.4-1428071.5)*2/1000000</f>
        <v>-0.0921662000000002</v>
      </c>
      <c r="G40" s="11">
        <v>5350</v>
      </c>
      <c r="H40" s="11">
        <f t="shared" si="0"/>
        <v>4.28571428571429</v>
      </c>
      <c r="I40" s="11">
        <f t="shared" si="4"/>
        <v>1.42857142857143</v>
      </c>
      <c r="J40" s="11">
        <f t="shared" si="1"/>
        <v>2.85714285714286</v>
      </c>
      <c r="K40" s="11">
        <f t="shared" si="2"/>
        <v>0</v>
      </c>
      <c r="L40" s="11">
        <f t="shared" si="3"/>
        <v>0</v>
      </c>
      <c r="N40">
        <f t="shared" si="8"/>
        <v>290.697674418605</v>
      </c>
      <c r="O40" s="31">
        <f t="shared" si="9"/>
        <v>3875.96899224806</v>
      </c>
      <c r="P40">
        <f t="shared" si="10"/>
        <v>258</v>
      </c>
    </row>
    <row r="41" spans="1:16">
      <c r="A41" s="11">
        <v>2</v>
      </c>
      <c r="B41" s="11">
        <v>500</v>
      </c>
      <c r="C41" s="11">
        <v>16</v>
      </c>
      <c r="D41" s="11">
        <v>2</v>
      </c>
      <c r="E41" s="11">
        <v>504</v>
      </c>
      <c r="F41" s="11">
        <f>(1197583.1-1249500)*2/1000000</f>
        <v>-0.1038338</v>
      </c>
      <c r="G41" s="11">
        <v>5480</v>
      </c>
      <c r="H41" s="11">
        <f t="shared" si="0"/>
        <v>3.75</v>
      </c>
      <c r="I41" s="11">
        <f t="shared" si="4"/>
        <v>1.25</v>
      </c>
      <c r="J41" s="11">
        <f t="shared" si="1"/>
        <v>2.5</v>
      </c>
      <c r="K41" s="11">
        <f t="shared" si="2"/>
        <v>0</v>
      </c>
      <c r="L41" s="11">
        <f t="shared" si="3"/>
        <v>4</v>
      </c>
      <c r="N41">
        <f t="shared" si="8"/>
        <v>344.036697247706</v>
      </c>
      <c r="O41" s="31">
        <f t="shared" si="9"/>
        <v>4587.15596330275</v>
      </c>
      <c r="P41">
        <f t="shared" si="10"/>
        <v>218</v>
      </c>
    </row>
    <row r="42" spans="1:16">
      <c r="A42" s="11">
        <v>2</v>
      </c>
      <c r="B42" s="11">
        <v>500</v>
      </c>
      <c r="C42" s="11">
        <v>20</v>
      </c>
      <c r="D42" s="11">
        <v>2.02</v>
      </c>
      <c r="E42" s="11">
        <v>500</v>
      </c>
      <c r="F42" s="11">
        <f>(937000-999500)*2/1000000</f>
        <v>-0.125</v>
      </c>
      <c r="G42" s="11">
        <v>5650</v>
      </c>
      <c r="H42" s="11">
        <f t="shared" si="0"/>
        <v>3</v>
      </c>
      <c r="I42" s="11">
        <f t="shared" si="4"/>
        <v>0.993377483443709</v>
      </c>
      <c r="J42" s="11">
        <f t="shared" si="1"/>
        <v>2.00662251655629</v>
      </c>
      <c r="K42" s="11">
        <f t="shared" si="2"/>
        <v>0.0198675496688741</v>
      </c>
      <c r="L42" s="11">
        <f t="shared" si="3"/>
        <v>0</v>
      </c>
      <c r="N42">
        <f t="shared" si="8"/>
        <v>451.807228915663</v>
      </c>
      <c r="O42" s="31">
        <f t="shared" si="9"/>
        <v>6024.09638554217</v>
      </c>
      <c r="P42">
        <f t="shared" si="10"/>
        <v>166</v>
      </c>
    </row>
    <row r="43" spans="1:16">
      <c r="A43" s="9">
        <v>3</v>
      </c>
      <c r="B43" s="9">
        <v>500</v>
      </c>
      <c r="C43" s="9">
        <v>10</v>
      </c>
      <c r="D43" s="9">
        <v>2.99</v>
      </c>
      <c r="E43" s="9">
        <v>501</v>
      </c>
      <c r="F43" s="9">
        <f>(1462914.5-1499500)*2/1000000</f>
        <v>-0.073171</v>
      </c>
      <c r="G43" s="9">
        <v>5300</v>
      </c>
      <c r="H43" s="9">
        <f t="shared" si="0"/>
        <v>6</v>
      </c>
      <c r="I43" s="9">
        <f t="shared" si="4"/>
        <v>1.50375939849624</v>
      </c>
      <c r="J43" s="9">
        <f t="shared" si="1"/>
        <v>4.49624060150376</v>
      </c>
      <c r="K43" s="9">
        <f t="shared" si="2"/>
        <v>-0.0150375939849621</v>
      </c>
      <c r="L43" s="9">
        <f t="shared" si="3"/>
        <v>1</v>
      </c>
      <c r="N43">
        <f t="shared" si="8"/>
        <v>271.739130434783</v>
      </c>
      <c r="O43" s="31">
        <f t="shared" si="9"/>
        <v>3623.1884057971</v>
      </c>
      <c r="P43">
        <f t="shared" si="10"/>
        <v>276</v>
      </c>
    </row>
    <row r="44" spans="1:16">
      <c r="A44" s="9">
        <v>3</v>
      </c>
      <c r="B44" s="9">
        <v>500</v>
      </c>
      <c r="C44" s="9">
        <v>12</v>
      </c>
      <c r="D44" s="9">
        <v>3</v>
      </c>
      <c r="E44" s="9">
        <v>499</v>
      </c>
      <c r="F44" s="9">
        <f>(1195672.4-1249500)*2/1000000</f>
        <v>-0.1076552</v>
      </c>
      <c r="G44" s="9">
        <v>5410</v>
      </c>
      <c r="H44" s="9">
        <f t="shared" si="0"/>
        <v>5</v>
      </c>
      <c r="I44" s="9">
        <f t="shared" si="4"/>
        <v>1.25</v>
      </c>
      <c r="J44" s="9">
        <f t="shared" si="1"/>
        <v>3.75</v>
      </c>
      <c r="K44" s="9">
        <f t="shared" si="2"/>
        <v>0</v>
      </c>
      <c r="L44" s="9">
        <f t="shared" si="3"/>
        <v>-1</v>
      </c>
      <c r="N44">
        <f t="shared" si="8"/>
        <v>337.837837837838</v>
      </c>
      <c r="O44" s="31">
        <f t="shared" si="9"/>
        <v>4504.5045045045</v>
      </c>
      <c r="P44">
        <f t="shared" si="10"/>
        <v>222</v>
      </c>
    </row>
    <row r="45" spans="1:16">
      <c r="A45" s="9">
        <v>3</v>
      </c>
      <c r="B45" s="9">
        <v>500</v>
      </c>
      <c r="C45" s="9">
        <v>14</v>
      </c>
      <c r="D45" s="9">
        <v>3.04</v>
      </c>
      <c r="E45" s="9">
        <v>501</v>
      </c>
      <c r="F45" s="9">
        <f>(996177.75-1070928.6)*2/1000000</f>
        <v>-0.1495017</v>
      </c>
      <c r="G45" s="9">
        <v>5600</v>
      </c>
      <c r="H45" s="9">
        <f t="shared" si="0"/>
        <v>4.28571428571429</v>
      </c>
      <c r="I45" s="9">
        <f t="shared" si="4"/>
        <v>1.06082036775106</v>
      </c>
      <c r="J45" s="9">
        <f t="shared" si="1"/>
        <v>3.22489391796322</v>
      </c>
      <c r="K45" s="9">
        <f t="shared" si="2"/>
        <v>0.0424328147100423</v>
      </c>
      <c r="L45" s="9">
        <f t="shared" si="3"/>
        <v>1</v>
      </c>
      <c r="N45">
        <f t="shared" si="8"/>
        <v>421.348314606742</v>
      </c>
      <c r="O45" s="31">
        <f t="shared" si="9"/>
        <v>5617.97752808989</v>
      </c>
      <c r="P45">
        <f t="shared" si="10"/>
        <v>178</v>
      </c>
    </row>
    <row r="46" spans="1:16">
      <c r="A46" s="9">
        <v>3</v>
      </c>
      <c r="B46" s="9">
        <v>500</v>
      </c>
      <c r="C46" s="9">
        <v>16</v>
      </c>
      <c r="D46" s="9">
        <v>3.02</v>
      </c>
      <c r="E46" s="9">
        <v>505</v>
      </c>
      <c r="F46" s="9">
        <f>(871593-937000)/500000</f>
        <v>-0.130814</v>
      </c>
      <c r="G46" s="9">
        <v>5900</v>
      </c>
      <c r="H46" s="9">
        <f t="shared" si="0"/>
        <v>3.75</v>
      </c>
      <c r="I46" s="9">
        <f t="shared" si="4"/>
        <v>0.932835820895523</v>
      </c>
      <c r="J46" s="9">
        <f t="shared" si="1"/>
        <v>2.81716417910448</v>
      </c>
      <c r="K46" s="9">
        <f t="shared" si="2"/>
        <v>0.0186567164179103</v>
      </c>
      <c r="L46" s="9">
        <f t="shared" si="3"/>
        <v>5</v>
      </c>
      <c r="N46">
        <f t="shared" si="8"/>
        <v>506.756756756757</v>
      </c>
      <c r="O46" s="31">
        <f t="shared" si="9"/>
        <v>6756.75675675676</v>
      </c>
      <c r="P46">
        <f t="shared" si="10"/>
        <v>148</v>
      </c>
    </row>
    <row r="47" spans="1:16">
      <c r="A47" s="9">
        <v>3</v>
      </c>
      <c r="B47" s="9">
        <v>500</v>
      </c>
      <c r="C47" s="15">
        <v>20</v>
      </c>
      <c r="D47" s="15">
        <v>2.98</v>
      </c>
      <c r="E47" s="15">
        <v>505</v>
      </c>
      <c r="F47" s="15">
        <f>(624500-749500)/500000</f>
        <v>-0.25</v>
      </c>
      <c r="G47" s="15">
        <v>5900</v>
      </c>
      <c r="H47" s="9">
        <f t="shared" si="0"/>
        <v>3</v>
      </c>
      <c r="I47" s="9">
        <f t="shared" si="4"/>
        <v>0.753768844221106</v>
      </c>
      <c r="J47" s="9">
        <f t="shared" si="1"/>
        <v>2.24623115577889</v>
      </c>
      <c r="K47" s="9">
        <f t="shared" si="2"/>
        <v>-0.0150753768844223</v>
      </c>
      <c r="L47" s="9">
        <f t="shared" si="3"/>
        <v>5</v>
      </c>
      <c r="N47">
        <f t="shared" si="8"/>
        <v>707.547169811321</v>
      </c>
      <c r="O47" s="31">
        <f t="shared" si="9"/>
        <v>9433.96226415094</v>
      </c>
      <c r="P47">
        <f t="shared" si="10"/>
        <v>106</v>
      </c>
    </row>
    <row r="48" spans="1:16">
      <c r="A48" s="12">
        <v>1</v>
      </c>
      <c r="B48" s="12">
        <v>600</v>
      </c>
      <c r="C48" s="12">
        <v>10</v>
      </c>
      <c r="D48" s="12">
        <f>1/1.01</f>
        <v>0.99009900990099</v>
      </c>
      <c r="E48" s="12">
        <v>602</v>
      </c>
      <c r="F48" s="12">
        <v>0.11</v>
      </c>
      <c r="G48" s="12">
        <v>5960</v>
      </c>
      <c r="H48" s="12">
        <f t="shared" si="0"/>
        <v>6</v>
      </c>
      <c r="I48" s="12">
        <f t="shared" si="4"/>
        <v>3.01492537313433</v>
      </c>
      <c r="J48" s="12">
        <f t="shared" si="1"/>
        <v>2.98507462686567</v>
      </c>
      <c r="K48" s="12">
        <f t="shared" si="2"/>
        <v>-0.0298507462686568</v>
      </c>
      <c r="L48" s="12">
        <f t="shared" si="3"/>
        <v>2</v>
      </c>
      <c r="N48">
        <f t="shared" si="8"/>
        <v>146.484375</v>
      </c>
      <c r="O48" s="31">
        <f t="shared" si="9"/>
        <v>1953.125</v>
      </c>
      <c r="P48">
        <f t="shared" si="10"/>
        <v>512</v>
      </c>
    </row>
    <row r="49" spans="1:16">
      <c r="A49" s="12">
        <v>1</v>
      </c>
      <c r="B49" s="12">
        <v>600</v>
      </c>
      <c r="C49" s="12">
        <v>12</v>
      </c>
      <c r="D49" s="12">
        <f>D48</f>
        <v>0.99009900990099</v>
      </c>
      <c r="E49" s="12">
        <v>606</v>
      </c>
      <c r="F49" s="12">
        <v>0.09</v>
      </c>
      <c r="G49" s="12">
        <v>5850</v>
      </c>
      <c r="H49" s="12">
        <f t="shared" si="0"/>
        <v>5</v>
      </c>
      <c r="I49" s="12">
        <f t="shared" si="4"/>
        <v>2.51243781094527</v>
      </c>
      <c r="J49" s="12">
        <f t="shared" si="1"/>
        <v>2.48756218905473</v>
      </c>
      <c r="K49" s="12">
        <f t="shared" si="2"/>
        <v>-0.0248756218905473</v>
      </c>
      <c r="L49" s="12">
        <f t="shared" si="3"/>
        <v>6</v>
      </c>
      <c r="N49">
        <f t="shared" si="8"/>
        <v>172.811059907834</v>
      </c>
      <c r="O49" s="31">
        <f t="shared" si="9"/>
        <v>2304.14746543779</v>
      </c>
      <c r="P49">
        <f t="shared" si="10"/>
        <v>434</v>
      </c>
    </row>
    <row r="50" spans="1:16">
      <c r="A50" s="12">
        <v>1</v>
      </c>
      <c r="B50" s="12">
        <v>600</v>
      </c>
      <c r="C50" s="12">
        <v>14</v>
      </c>
      <c r="D50" s="12">
        <f>1</f>
        <v>1</v>
      </c>
      <c r="E50" s="12">
        <v>603</v>
      </c>
      <c r="F50" s="12">
        <v>0.08</v>
      </c>
      <c r="G50" s="12">
        <v>5850</v>
      </c>
      <c r="H50" s="12">
        <f t="shared" si="0"/>
        <v>4.28571428571429</v>
      </c>
      <c r="I50" s="12">
        <f t="shared" si="4"/>
        <v>2.14285714285714</v>
      </c>
      <c r="J50" s="12">
        <f t="shared" si="1"/>
        <v>2.14285714285714</v>
      </c>
      <c r="K50" s="12">
        <f t="shared" si="2"/>
        <v>0</v>
      </c>
      <c r="L50" s="12">
        <f t="shared" si="3"/>
        <v>3</v>
      </c>
      <c r="N50">
        <f t="shared" si="8"/>
        <v>200.534759358289</v>
      </c>
      <c r="O50" s="31">
        <f t="shared" si="9"/>
        <v>2673.79679144385</v>
      </c>
      <c r="P50">
        <f t="shared" si="10"/>
        <v>374</v>
      </c>
    </row>
    <row r="51" spans="1:16">
      <c r="A51" s="12">
        <v>1</v>
      </c>
      <c r="B51" s="12">
        <v>600</v>
      </c>
      <c r="C51" s="12">
        <v>16</v>
      </c>
      <c r="D51" s="12">
        <v>1.01</v>
      </c>
      <c r="E51" s="12">
        <v>606</v>
      </c>
      <c r="F51" s="12">
        <v>0</v>
      </c>
      <c r="G51" s="12">
        <v>5850</v>
      </c>
      <c r="H51" s="12">
        <f t="shared" si="0"/>
        <v>3.75</v>
      </c>
      <c r="I51" s="12">
        <f t="shared" si="4"/>
        <v>1.86567164179105</v>
      </c>
      <c r="J51" s="12">
        <f t="shared" si="1"/>
        <v>1.88432835820896</v>
      </c>
      <c r="K51" s="12">
        <f t="shared" si="2"/>
        <v>0.0186567164179106</v>
      </c>
      <c r="L51" s="12">
        <f t="shared" si="3"/>
        <v>6</v>
      </c>
      <c r="N51">
        <f t="shared" si="8"/>
        <v>234.375</v>
      </c>
      <c r="O51" s="31">
        <f t="shared" si="9"/>
        <v>3125</v>
      </c>
      <c r="P51">
        <f t="shared" si="10"/>
        <v>320</v>
      </c>
    </row>
    <row r="52" spans="1:16">
      <c r="A52" s="12">
        <v>1</v>
      </c>
      <c r="B52" s="12">
        <v>600</v>
      </c>
      <c r="C52" s="12">
        <v>20</v>
      </c>
      <c r="D52" s="12">
        <v>1.06</v>
      </c>
      <c r="E52" s="12">
        <v>601</v>
      </c>
      <c r="F52" s="12">
        <v>0.03</v>
      </c>
      <c r="G52" s="12">
        <v>6000</v>
      </c>
      <c r="H52" s="12">
        <f t="shared" si="0"/>
        <v>3</v>
      </c>
      <c r="I52" s="12">
        <f t="shared" si="4"/>
        <v>1.45631067961165</v>
      </c>
      <c r="J52" s="12">
        <f t="shared" si="1"/>
        <v>1.54368932038835</v>
      </c>
      <c r="K52" s="12">
        <f t="shared" si="2"/>
        <v>0.0873786407766992</v>
      </c>
      <c r="L52" s="12">
        <f t="shared" si="3"/>
        <v>1</v>
      </c>
      <c r="N52">
        <f t="shared" si="8"/>
        <v>297.619047619048</v>
      </c>
      <c r="O52" s="31">
        <f t="shared" si="9"/>
        <v>3968.25396825397</v>
      </c>
      <c r="P52">
        <f t="shared" si="10"/>
        <v>252</v>
      </c>
    </row>
    <row r="53" spans="1:16">
      <c r="A53" s="13">
        <v>2</v>
      </c>
      <c r="B53" s="13">
        <v>600</v>
      </c>
      <c r="C53" s="13">
        <v>10</v>
      </c>
      <c r="D53" s="13">
        <v>1.98</v>
      </c>
      <c r="E53" s="13">
        <v>602</v>
      </c>
      <c r="F53" s="13">
        <v>0</v>
      </c>
      <c r="G53" s="13">
        <v>5850</v>
      </c>
      <c r="H53" s="13">
        <f t="shared" si="0"/>
        <v>6</v>
      </c>
      <c r="I53" s="13">
        <f t="shared" si="4"/>
        <v>2.01342281879195</v>
      </c>
      <c r="J53" s="13">
        <f t="shared" si="1"/>
        <v>3.98657718120805</v>
      </c>
      <c r="K53" s="13">
        <f t="shared" si="2"/>
        <v>-0.0402684563758391</v>
      </c>
      <c r="L53" s="13">
        <f t="shared" si="3"/>
        <v>2</v>
      </c>
      <c r="N53">
        <f t="shared" si="8"/>
        <v>219.298245614035</v>
      </c>
      <c r="O53" s="31">
        <f t="shared" si="9"/>
        <v>2923.97660818713</v>
      </c>
      <c r="P53">
        <f t="shared" si="10"/>
        <v>342</v>
      </c>
    </row>
    <row r="54" spans="1:16">
      <c r="A54" s="13">
        <v>2</v>
      </c>
      <c r="B54" s="13">
        <v>600</v>
      </c>
      <c r="C54" s="13">
        <v>12</v>
      </c>
      <c r="D54" s="13">
        <v>2</v>
      </c>
      <c r="E54" s="13">
        <v>600</v>
      </c>
      <c r="F54" s="13">
        <v>-0.06</v>
      </c>
      <c r="G54" s="13">
        <v>5900</v>
      </c>
      <c r="H54" s="13">
        <f t="shared" si="0"/>
        <v>5</v>
      </c>
      <c r="I54" s="13">
        <f t="shared" si="4"/>
        <v>1.66666666666667</v>
      </c>
      <c r="J54" s="13">
        <f t="shared" si="1"/>
        <v>3.33333333333333</v>
      </c>
      <c r="K54" s="13">
        <f t="shared" si="2"/>
        <v>0</v>
      </c>
      <c r="L54" s="13">
        <f t="shared" si="3"/>
        <v>0</v>
      </c>
      <c r="N54">
        <f t="shared" si="8"/>
        <v>269.78417266187</v>
      </c>
      <c r="O54" s="31">
        <f t="shared" si="9"/>
        <v>3597.12230215827</v>
      </c>
      <c r="P54">
        <f t="shared" si="10"/>
        <v>278</v>
      </c>
    </row>
    <row r="55" spans="1:16">
      <c r="A55" s="13">
        <v>2</v>
      </c>
      <c r="B55" s="13">
        <v>600</v>
      </c>
      <c r="C55" s="13">
        <v>14</v>
      </c>
      <c r="D55" s="13">
        <v>1.99</v>
      </c>
      <c r="E55" s="13">
        <v>601</v>
      </c>
      <c r="F55" s="13">
        <v>-0.08</v>
      </c>
      <c r="G55" s="13">
        <v>6000</v>
      </c>
      <c r="H55" s="13">
        <f t="shared" si="0"/>
        <v>4.28571428571429</v>
      </c>
      <c r="I55" s="13">
        <f t="shared" si="4"/>
        <v>1.43334925943622</v>
      </c>
      <c r="J55" s="13">
        <f t="shared" si="1"/>
        <v>2.85236502627807</v>
      </c>
      <c r="K55" s="13">
        <f t="shared" si="2"/>
        <v>-0.0143334925943623</v>
      </c>
      <c r="L55" s="13">
        <f t="shared" si="3"/>
        <v>1</v>
      </c>
      <c r="N55">
        <f t="shared" si="8"/>
        <v>323.275862068965</v>
      </c>
      <c r="O55" s="31">
        <f t="shared" si="9"/>
        <v>4310.34482758621</v>
      </c>
      <c r="P55">
        <f t="shared" si="10"/>
        <v>232</v>
      </c>
    </row>
    <row r="56" spans="1:16">
      <c r="A56" s="13">
        <v>2</v>
      </c>
      <c r="B56" s="13">
        <v>600</v>
      </c>
      <c r="C56" s="13">
        <v>16</v>
      </c>
      <c r="D56" s="13">
        <v>2</v>
      </c>
      <c r="E56" s="13">
        <v>598</v>
      </c>
      <c r="F56" s="13">
        <v>-0.11</v>
      </c>
      <c r="G56" s="13">
        <v>6100</v>
      </c>
      <c r="H56" s="13">
        <f t="shared" si="0"/>
        <v>3.75</v>
      </c>
      <c r="I56" s="13">
        <f t="shared" si="4"/>
        <v>1.25</v>
      </c>
      <c r="J56" s="13">
        <f t="shared" si="1"/>
        <v>2.5</v>
      </c>
      <c r="K56" s="13">
        <f t="shared" si="2"/>
        <v>0</v>
      </c>
      <c r="L56" s="13">
        <f t="shared" si="3"/>
        <v>-2</v>
      </c>
      <c r="N56">
        <f t="shared" si="8"/>
        <v>382.65306122449</v>
      </c>
      <c r="O56" s="31">
        <f t="shared" si="9"/>
        <v>5102.04081632653</v>
      </c>
      <c r="P56">
        <f t="shared" si="10"/>
        <v>196</v>
      </c>
    </row>
    <row r="57" spans="1:16">
      <c r="A57" s="13">
        <v>2</v>
      </c>
      <c r="B57" s="13">
        <v>600</v>
      </c>
      <c r="C57" s="16">
        <v>20</v>
      </c>
      <c r="D57" s="17">
        <v>2.01</v>
      </c>
      <c r="E57" s="17">
        <v>604</v>
      </c>
      <c r="F57" s="17">
        <v>-0.15</v>
      </c>
      <c r="G57" s="17">
        <v>6350</v>
      </c>
      <c r="H57" s="13">
        <f t="shared" si="0"/>
        <v>3</v>
      </c>
      <c r="I57" s="13">
        <f t="shared" si="4"/>
        <v>0.996677740863787</v>
      </c>
      <c r="J57" s="13">
        <f t="shared" si="1"/>
        <v>2.00332225913621</v>
      </c>
      <c r="K57" s="13">
        <f t="shared" si="2"/>
        <v>0.00996677740863783</v>
      </c>
      <c r="L57" s="13">
        <f t="shared" si="3"/>
        <v>4</v>
      </c>
      <c r="N57">
        <f t="shared" si="8"/>
        <v>513.698630136986</v>
      </c>
      <c r="O57" s="31">
        <f t="shared" si="9"/>
        <v>6849.31506849315</v>
      </c>
      <c r="P57">
        <f t="shared" si="10"/>
        <v>146</v>
      </c>
    </row>
    <row r="58" spans="1:16">
      <c r="A58" s="12">
        <v>3</v>
      </c>
      <c r="B58" s="12">
        <v>600</v>
      </c>
      <c r="C58" s="12">
        <v>10</v>
      </c>
      <c r="D58" s="12">
        <v>2.98</v>
      </c>
      <c r="E58" s="12">
        <v>604</v>
      </c>
      <c r="F58" s="12">
        <f>(1462914.5-1499500)/500000</f>
        <v>-0.073171</v>
      </c>
      <c r="G58" s="12">
        <v>6000</v>
      </c>
      <c r="H58" s="12">
        <f t="shared" si="0"/>
        <v>6</v>
      </c>
      <c r="I58" s="12">
        <f t="shared" si="4"/>
        <v>1.50753768844221</v>
      </c>
      <c r="J58" s="12">
        <f t="shared" si="1"/>
        <v>4.49246231155779</v>
      </c>
      <c r="K58" s="12">
        <f t="shared" si="2"/>
        <v>-0.0301507537688446</v>
      </c>
      <c r="L58" s="12">
        <f t="shared" si="3"/>
        <v>4</v>
      </c>
      <c r="N58">
        <f t="shared" si="8"/>
        <v>307.377049180328</v>
      </c>
      <c r="O58" s="31">
        <f t="shared" si="9"/>
        <v>4098.36065573771</v>
      </c>
      <c r="P58">
        <f t="shared" si="10"/>
        <v>244</v>
      </c>
    </row>
    <row r="59" spans="1:16">
      <c r="A59" s="12">
        <v>3</v>
      </c>
      <c r="B59" s="12">
        <v>600</v>
      </c>
      <c r="C59" s="12">
        <v>12</v>
      </c>
      <c r="D59" s="12">
        <v>3.02</v>
      </c>
      <c r="E59" s="12">
        <v>596</v>
      </c>
      <c r="F59" s="12">
        <f>(1189976.4-1249500)/500000</f>
        <v>-0.1190472</v>
      </c>
      <c r="G59" s="12">
        <v>6150</v>
      </c>
      <c r="H59" s="12">
        <f t="shared" si="0"/>
        <v>5</v>
      </c>
      <c r="I59" s="12">
        <f t="shared" si="4"/>
        <v>1.24378109452736</v>
      </c>
      <c r="J59" s="12">
        <f t="shared" si="1"/>
        <v>3.75621890547264</v>
      </c>
      <c r="K59" s="12">
        <f t="shared" si="2"/>
        <v>0.0248756218905473</v>
      </c>
      <c r="L59" s="12">
        <f t="shared" si="3"/>
        <v>-4</v>
      </c>
      <c r="N59">
        <f t="shared" si="8"/>
        <v>386.59793814433</v>
      </c>
      <c r="O59" s="31">
        <f t="shared" si="9"/>
        <v>5154.63917525773</v>
      </c>
      <c r="P59">
        <f t="shared" si="10"/>
        <v>194</v>
      </c>
    </row>
    <row r="60" spans="1:16">
      <c r="A60" s="12">
        <v>3</v>
      </c>
      <c r="B60" s="12">
        <v>600</v>
      </c>
      <c r="C60" s="18">
        <v>14</v>
      </c>
      <c r="D60" s="18">
        <v>2.98</v>
      </c>
      <c r="E60" s="18">
        <v>606</v>
      </c>
      <c r="F60" s="18">
        <f>(1007903.4-1070928.6)/500000</f>
        <v>-0.1260504</v>
      </c>
      <c r="G60" s="18">
        <v>6300</v>
      </c>
      <c r="H60" s="12">
        <f t="shared" si="0"/>
        <v>4.28571428571429</v>
      </c>
      <c r="I60" s="12">
        <f t="shared" si="4"/>
        <v>1.07681263460158</v>
      </c>
      <c r="J60" s="12">
        <f t="shared" si="1"/>
        <v>3.20890165111271</v>
      </c>
      <c r="K60" s="12">
        <f t="shared" si="2"/>
        <v>-0.0215362526920315</v>
      </c>
      <c r="L60" s="12">
        <f t="shared" si="3"/>
        <v>6</v>
      </c>
      <c r="N60">
        <f t="shared" si="8"/>
        <v>468.75</v>
      </c>
      <c r="O60" s="31">
        <f t="shared" si="9"/>
        <v>6250</v>
      </c>
      <c r="P60">
        <f t="shared" si="10"/>
        <v>160</v>
      </c>
    </row>
    <row r="61" spans="1:16">
      <c r="A61" s="12">
        <v>3</v>
      </c>
      <c r="B61" s="12">
        <v>600</v>
      </c>
      <c r="C61" s="18">
        <v>16</v>
      </c>
      <c r="D61" s="19">
        <v>2.94</v>
      </c>
      <c r="E61" s="19">
        <v>599</v>
      </c>
      <c r="F61" s="19">
        <f>(851772.69-937000)/500000</f>
        <v>-0.17045462</v>
      </c>
      <c r="G61" s="19">
        <v>6350</v>
      </c>
      <c r="H61" s="12">
        <f t="shared" si="0"/>
        <v>3.75</v>
      </c>
      <c r="I61" s="12">
        <f t="shared" si="4"/>
        <v>0.951776649746193</v>
      </c>
      <c r="J61" s="12">
        <f t="shared" si="1"/>
        <v>2.79822335025381</v>
      </c>
      <c r="K61" s="12">
        <f t="shared" si="2"/>
        <v>-0.0571065989847717</v>
      </c>
      <c r="L61" s="12">
        <f t="shared" si="3"/>
        <v>-1</v>
      </c>
      <c r="N61">
        <f t="shared" si="8"/>
        <v>559.701492537313</v>
      </c>
      <c r="O61" s="31">
        <f t="shared" si="9"/>
        <v>7462.68656716418</v>
      </c>
      <c r="P61">
        <f t="shared" si="10"/>
        <v>134</v>
      </c>
    </row>
    <row r="62" spans="1:16">
      <c r="A62" s="12">
        <v>3</v>
      </c>
      <c r="B62" s="12">
        <v>600</v>
      </c>
      <c r="C62" s="18">
        <v>20</v>
      </c>
      <c r="D62" s="19">
        <v>3</v>
      </c>
      <c r="E62" s="19">
        <v>577</v>
      </c>
      <c r="F62" s="19">
        <f>(599500-749500)/500000</f>
        <v>-0.3</v>
      </c>
      <c r="G62" s="19">
        <v>6450</v>
      </c>
      <c r="H62" s="12">
        <f>60/C62</f>
        <v>3</v>
      </c>
      <c r="I62" s="12">
        <f t="shared" si="4"/>
        <v>0.75</v>
      </c>
      <c r="J62" s="12">
        <f t="shared" si="1"/>
        <v>2.25</v>
      </c>
      <c r="K62" s="12">
        <f t="shared" si="2"/>
        <v>0</v>
      </c>
      <c r="L62" s="12">
        <f t="shared" si="3"/>
        <v>-23</v>
      </c>
      <c r="N62">
        <f t="shared" si="8"/>
        <v>815.217391304348</v>
      </c>
      <c r="O62" s="31">
        <f t="shared" si="9"/>
        <v>10869.5652173913</v>
      </c>
      <c r="P62">
        <f t="shared" si="10"/>
        <v>92</v>
      </c>
    </row>
  </sheetData>
  <mergeCells count="4">
    <mergeCell ref="A1:C1"/>
    <mergeCell ref="D1:E1"/>
    <mergeCell ref="F1:G1"/>
    <mergeCell ref="H1:L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Exsum</vt:lpstr>
      <vt:lpstr>Data Summary</vt:lpstr>
      <vt:lpstr>Raw_data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aciek12</dc:creator>
  <cp:lastModifiedBy>aciek12</cp:lastModifiedBy>
  <dcterms:created xsi:type="dcterms:W3CDTF">2020-06-11T15:25:33Z</dcterms:created>
  <dcterms:modified xsi:type="dcterms:W3CDTF">2020-06-11T19:36:37Z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