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Cap" sheetId="1" r:id="rId4"/>
    <sheet state="visible" name="Market cap" sheetId="2" r:id="rId5"/>
  </sheets>
  <definedNames/>
  <calcPr/>
</workbook>
</file>

<file path=xl/sharedStrings.xml><?xml version="1.0" encoding="utf-8"?>
<sst xmlns="http://schemas.openxmlformats.org/spreadsheetml/2006/main" count="51" uniqueCount="51">
  <si>
    <t>ticker</t>
  </si>
  <si>
    <t>Company</t>
  </si>
  <si>
    <t>price</t>
  </si>
  <si>
    <t>change</t>
  </si>
  <si>
    <t>change %</t>
  </si>
  <si>
    <t>marketcap</t>
  </si>
  <si>
    <t>PE</t>
  </si>
  <si>
    <t>volume</t>
  </si>
  <si>
    <t>averagevolume</t>
  </si>
  <si>
    <t>MSFT</t>
  </si>
  <si>
    <t>AAPL</t>
  </si>
  <si>
    <t>TSLA</t>
  </si>
  <si>
    <t>JNJ</t>
  </si>
  <si>
    <t>WMT</t>
  </si>
  <si>
    <t>KO</t>
  </si>
  <si>
    <t>PEP</t>
  </si>
  <si>
    <t>MRK</t>
  </si>
  <si>
    <t>AMZN</t>
  </si>
  <si>
    <t>ORCL</t>
  </si>
  <si>
    <t>MA</t>
  </si>
  <si>
    <t>PG</t>
  </si>
  <si>
    <t>V</t>
  </si>
  <si>
    <t>GOOG</t>
  </si>
  <si>
    <t>F</t>
  </si>
  <si>
    <t>TCS</t>
  </si>
  <si>
    <t>BSE</t>
  </si>
  <si>
    <t>M&amp;M</t>
  </si>
  <si>
    <t>INFI</t>
  </si>
  <si>
    <t>SBIN</t>
  </si>
  <si>
    <t>RELIANCE</t>
  </si>
  <si>
    <t>NVDA</t>
  </si>
  <si>
    <t>BABA</t>
  </si>
  <si>
    <t>GE</t>
  </si>
  <si>
    <t>BAYN</t>
  </si>
  <si>
    <t>T</t>
  </si>
  <si>
    <t>SQ</t>
  </si>
  <si>
    <t>INDEX</t>
  </si>
  <si>
    <t>NKE</t>
  </si>
  <si>
    <t>IBM</t>
  </si>
  <si>
    <t>PUM</t>
  </si>
  <si>
    <t>ZOMATO</t>
  </si>
  <si>
    <t>CVX</t>
  </si>
  <si>
    <t>NFLX</t>
  </si>
  <si>
    <t>TATAMOTORS</t>
  </si>
  <si>
    <t>MMYT</t>
  </si>
  <si>
    <t>META</t>
  </si>
  <si>
    <t>ADS</t>
  </si>
  <si>
    <t>HD</t>
  </si>
  <si>
    <t>GWI</t>
  </si>
  <si>
    <t>TATAPOWER</t>
  </si>
  <si>
    <t>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</si>
</sst>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3" fontId="1" numFmtId="0" xfId="0" applyAlignment="1" applyBorder="1" applyFill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vertical="bottom"/>
    </xf>
    <xf borderId="4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tock Ca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J44" displayName="Table1" name="Table1" id="1">
  <tableColumns count="9">
    <tableColumn name="ticker" id="1"/>
    <tableColumn name="Company" id="2"/>
    <tableColumn name="price" id="3"/>
    <tableColumn name="change" id="4"/>
    <tableColumn name="change %" id="5"/>
    <tableColumn name="marketcap" id="6"/>
    <tableColumn name="PE" id="7"/>
    <tableColumn name="volume" id="8"/>
    <tableColumn name="averagevolume" id="9"/>
  </tableColumns>
  <tableStyleInfo name="Stock Ca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7" max="7" width="14.38"/>
    <col customWidth="1" min="10" max="10" width="16.75"/>
  </cols>
  <sheetData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5" t="s">
        <v>9</v>
      </c>
      <c r="C3" s="6" t="str">
        <f>IFERROR(__xludf.DUMMYFUNCTION("GOOGLEFINANCE(B3,""NAME"")"),"Microsoft Corp")</f>
        <v>Microsoft Corp</v>
      </c>
      <c r="D3" s="6">
        <f>IFERROR(__xludf.DUMMYFUNCTION("GOOGLEFINANCE(B3,""price"")"),418.79)</f>
        <v>418.79</v>
      </c>
      <c r="E3" s="6">
        <f>IFERROR(__xludf.DUMMYFUNCTION("GOOGLEFINANCE(B3,""change"")"),1.79)</f>
        <v>1.79</v>
      </c>
      <c r="F3" s="6">
        <f>IFERROR(__xludf.DUMMYFUNCTION("GOOGLEFINANCE(B3,""changepct"")/100"),0.0043)</f>
        <v>0.0043</v>
      </c>
      <c r="G3" s="6">
        <f>IFERROR(__xludf.DUMMYFUNCTION("GOOGLEFINANCE(B3,""marketcap"")"),3.11365345873E12)</f>
        <v>3113653458730</v>
      </c>
      <c r="H3" s="6">
        <f>IFERROR(__xludf.DUMMYFUNCTION("GOOGLEFINANCE(B3,""PE"")"),34.57)</f>
        <v>34.57</v>
      </c>
      <c r="I3" s="6">
        <f>IFERROR(__xludf.DUMMYFUNCTION("GOOGLEFINANCE(B3,""volume"")"),79590.0)</f>
        <v>79590</v>
      </c>
      <c r="J3" s="6">
        <f>IFERROR(__xludf.DUMMYFUNCTION("GOOGLEFINANCE(B3,""volumeavg"")"),2.1522128E7)</f>
        <v>21522128</v>
      </c>
    </row>
    <row r="4">
      <c r="B4" s="5" t="s">
        <v>10</v>
      </c>
      <c r="C4" s="6" t="str">
        <f>IFERROR(__xludf.DUMMYFUNCTION("GOOGLEFINANCE(B4,""NAME"")"),"Apple Inc")</f>
        <v>Apple Inc</v>
      </c>
      <c r="D4" s="6">
        <f>IFERROR(__xludf.DUMMYFUNCTION("GOOGLEFINANCE(B4,""price"")"),232.87)</f>
        <v>232.87</v>
      </c>
      <c r="E4" s="6">
        <f>IFERROR(__xludf.DUMMYFUNCTION("GOOGLEFINANCE(B4,""change"")"),3.0)</f>
        <v>3</v>
      </c>
      <c r="F4" s="6">
        <f>IFERROR(__xludf.DUMMYFUNCTION("GOOGLEFINANCE(B4,""changepct"")/100"),0.0131)</f>
        <v>0.0131</v>
      </c>
      <c r="G4" s="6">
        <f>IFERROR(__xludf.DUMMYFUNCTION("GOOGLEFINANCE(B4,""marketcap"")"),3.520020929592E12)</f>
        <v>3520020929592</v>
      </c>
      <c r="H4" s="6">
        <f>IFERROR(__xludf.DUMMYFUNCTION("GOOGLEFINANCE(B4,""PE"")"),38.28)</f>
        <v>38.28</v>
      </c>
      <c r="I4" s="6">
        <f>IFERROR(__xludf.DUMMYFUNCTION("GOOGLEFINANCE(B4,""volume"")"),68194.0)</f>
        <v>68194</v>
      </c>
      <c r="J4" s="6">
        <f>IFERROR(__xludf.DUMMYFUNCTION("GOOGLEFINANCE(B4,""volumeavg"")"),4.3063578E7)</f>
        <v>43063578</v>
      </c>
    </row>
    <row r="5">
      <c r="B5" s="5" t="s">
        <v>11</v>
      </c>
      <c r="C5" s="6" t="str">
        <f>IFERROR(__xludf.DUMMYFUNCTION("GOOGLEFINANCE(B5,""NAME"")"),"Tesla Inc")</f>
        <v>Tesla Inc</v>
      </c>
      <c r="D5" s="6">
        <f>IFERROR(__xludf.DUMMYFUNCTION("GOOGLEFINANCE(B5,""price"")"),338.59)</f>
        <v>338.59</v>
      </c>
      <c r="E5" s="6">
        <f>IFERROR(__xludf.DUMMYFUNCTION("GOOGLEFINANCE(B5,""change"")"),-13.97)</f>
        <v>-13.97</v>
      </c>
      <c r="F5" s="6">
        <f>IFERROR(__xludf.DUMMYFUNCTION("GOOGLEFINANCE(B5,""changepct"")/100"),-0.039599999999999996)</f>
        <v>-0.0396</v>
      </c>
      <c r="G5" s="6">
        <f>IFERROR(__xludf.DUMMYFUNCTION("GOOGLEFINANCE(B5,""marketcap"")"),1.060961595824E12)</f>
        <v>1060961595824</v>
      </c>
      <c r="H5" s="6">
        <f>IFERROR(__xludf.DUMMYFUNCTION("GOOGLEFINANCE(B5,""PE"")"),92.84)</f>
        <v>92.84</v>
      </c>
      <c r="I5" s="6">
        <f>IFERROR(__xludf.DUMMYFUNCTION("GOOGLEFINANCE(B5,""volume"")"),634361.0)</f>
        <v>634361</v>
      </c>
      <c r="J5" s="6">
        <f>IFERROR(__xludf.DUMMYFUNCTION("GOOGLEFINANCE(B5,""volumeavg"")"),9.9478792E7)</f>
        <v>99478792</v>
      </c>
    </row>
    <row r="6">
      <c r="B6" s="5" t="s">
        <v>12</v>
      </c>
      <c r="C6" s="6" t="str">
        <f>IFERROR(__xludf.DUMMYFUNCTION("GOOGLEFINANCE(B6,""NAME"")"),"Johnson &amp; Johnson")</f>
        <v>Johnson &amp; Johnson</v>
      </c>
      <c r="D6" s="6">
        <f>IFERROR(__xludf.DUMMYFUNCTION("GOOGLEFINANCE(B6,""price"")"),155.78)</f>
        <v>155.78</v>
      </c>
      <c r="E6" s="6">
        <f>IFERROR(__xludf.DUMMYFUNCTION("GOOGLEFINANCE(B6,""change"")"),0.61)</f>
        <v>0.61</v>
      </c>
      <c r="F6" s="6">
        <f>IFERROR(__xludf.DUMMYFUNCTION("GOOGLEFINANCE(B6,""changepct"")/100"),0.0039000000000000003)</f>
        <v>0.0039</v>
      </c>
      <c r="G6" s="6">
        <f>IFERROR(__xludf.DUMMYFUNCTION("GOOGLEFINANCE(B6,""marketcap"")"),3.75059352221E11)</f>
        <v>375059352221</v>
      </c>
      <c r="H6" s="6">
        <f>IFERROR(__xludf.DUMMYFUNCTION("GOOGLEFINANCE(B6,""PE"")"),25.75)</f>
        <v>25.75</v>
      </c>
      <c r="I6" s="6">
        <f>IFERROR(__xludf.DUMMYFUNCTION("GOOGLEFINANCE(B6,""volume"")"),1790.0)</f>
        <v>1790</v>
      </c>
      <c r="J6" s="6">
        <f>IFERROR(__xludf.DUMMYFUNCTION("GOOGLEFINANCE(B6,""volumeavg"")"),7142049.0)</f>
        <v>7142049</v>
      </c>
    </row>
    <row r="7">
      <c r="B7" s="5" t="s">
        <v>13</v>
      </c>
      <c r="C7" s="6" t="str">
        <f>IFERROR(__xludf.DUMMYFUNCTION("GOOGLEFINANCE(B7,""NAME"")"),"Walmart Inc")</f>
        <v>Walmart Inc</v>
      </c>
      <c r="D7" s="6">
        <f>IFERROR(__xludf.DUMMYFUNCTION("GOOGLEFINANCE(B7,""price"")"),89.5)</f>
        <v>89.5</v>
      </c>
      <c r="E7" s="6">
        <f>IFERROR(__xludf.DUMMYFUNCTION("GOOGLEFINANCE(B7,""change"")"),-0.94)</f>
        <v>-0.94</v>
      </c>
      <c r="F7" s="6">
        <f>IFERROR(__xludf.DUMMYFUNCTION("GOOGLEFINANCE(B7,""changepct"")/100"),-0.0104)</f>
        <v>-0.0104</v>
      </c>
      <c r="G7" s="6">
        <f>IFERROR(__xludf.DUMMYFUNCTION("GOOGLEFINANCE(B7,""marketcap"")"),7.19423375E11)</f>
        <v>719423375000</v>
      </c>
      <c r="H7" s="6">
        <f>IFERROR(__xludf.DUMMYFUNCTION("GOOGLEFINANCE(B7,""PE"")"),46.56)</f>
        <v>46.56</v>
      </c>
      <c r="I7" s="6">
        <f>IFERROR(__xludf.DUMMYFUNCTION("GOOGLEFINANCE(B7,""volume"")"),5286.0)</f>
        <v>5286</v>
      </c>
      <c r="J7" s="6">
        <f>IFERROR(__xludf.DUMMYFUNCTION("GOOGLEFINANCE(B7,""volumeavg"")"),1.424961E7)</f>
        <v>14249610</v>
      </c>
    </row>
    <row r="8">
      <c r="B8" s="5" t="s">
        <v>14</v>
      </c>
      <c r="C8" s="6" t="str">
        <f>IFERROR(__xludf.DUMMYFUNCTION("GOOGLEFINANCE(B8,""NAME"")"),"Coca-Cola Co")</f>
        <v>Coca-Cola Co</v>
      </c>
      <c r="D8" s="6">
        <f>IFERROR(__xludf.DUMMYFUNCTION("GOOGLEFINANCE(B8,""price"")"),64.38)</f>
        <v>64.38</v>
      </c>
      <c r="E8" s="6">
        <f>IFERROR(__xludf.DUMMYFUNCTION("GOOGLEFINANCE(B8,""change"")"),0.46)</f>
        <v>0.46</v>
      </c>
      <c r="F8" s="6">
        <f>IFERROR(__xludf.DUMMYFUNCTION("GOOGLEFINANCE(B8,""changepct"")/100"),0.0072)</f>
        <v>0.0072</v>
      </c>
      <c r="G8" s="6">
        <f>IFERROR(__xludf.DUMMYFUNCTION("GOOGLEFINANCE(B8,""marketcap"")"),2.77335959028E11)</f>
        <v>277335959028</v>
      </c>
      <c r="H8" s="6">
        <f>IFERROR(__xludf.DUMMYFUNCTION("GOOGLEFINANCE(B8,""PE"")"),26.74)</f>
        <v>26.74</v>
      </c>
      <c r="I8" s="6">
        <f>IFERROR(__xludf.DUMMYFUNCTION("GOOGLEFINANCE(B8,""volume"")"),14404.0)</f>
        <v>14404</v>
      </c>
      <c r="J8" s="6">
        <f>IFERROR(__xludf.DUMMYFUNCTION("GOOGLEFINANCE(B8,""volumeavg"")"),1.5046122E7)</f>
        <v>15046122</v>
      </c>
    </row>
    <row r="9">
      <c r="B9" s="5" t="s">
        <v>15</v>
      </c>
      <c r="C9" s="6" t="str">
        <f>IFERROR(__xludf.DUMMYFUNCTION("GOOGLEFINANCE(B9,""NAME"")"),"PepsiCo Inc")</f>
        <v>PepsiCo Inc</v>
      </c>
      <c r="D9" s="6">
        <f>IFERROR(__xludf.DUMMYFUNCTION("GOOGLEFINANCE(B9,""price"")"),163.05)</f>
        <v>163.05</v>
      </c>
      <c r="E9" s="6">
        <f>IFERROR(__xludf.DUMMYFUNCTION("GOOGLEFINANCE(B9,""change"")"),1.05)</f>
        <v>1.05</v>
      </c>
      <c r="F9" s="6">
        <f>IFERROR(__xludf.DUMMYFUNCTION("GOOGLEFINANCE(B9,""changepct"")/100"),0.006500000000000001)</f>
        <v>0.0065</v>
      </c>
      <c r="G9" s="6">
        <f>IFERROR(__xludf.DUMMYFUNCTION("GOOGLEFINANCE(B9,""marketcap"")"),2.23702647586E11)</f>
        <v>223702647586</v>
      </c>
      <c r="H9" s="6">
        <f>IFERROR(__xludf.DUMMYFUNCTION("GOOGLEFINANCE(B9,""PE"")"),24.03)</f>
        <v>24.03</v>
      </c>
      <c r="I9" s="6">
        <f>IFERROR(__xludf.DUMMYFUNCTION("GOOGLEFINANCE(B9,""volume"")"),254.0)</f>
        <v>254</v>
      </c>
      <c r="J9" s="6">
        <f>IFERROR(__xludf.DUMMYFUNCTION("GOOGLEFINANCE(B9,""volumeavg"")"),5334581.0)</f>
        <v>5334581</v>
      </c>
    </row>
    <row r="10">
      <c r="B10" s="5" t="s">
        <v>16</v>
      </c>
      <c r="C10" s="6" t="str">
        <f>IFERROR(__xludf.DUMMYFUNCTION("GOOGLEFINANCE(B10,""NAME"")"),"Merck &amp; Co Inc")</f>
        <v>Merck &amp; Co Inc</v>
      </c>
      <c r="D10" s="6">
        <f>IFERROR(__xludf.DUMMYFUNCTION("GOOGLEFINANCE(B10,""price"")"),101.16)</f>
        <v>101.16</v>
      </c>
      <c r="E10" s="6">
        <f>IFERROR(__xludf.DUMMYFUNCTION("GOOGLEFINANCE(B10,""change"")"),1.98)</f>
        <v>1.98</v>
      </c>
      <c r="F10" s="6">
        <f>IFERROR(__xludf.DUMMYFUNCTION("GOOGLEFINANCE(B10,""changepct"")/100"),0.02)</f>
        <v>0.02</v>
      </c>
      <c r="G10" s="6">
        <f>IFERROR(__xludf.DUMMYFUNCTION("GOOGLEFINANCE(B10,""marketcap"")"),2.55897987023E11)</f>
        <v>255897987023</v>
      </c>
      <c r="H10" s="6">
        <f>IFERROR(__xludf.DUMMYFUNCTION("GOOGLEFINANCE(B10,""PE"")"),21.21)</f>
        <v>21.21</v>
      </c>
      <c r="I10" s="6">
        <f>IFERROR(__xludf.DUMMYFUNCTION("GOOGLEFINANCE(B10,""volume"")"),665.0)</f>
        <v>665</v>
      </c>
      <c r="J10" s="6">
        <f>IFERROR(__xludf.DUMMYFUNCTION("GOOGLEFINANCE(B10,""volumeavg"")"),1.0661082E7)</f>
        <v>10661082</v>
      </c>
    </row>
    <row r="11">
      <c r="A11" s="7"/>
      <c r="B11" s="8" t="s">
        <v>17</v>
      </c>
      <c r="C11" s="6" t="str">
        <f>IFERROR(__xludf.DUMMYFUNCTION("GOOGLEFINANCE(B11,""NAME"")"),"Amazon.com Inc")</f>
        <v>Amazon.com Inc</v>
      </c>
      <c r="D11" s="6">
        <f>IFERROR(__xludf.DUMMYFUNCTION("GOOGLEFINANCE(B11,""price"")"),201.45)</f>
        <v>201.45</v>
      </c>
      <c r="E11" s="6">
        <f>IFERROR(__xludf.DUMMYFUNCTION("GOOGLEFINANCE(B11,""change"")"),4.33)</f>
        <v>4.33</v>
      </c>
      <c r="F11" s="6">
        <f>IFERROR(__xludf.DUMMYFUNCTION("GOOGLEFINANCE(B11,""changepct"")/100"),0.022000000000000002)</f>
        <v>0.022</v>
      </c>
      <c r="G11" s="6">
        <f>IFERROR(__xludf.DUMMYFUNCTION("GOOGLEFINANCE(B11,""marketcap"")"),2.11824873241E12)</f>
        <v>2118248732410</v>
      </c>
      <c r="H11" s="6">
        <f>IFERROR(__xludf.DUMMYFUNCTION("GOOGLEFINANCE(B11,""PE"")"),43.17)</f>
        <v>43.17</v>
      </c>
      <c r="I11" s="6">
        <f>IFERROR(__xludf.DUMMYFUNCTION("GOOGLEFINANCE(B11,""volume"")"),39174.0)</f>
        <v>39174</v>
      </c>
      <c r="J11" s="6">
        <f>IFERROR(__xludf.DUMMYFUNCTION("GOOGLEFINANCE(B11,""volumeavg"")"),4.0834772E7)</f>
        <v>40834772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B12" s="5" t="s">
        <v>18</v>
      </c>
      <c r="C12" s="6" t="str">
        <f>IFERROR(__xludf.DUMMYFUNCTION("GOOGLEFINANCE(B12,""NAME"")"),"Oracle Corp")</f>
        <v>Oracle Corp</v>
      </c>
      <c r="D12" s="6">
        <f>IFERROR(__xludf.DUMMYFUNCTION("GOOGLEFINANCE(B12,""price"")"),187.99)</f>
        <v>187.99</v>
      </c>
      <c r="E12" s="6">
        <f>IFERROR(__xludf.DUMMYFUNCTION("GOOGLEFINANCE(B12,""change"")"),-4.3)</f>
        <v>-4.3</v>
      </c>
      <c r="F12" s="6">
        <f>IFERROR(__xludf.DUMMYFUNCTION("GOOGLEFINANCE(B12,""changepct"")/100"),-0.022400000000000003)</f>
        <v>-0.0224</v>
      </c>
      <c r="G12" s="6">
        <f>IFERROR(__xludf.DUMMYFUNCTION("GOOGLEFINANCE(B12,""marketcap"")"),5.20932148591E11)</f>
        <v>520932148591</v>
      </c>
      <c r="H12" s="6">
        <f>IFERROR(__xludf.DUMMYFUNCTION("GOOGLEFINANCE(B12,""PE"")"),48.48)</f>
        <v>48.48</v>
      </c>
      <c r="I12" s="6">
        <f>IFERROR(__xludf.DUMMYFUNCTION("GOOGLEFINANCE(B12,""volume"")"),2954.0)</f>
        <v>2954</v>
      </c>
      <c r="J12" s="6">
        <f>IFERROR(__xludf.DUMMYFUNCTION("GOOGLEFINANCE(B12,""volumeavg"")"),6292946.0)</f>
        <v>6292946</v>
      </c>
    </row>
    <row r="13">
      <c r="B13" s="5" t="s">
        <v>19</v>
      </c>
      <c r="C13" s="6" t="str">
        <f>IFERROR(__xludf.DUMMYFUNCTION("GOOGLEFINANCE(B13,""NAME"")"),"Mastercard Inc")</f>
        <v>Mastercard Inc</v>
      </c>
      <c r="D13" s="6">
        <f>IFERROR(__xludf.DUMMYFUNCTION("GOOGLEFINANCE(B13,""price"")"),526.6)</f>
        <v>526.6</v>
      </c>
      <c r="E13" s="6">
        <f>IFERROR(__xludf.DUMMYFUNCTION("GOOGLEFINANCE(B13,""change"")"),5.74)</f>
        <v>5.74</v>
      </c>
      <c r="F13" s="6">
        <f>IFERROR(__xludf.DUMMYFUNCTION("GOOGLEFINANCE(B13,""changepct"")/100"),0.011000000000000001)</f>
        <v>0.011</v>
      </c>
      <c r="G13" s="6">
        <f>IFERROR(__xludf.DUMMYFUNCTION("GOOGLEFINANCE(B13,""marketcap"")"),4.83329782192E11)</f>
        <v>483329782192</v>
      </c>
      <c r="H13" s="6">
        <f>IFERROR(__xludf.DUMMYFUNCTION("GOOGLEFINANCE(B13,""PE"")"),39.8)</f>
        <v>39.8</v>
      </c>
      <c r="I13" s="6">
        <f>IFERROR(__xludf.DUMMYFUNCTION("GOOGLEFINANCE(B13,""volume"")"),35.0)</f>
        <v>35</v>
      </c>
      <c r="J13" s="6">
        <f>IFERROR(__xludf.DUMMYFUNCTION("GOOGLEFINANCE(B13,""volumeavg"")"),2584682.0)</f>
        <v>2584682</v>
      </c>
    </row>
    <row r="14">
      <c r="B14" s="5" t="s">
        <v>20</v>
      </c>
      <c r="C14" s="6" t="str">
        <f>IFERROR(__xludf.DUMMYFUNCTION("GOOGLEFINANCE(B14,""NAME"")"),"Procter &amp; Gamble Co")</f>
        <v>Procter &amp; Gamble Co</v>
      </c>
      <c r="D14" s="6">
        <f>IFERROR(__xludf.DUMMYFUNCTION("GOOGLEFINANCE(B14,""price"")"),177.39)</f>
        <v>177.39</v>
      </c>
      <c r="E14" s="6">
        <f>IFERROR(__xludf.DUMMYFUNCTION("GOOGLEFINANCE(B14,""change"")"),1.11)</f>
        <v>1.11</v>
      </c>
      <c r="F14" s="6">
        <f>IFERROR(__xludf.DUMMYFUNCTION("GOOGLEFINANCE(B14,""changepct"")/100"),0.0063)</f>
        <v>0.0063</v>
      </c>
      <c r="G14" s="6">
        <f>IFERROR(__xludf.DUMMYFUNCTION("GOOGLEFINANCE(B14,""marketcap"")"),4.17760721552E11)</f>
        <v>417760721552</v>
      </c>
      <c r="H14" s="6">
        <f>IFERROR(__xludf.DUMMYFUNCTION("GOOGLEFINANCE(B14,""PE"")"),30.6)</f>
        <v>30.6</v>
      </c>
      <c r="I14" s="6">
        <f>IFERROR(__xludf.DUMMYFUNCTION("GOOGLEFINANCE(B14,""volume"")"),233.0)</f>
        <v>233</v>
      </c>
      <c r="J14" s="6">
        <f>IFERROR(__xludf.DUMMYFUNCTION("GOOGLEFINANCE(B14,""volumeavg"")"),6707409.0)</f>
        <v>6707409</v>
      </c>
    </row>
    <row r="15">
      <c r="B15" s="5" t="s">
        <v>21</v>
      </c>
      <c r="C15" s="6" t="str">
        <f>IFERROR(__xludf.DUMMYFUNCTION("GOOGLEFINANCE(B15,""NAME"")"),"Visa Inc")</f>
        <v>Visa Inc</v>
      </c>
      <c r="D15" s="6">
        <f>IFERROR(__xludf.DUMMYFUNCTION("GOOGLEFINANCE(B15,""price"")"),313.19)</f>
        <v>313.19</v>
      </c>
      <c r="E15" s="6">
        <f>IFERROR(__xludf.DUMMYFUNCTION("GOOGLEFINANCE(B15,""change"")"),3.27)</f>
        <v>3.27</v>
      </c>
      <c r="F15" s="6">
        <f>IFERROR(__xludf.DUMMYFUNCTION("GOOGLEFINANCE(B15,""changepct"")/100"),0.0106)</f>
        <v>0.0106</v>
      </c>
      <c r="G15" s="6">
        <f>IFERROR(__xludf.DUMMYFUNCTION("GOOGLEFINANCE(B15,""marketcap"")"),6.13770662194E11)</f>
        <v>613770662194</v>
      </c>
      <c r="H15" s="6">
        <f>IFERROR(__xludf.DUMMYFUNCTION("GOOGLEFINANCE(B15,""PE"")"),32.19)</f>
        <v>32.19</v>
      </c>
      <c r="I15" s="6">
        <f>IFERROR(__xludf.DUMMYFUNCTION("GOOGLEFINANCE(B15,""volume"")"),569.0)</f>
        <v>569</v>
      </c>
      <c r="J15" s="6">
        <f>IFERROR(__xludf.DUMMYFUNCTION("GOOGLEFINANCE(B15,""volumeavg"")"),5863932.0)</f>
        <v>5863932</v>
      </c>
    </row>
    <row r="16">
      <c r="B16" s="5" t="s">
        <v>22</v>
      </c>
      <c r="C16" s="6" t="str">
        <f>IFERROR(__xludf.DUMMYFUNCTION("GOOGLEFINANCE(B16,""NAME"")"),"Alphabet Inc Class C")</f>
        <v>Alphabet Inc Class C</v>
      </c>
      <c r="D16" s="6">
        <f>IFERROR(__xludf.DUMMYFUNCTION("GOOGLEFINANCE(B16,""price"")"),169.43)</f>
        <v>169.43</v>
      </c>
      <c r="E16" s="6">
        <f>IFERROR(__xludf.DUMMYFUNCTION("GOOGLEFINANCE(B16,""change"")"),2.86)</f>
        <v>2.86</v>
      </c>
      <c r="F16" s="6">
        <f>IFERROR(__xludf.DUMMYFUNCTION("GOOGLEFINANCE(B16,""changepct"")/100"),0.0172)</f>
        <v>0.0172</v>
      </c>
      <c r="G16" s="6">
        <f>IFERROR(__xludf.DUMMYFUNCTION("GOOGLEFINANCE(B16,""marketcap"")"),2.062395018415E12)</f>
        <v>2062395018415</v>
      </c>
      <c r="H16" s="6">
        <f>IFERROR(__xludf.DUMMYFUNCTION("GOOGLEFINANCE(B16,""PE"")"),22.48)</f>
        <v>22.48</v>
      </c>
      <c r="I16" s="6">
        <f>IFERROR(__xludf.DUMMYFUNCTION("GOOGLEFINANCE(B16,""volume"")"),44917.0)</f>
        <v>44917</v>
      </c>
      <c r="J16" s="6">
        <f>IFERROR(__xludf.DUMMYFUNCTION("GOOGLEFINANCE(B16,""volumeavg"")"),1.871074E7)</f>
        <v>18710740</v>
      </c>
    </row>
    <row r="17">
      <c r="B17" s="5" t="s">
        <v>23</v>
      </c>
      <c r="C17" s="6" t="str">
        <f>IFERROR(__xludf.DUMMYFUNCTION("GOOGLEFINANCE(B17,""NAME"")"),"Ford Motor Co")</f>
        <v>Ford Motor Co</v>
      </c>
      <c r="D17" s="6">
        <f>IFERROR(__xludf.DUMMYFUNCTION("GOOGLEFINANCE(B17,""price"")"),11.4)</f>
        <v>11.4</v>
      </c>
      <c r="E17" s="6">
        <f>IFERROR(__xludf.DUMMYFUNCTION("GOOGLEFINANCE(B17,""change"")"),0.22)</f>
        <v>0.22</v>
      </c>
      <c r="F17" s="6">
        <f>IFERROR(__xludf.DUMMYFUNCTION("GOOGLEFINANCE(B17,""changepct"")/100"),0.0197)</f>
        <v>0.0197</v>
      </c>
      <c r="G17" s="6">
        <f>IFERROR(__xludf.DUMMYFUNCTION("GOOGLEFINANCE(B17,""marketcap"")"),4.5306881683E10)</f>
        <v>45306881683</v>
      </c>
      <c r="H17" s="6">
        <f>IFERROR(__xludf.DUMMYFUNCTION("GOOGLEFINANCE(B17,""PE"")"),13.0)</f>
        <v>13</v>
      </c>
      <c r="I17" s="6">
        <f>IFERROR(__xludf.DUMMYFUNCTION("GOOGLEFINANCE(B17,""volume"")"),73223.0)</f>
        <v>73223</v>
      </c>
      <c r="J17" s="6">
        <f>IFERROR(__xludf.DUMMYFUNCTION("GOOGLEFINANCE(B17,""volumeavg"")"),5.7414801E7)</f>
        <v>57414801</v>
      </c>
    </row>
    <row r="18">
      <c r="B18" s="5" t="s">
        <v>24</v>
      </c>
      <c r="C18" s="6" t="str">
        <f>IFERROR(__xludf.DUMMYFUNCTION("GOOGLEFINANCE(B18,""NAME"")"),"Container Store Group Inc")</f>
        <v>Container Store Group Inc</v>
      </c>
      <c r="D18" s="6">
        <f>IFERROR(__xludf.DUMMYFUNCTION("GOOGLEFINANCE(B18,""price"")"),3.81)</f>
        <v>3.81</v>
      </c>
      <c r="E18" s="6">
        <f>IFERROR(__xludf.DUMMYFUNCTION("GOOGLEFINANCE(B18,""change"")"),-0.16)</f>
        <v>-0.16</v>
      </c>
      <c r="F18" s="6">
        <f>IFERROR(__xludf.DUMMYFUNCTION("GOOGLEFINANCE(B18,""changepct"")/100"),-0.0403)</f>
        <v>-0.0403</v>
      </c>
      <c r="G18" s="6">
        <f>IFERROR(__xludf.DUMMYFUNCTION("GOOGLEFINANCE(B18,""marketcap"")"),1.3149258E7)</f>
        <v>13149258</v>
      </c>
      <c r="H18" s="6" t="str">
        <f>IFERROR(__xludf.DUMMYFUNCTION("GOOGLEFINANCE(B18,""PE"")"),"#N/A")</f>
        <v>#N/A</v>
      </c>
      <c r="I18" s="6">
        <f>IFERROR(__xludf.DUMMYFUNCTION("GOOGLEFINANCE(B18,""volume"")"),0.0)</f>
        <v>0</v>
      </c>
      <c r="J18" s="6">
        <f>IFERROR(__xludf.DUMMYFUNCTION("GOOGLEFINANCE(B18,""volumeavg"")"),207854.0)</f>
        <v>207854</v>
      </c>
    </row>
    <row r="19">
      <c r="B19" s="5" t="s">
        <v>25</v>
      </c>
      <c r="C19" s="6" t="str">
        <f>IFERROR(__xludf.DUMMYFUNCTION("GOOGLEFINANCE(B19,""NAME"")"),"BSE Ltd")</f>
        <v>BSE Ltd</v>
      </c>
      <c r="D19" s="6">
        <f>IFERROR(__xludf.DUMMYFUNCTION("GOOGLEFINANCE(B19,""price"")"),4429.0)</f>
        <v>4429</v>
      </c>
      <c r="E19" s="6">
        <f>IFERROR(__xludf.DUMMYFUNCTION("GOOGLEFINANCE(B19,""change"")"),-257.8)</f>
        <v>-257.8</v>
      </c>
      <c r="F19" s="6">
        <f>IFERROR(__xludf.DUMMYFUNCTION("GOOGLEFINANCE(B19,""changepct"")/100"),-0.055)</f>
        <v>-0.055</v>
      </c>
      <c r="G19" s="6">
        <f>IFERROR(__xludf.DUMMYFUNCTION("GOOGLEFINANCE(B19,""marketcap"")"),5.995816327E11)</f>
        <v>599581632700</v>
      </c>
      <c r="H19" s="6">
        <f>IFERROR(__xludf.DUMMYFUNCTION("GOOGLEFINANCE(B19,""PE"")"),73.54)</f>
        <v>73.54</v>
      </c>
      <c r="I19" s="6">
        <f>IFERROR(__xludf.DUMMYFUNCTION("GOOGLEFINANCE(B19,""volume"")"),4382423.0)</f>
        <v>4382423</v>
      </c>
      <c r="J19" s="6">
        <f>IFERROR(__xludf.DUMMYFUNCTION("GOOGLEFINANCE(B19,""volumeavg"")"),2900216.0)</f>
        <v>2900216</v>
      </c>
    </row>
    <row r="20">
      <c r="B20" s="5" t="s">
        <v>26</v>
      </c>
      <c r="C20" s="6" t="str">
        <f>IFERROR(__xludf.DUMMYFUNCTION("GOOGLEFINANCE(B20,""NAME"")"),"Mahindra And Mahindra Ltd")</f>
        <v>Mahindra And Mahindra Ltd</v>
      </c>
      <c r="D20" s="6">
        <f>IFERROR(__xludf.DUMMYFUNCTION("GOOGLEFINANCE(B20,""price"")"),3005.0)</f>
        <v>3005</v>
      </c>
      <c r="E20" s="6">
        <f>IFERROR(__xludf.DUMMYFUNCTION("GOOGLEFINANCE(B20,""change"")"),-40.6)</f>
        <v>-40.6</v>
      </c>
      <c r="F20" s="6">
        <f>IFERROR(__xludf.DUMMYFUNCTION("GOOGLEFINANCE(B20,""changepct"")/100"),-0.013300000000000001)</f>
        <v>-0.0133</v>
      </c>
      <c r="G20" s="6">
        <f>IFERROR(__xludf.DUMMYFUNCTION("GOOGLEFINANCE(B20,""marketcap"")"),3.581431337307E12)</f>
        <v>3581431337307</v>
      </c>
      <c r="H20" s="6">
        <f>IFERROR(__xludf.DUMMYFUNCTION("GOOGLEFINANCE(B20,""PE"")"),28.35)</f>
        <v>28.35</v>
      </c>
      <c r="I20" s="6">
        <f>IFERROR(__xludf.DUMMYFUNCTION("GOOGLEFINANCE(B20,""volume"")"),2144702.0)</f>
        <v>2144702</v>
      </c>
      <c r="J20" s="6">
        <f>IFERROR(__xludf.DUMMYFUNCTION("GOOGLEFINANCE(B20,""volumeavg"")"),3675740.0)</f>
        <v>3675740</v>
      </c>
    </row>
    <row r="21">
      <c r="B21" s="5" t="s">
        <v>27</v>
      </c>
      <c r="C21" s="6" t="str">
        <f>IFERROR(__xludf.DUMMYFUNCTION("GOOGLEFINANCE(B21,""NAME"")"),"Infinitum Copper Corp")</f>
        <v>Infinitum Copper Corp</v>
      </c>
      <c r="D21" s="6">
        <f>IFERROR(__xludf.DUMMYFUNCTION("GOOGLEFINANCE(B21,""price"")"),0.02)</f>
        <v>0.02</v>
      </c>
      <c r="E21" s="6">
        <f>IFERROR(__xludf.DUMMYFUNCTION("GOOGLEFINANCE(B21,""change"")"),0.0)</f>
        <v>0</v>
      </c>
      <c r="F21" s="6">
        <f>IFERROR(__xludf.DUMMYFUNCTION("GOOGLEFINANCE(B21,""changepct"")/100"),0.0)</f>
        <v>0</v>
      </c>
      <c r="G21" s="6">
        <f>IFERROR(__xludf.DUMMYFUNCTION("GOOGLEFINANCE(B21,""marketcap"")"),545977.0)</f>
        <v>545977</v>
      </c>
      <c r="H21" s="6" t="str">
        <f>IFERROR(__xludf.DUMMYFUNCTION("GOOGLEFINANCE(B21,""PE"")"),"#N/A")</f>
        <v>#N/A</v>
      </c>
      <c r="I21" s="6">
        <f>IFERROR(__xludf.DUMMYFUNCTION("GOOGLEFINANCE(B21,""volume"")"),26000.0)</f>
        <v>26000</v>
      </c>
      <c r="J21" s="6">
        <f>IFERROR(__xludf.DUMMYFUNCTION("GOOGLEFINANCE(B21,""volumeavg"")"),94601.0)</f>
        <v>94601</v>
      </c>
    </row>
    <row r="22">
      <c r="B22" s="5" t="s">
        <v>28</v>
      </c>
      <c r="C22" s="6" t="str">
        <f>IFERROR(__xludf.DUMMYFUNCTION("GOOGLEFINANCE(B22,""NAME"")"),"State Bank of India")</f>
        <v>State Bank of India</v>
      </c>
      <c r="D22" s="6">
        <f>IFERROR(__xludf.DUMMYFUNCTION("GOOGLEFINANCE(B22,""price"")"),838.3)</f>
        <v>838.3</v>
      </c>
      <c r="E22" s="6">
        <f>IFERROR(__xludf.DUMMYFUNCTION("GOOGLEFINANCE(B22,""change"")"),-6.15)</f>
        <v>-6.15</v>
      </c>
      <c r="F22" s="6">
        <f>IFERROR(__xludf.DUMMYFUNCTION("GOOGLEFINANCE(B22,""changepct"")/100"),-0.0073)</f>
        <v>-0.0073</v>
      </c>
      <c r="G22" s="6">
        <f>IFERROR(__xludf.DUMMYFUNCTION("GOOGLEFINANCE(B22,""marketcap"")"),7.481598886433E12)</f>
        <v>7481598886433</v>
      </c>
      <c r="H22" s="6">
        <f>IFERROR(__xludf.DUMMYFUNCTION("GOOGLEFINANCE(B22,""PE"")"),10.46)</f>
        <v>10.46</v>
      </c>
      <c r="I22" s="6">
        <f>IFERROR(__xludf.DUMMYFUNCTION("GOOGLEFINANCE(B22,""volume"")"),8893744.0)</f>
        <v>8893744</v>
      </c>
      <c r="J22" s="6">
        <f>IFERROR(__xludf.DUMMYFUNCTION("GOOGLEFINANCE(B22,""volumeavg"")"),1.3774368E7)</f>
        <v>13774368</v>
      </c>
    </row>
    <row r="23">
      <c r="B23" s="5" t="s">
        <v>29</v>
      </c>
      <c r="C23" s="6" t="str">
        <f>IFERROR(__xludf.DUMMYFUNCTION("GOOGLEFINANCE(B23,""NAME"")"),"Reliance Industries Ltd")</f>
        <v>Reliance Industries Ltd</v>
      </c>
      <c r="D23" s="6">
        <f>IFERROR(__xludf.DUMMYFUNCTION("GOOGLEFINANCE(B23,""price"")"),1295.6)</f>
        <v>1295.6</v>
      </c>
      <c r="E23" s="6">
        <f>IFERROR(__xludf.DUMMYFUNCTION("GOOGLEFINANCE(B23,""change"")"),8.6)</f>
        <v>8.6</v>
      </c>
      <c r="F23" s="6">
        <f>IFERROR(__xludf.DUMMYFUNCTION("GOOGLEFINANCE(B23,""changepct"")/100"),0.0067)</f>
        <v>0.0067</v>
      </c>
      <c r="G23" s="6">
        <f>IFERROR(__xludf.DUMMYFUNCTION("GOOGLEFINANCE(B23,""marketcap"")"),1.7524231824472E13)</f>
        <v>17524231824472</v>
      </c>
      <c r="H23" s="6">
        <f>IFERROR(__xludf.DUMMYFUNCTION("GOOGLEFINANCE(B23,""PE"")"),25.82)</f>
        <v>25.82</v>
      </c>
      <c r="I23" s="6">
        <f>IFERROR(__xludf.DUMMYFUNCTION("GOOGLEFINANCE(B23,""volume"")"),9247557.0)</f>
        <v>9247557</v>
      </c>
      <c r="J23" s="6">
        <f>IFERROR(__xludf.DUMMYFUNCTION("GOOGLEFINANCE(B23,""volumeavg"")"),1.4876346E7)</f>
        <v>14876346</v>
      </c>
    </row>
    <row r="24">
      <c r="B24" s="5" t="s">
        <v>30</v>
      </c>
      <c r="C24" s="6" t="str">
        <f>IFERROR(__xludf.DUMMYFUNCTION("GOOGLEFINANCE(B24,""NAME"")"),"NVIDIA Corp")</f>
        <v>NVIDIA Corp</v>
      </c>
      <c r="D24" s="6">
        <f>IFERROR(__xludf.DUMMYFUNCTION("GOOGLEFINANCE(B24,""price"")"),136.02)</f>
        <v>136.02</v>
      </c>
      <c r="E24" s="6">
        <f>IFERROR(__xludf.DUMMYFUNCTION("GOOGLEFINANCE(B24,""change"")"),-5.93)</f>
        <v>-5.93</v>
      </c>
      <c r="F24" s="6">
        <f>IFERROR(__xludf.DUMMYFUNCTION("GOOGLEFINANCE(B24,""changepct"")/100"),-0.0418)</f>
        <v>-0.0418</v>
      </c>
      <c r="G24" s="6">
        <f>IFERROR(__xludf.DUMMYFUNCTION("GOOGLEFINANCE(B24,""marketcap"")"),3.336570704803E12)</f>
        <v>3336570704803</v>
      </c>
      <c r="H24" s="6">
        <f>IFERROR(__xludf.DUMMYFUNCTION("GOOGLEFINANCE(B24,""PE"")"),53.6)</f>
        <v>53.6</v>
      </c>
      <c r="I24" s="6">
        <f>IFERROR(__xludf.DUMMYFUNCTION("GOOGLEFINANCE(B24,""volume"")"),678267.0)</f>
        <v>678267</v>
      </c>
      <c r="J24" s="6">
        <f>IFERROR(__xludf.DUMMYFUNCTION("GOOGLEFINANCE(B24,""volumeavg"")"),2.29570202E8)</f>
        <v>229570202</v>
      </c>
    </row>
    <row r="25">
      <c r="B25" s="5" t="s">
        <v>31</v>
      </c>
      <c r="C25" s="6" t="str">
        <f>IFERROR(__xludf.DUMMYFUNCTION("GOOGLEFINANCE(B25,""NAME"")"),"Alibaba Group Holding Ltd - ADR")</f>
        <v>Alibaba Group Holding Ltd - ADR</v>
      </c>
      <c r="D25" s="6">
        <f>IFERROR(__xludf.DUMMYFUNCTION("GOOGLEFINANCE(B25,""price"")"),85.58)</f>
        <v>85.58</v>
      </c>
      <c r="E25" s="6">
        <f>IFERROR(__xludf.DUMMYFUNCTION("GOOGLEFINANCE(B25,""change"")"),2.45)</f>
        <v>2.45</v>
      </c>
      <c r="F25" s="6">
        <f>IFERROR(__xludf.DUMMYFUNCTION("GOOGLEFINANCE(B25,""changepct"")/100"),0.029500000000000002)</f>
        <v>0.0295</v>
      </c>
      <c r="G25" s="6">
        <f>IFERROR(__xludf.DUMMYFUNCTION("GOOGLEFINANCE(B25,""marketcap"")"),1.645961596367E12)</f>
        <v>1645961596367</v>
      </c>
      <c r="H25" s="6">
        <f>IFERROR(__xludf.DUMMYFUNCTION("GOOGLEFINANCE(B25,""PE"")"),17.68)</f>
        <v>17.68</v>
      </c>
      <c r="I25" s="6">
        <f>IFERROR(__xludf.DUMMYFUNCTION("GOOGLEFINANCE(B25,""volume"")"),36792.0)</f>
        <v>36792</v>
      </c>
      <c r="J25" s="6">
        <f>IFERROR(__xludf.DUMMYFUNCTION("GOOGLEFINANCE(B25,""volumeavg"")"),1.6603321E7)</f>
        <v>16603321</v>
      </c>
    </row>
    <row r="26">
      <c r="B26" s="5" t="s">
        <v>32</v>
      </c>
      <c r="C26" s="6" t="str">
        <f>IFERROR(__xludf.DUMMYFUNCTION("GOOGLEFINANCE(B26,""NAME"")"),"General Electric Co")</f>
        <v>General Electric Co</v>
      </c>
      <c r="D26" s="6">
        <f>IFERROR(__xludf.DUMMYFUNCTION("GOOGLEFINANCE(B26,""price"")"),180.21)</f>
        <v>180.21</v>
      </c>
      <c r="E26" s="6">
        <f>IFERROR(__xludf.DUMMYFUNCTION("GOOGLEFINANCE(B26,""change"")"),-0.94)</f>
        <v>-0.94</v>
      </c>
      <c r="F26" s="6">
        <f>IFERROR(__xludf.DUMMYFUNCTION("GOOGLEFINANCE(B26,""changepct"")/100"),-0.0052)</f>
        <v>-0.0052</v>
      </c>
      <c r="G26" s="6">
        <f>IFERROR(__xludf.DUMMYFUNCTION("GOOGLEFINANCE(B26,""marketcap"")"),1.95040209006E11)</f>
        <v>195040209006</v>
      </c>
      <c r="H26" s="6">
        <f>IFERROR(__xludf.DUMMYFUNCTION("GOOGLEFINANCE(B26,""PE"")"),31.68)</f>
        <v>31.68</v>
      </c>
      <c r="I26" s="6">
        <f>IFERROR(__xludf.DUMMYFUNCTION("GOOGLEFINANCE(B26,""volume"")"),60.0)</f>
        <v>60</v>
      </c>
      <c r="J26" s="6">
        <f>IFERROR(__xludf.DUMMYFUNCTION("GOOGLEFINANCE(B26,""volumeavg"")"),4646990.0)</f>
        <v>4646990</v>
      </c>
    </row>
    <row r="27">
      <c r="B27" s="5" t="s">
        <v>33</v>
      </c>
      <c r="C27" s="6" t="str">
        <f>IFERROR(__xludf.DUMMYFUNCTION("GOOGLEFINANCE(B27,""NAME"")"),"Bayer CEDEAR")</f>
        <v>Bayer CEDEAR</v>
      </c>
      <c r="D27" s="6">
        <f>IFERROR(__xludf.DUMMYFUNCTION("GOOGLEFINANCE(B27,""price"")"),3800.0)</f>
        <v>3800</v>
      </c>
      <c r="E27" s="6">
        <f>IFERROR(__xludf.DUMMYFUNCTION("GOOGLEFINANCE(B27,""change"")"),476.74)</f>
        <v>476.74</v>
      </c>
      <c r="F27" s="6">
        <f>IFERROR(__xludf.DUMMYFUNCTION("GOOGLEFINANCE(B27,""changepct"")/100"),0.1435)</f>
        <v>0.1435</v>
      </c>
      <c r="G27" s="6">
        <f>IFERROR(__xludf.DUMMYFUNCTION("GOOGLEFINANCE(B27,""marketcap"")"),1.8707242627E10)</f>
        <v>18707242627</v>
      </c>
      <c r="H27" s="6" t="str">
        <f>IFERROR(__xludf.DUMMYFUNCTION("GOOGLEFINANCE(B27,""PE"")"),"#N/A")</f>
        <v>#N/A</v>
      </c>
      <c r="I27" s="6">
        <f>IFERROR(__xludf.DUMMYFUNCTION("GOOGLEFINANCE(B27,""volume"")"),0.0)</f>
        <v>0</v>
      </c>
      <c r="J27" s="6">
        <f>IFERROR(__xludf.DUMMYFUNCTION("GOOGLEFINANCE(B27,""volumeavg"")"),0.0)</f>
        <v>0</v>
      </c>
    </row>
    <row r="28">
      <c r="B28" s="5" t="s">
        <v>34</v>
      </c>
      <c r="C28" s="6" t="str">
        <f>IFERROR(__xludf.DUMMYFUNCTION("GOOGLEFINANCE(B28,""NAME"")"),"AT&amp;T Inc")</f>
        <v>AT&amp;T Inc</v>
      </c>
      <c r="D28" s="6">
        <f>IFERROR(__xludf.DUMMYFUNCTION("GOOGLEFINANCE(B28,""price"")"),23.1)</f>
        <v>23.1</v>
      </c>
      <c r="E28" s="6">
        <f>IFERROR(__xludf.DUMMYFUNCTION("GOOGLEFINANCE(B28,""change"")"),-0.08)</f>
        <v>-0.08</v>
      </c>
      <c r="F28" s="6">
        <f>IFERROR(__xludf.DUMMYFUNCTION("GOOGLEFINANCE(B28,""changepct"")/100"),-0.0034999999999999996)</f>
        <v>-0.0035</v>
      </c>
      <c r="G28" s="6">
        <f>IFERROR(__xludf.DUMMYFUNCTION("GOOGLEFINANCE(B28,""marketcap"")"),1.65749178637E11)</f>
        <v>165749178637</v>
      </c>
      <c r="H28" s="6">
        <f>IFERROR(__xludf.DUMMYFUNCTION("GOOGLEFINANCE(B28,""PE"")"),18.77)</f>
        <v>18.77</v>
      </c>
      <c r="I28" s="6">
        <f>IFERROR(__xludf.DUMMYFUNCTION("GOOGLEFINANCE(B28,""volume"")"),4279.0)</f>
        <v>4279</v>
      </c>
      <c r="J28" s="6">
        <f>IFERROR(__xludf.DUMMYFUNCTION("GOOGLEFINANCE(B28,""volumeavg"")"),3.3038546E7)</f>
        <v>33038546</v>
      </c>
    </row>
    <row r="29">
      <c r="B29" s="5" t="s">
        <v>35</v>
      </c>
      <c r="C29" s="6" t="str">
        <f>IFERROR(__xludf.DUMMYFUNCTION("GOOGLEFINANCE(B29,""NAME"")"),"Block Inc")</f>
        <v>Block Inc</v>
      </c>
      <c r="D29" s="6">
        <f>IFERROR(__xludf.DUMMYFUNCTION("GOOGLEFINANCE(B29,""price"")"),90.75)</f>
        <v>90.75</v>
      </c>
      <c r="E29" s="6">
        <f>IFERROR(__xludf.DUMMYFUNCTION("GOOGLEFINANCE(B29,""change"")"),-1.51)</f>
        <v>-1.51</v>
      </c>
      <c r="F29" s="6">
        <f>IFERROR(__xludf.DUMMYFUNCTION("GOOGLEFINANCE(B29,""changepct"")/100"),-0.016399999999999998)</f>
        <v>-0.0164</v>
      </c>
      <c r="G29" s="6">
        <f>IFERROR(__xludf.DUMMYFUNCTION("GOOGLEFINANCE(B29,""marketcap"")"),5.62481205E10)</f>
        <v>56248120500</v>
      </c>
      <c r="H29" s="6">
        <f>IFERROR(__xludf.DUMMYFUNCTION("GOOGLEFINANCE(B29,""PE"")"),51.07)</f>
        <v>51.07</v>
      </c>
      <c r="I29" s="6">
        <f>IFERROR(__xludf.DUMMYFUNCTION("GOOGLEFINANCE(B29,""volume"")"),5010.0)</f>
        <v>5010</v>
      </c>
      <c r="J29" s="6">
        <f>IFERROR(__xludf.DUMMYFUNCTION("GOOGLEFINANCE(B29,""volumeavg"")"),8703265.0)</f>
        <v>8703265</v>
      </c>
    </row>
    <row r="30">
      <c r="B30" s="5" t="s">
        <v>36</v>
      </c>
      <c r="C30" s="6" t="str">
        <f>IFERROR(__xludf.DUMMYFUNCTION("GOOGLEFINANCE(B30,""NAME"")"),"ONEFUND S&amp;P 500®")</f>
        <v>ONEFUND S&amp;P 500®</v>
      </c>
      <c r="D30" s="6">
        <f>IFERROR(__xludf.DUMMYFUNCTION("GOOGLEFINANCE(B30,""price"")"),57.19)</f>
        <v>57.19</v>
      </c>
      <c r="E30" s="6">
        <f>IFERROR(__xludf.DUMMYFUNCTION("GOOGLEFINANCE(B30,""change"")"),0.18)</f>
        <v>0.18</v>
      </c>
      <c r="F30" s="6">
        <f>IFERROR(__xludf.DUMMYFUNCTION("GOOGLEFINANCE(B30,""changepct"")/100"),0.0032)</f>
        <v>0.0032</v>
      </c>
      <c r="G30" s="6" t="str">
        <f>IFERROR(__xludf.DUMMYFUNCTION("GOOGLEFINANCE(B30,""marketcap"")"),"#N/A")</f>
        <v>#N/A</v>
      </c>
      <c r="H30" s="6" t="str">
        <f>IFERROR(__xludf.DUMMYFUNCTION("GOOGLEFINANCE(B30,""PE"")"),"#N/A")</f>
        <v>#N/A</v>
      </c>
      <c r="I30" s="6" t="str">
        <f>IFERROR(__xludf.DUMMYFUNCTION("GOOGLEFINANCE(B30,""volume"")"),"#N/A")</f>
        <v>#N/A</v>
      </c>
      <c r="J30" s="6" t="str">
        <f>IFERROR(__xludf.DUMMYFUNCTION("GOOGLEFINANCE(B30,""volumeavg"")"),"#N/A")</f>
        <v>#N/A</v>
      </c>
    </row>
    <row r="31">
      <c r="B31" s="5" t="s">
        <v>37</v>
      </c>
      <c r="C31" s="6" t="str">
        <f>IFERROR(__xludf.DUMMYFUNCTION("GOOGLEFINANCE(B31,""NAME"")"),"Nike Inc")</f>
        <v>Nike Inc</v>
      </c>
      <c r="D31" s="6">
        <f>IFERROR(__xludf.DUMMYFUNCTION("GOOGLEFINANCE(B31,""price"")"),79.26)</f>
        <v>79.26</v>
      </c>
      <c r="E31" s="6">
        <f>IFERROR(__xludf.DUMMYFUNCTION("GOOGLEFINANCE(B31,""change"")"),1.86)</f>
        <v>1.86</v>
      </c>
      <c r="F31" s="6">
        <f>IFERROR(__xludf.DUMMYFUNCTION("GOOGLEFINANCE(B31,""changepct"")/100"),0.024)</f>
        <v>0.024</v>
      </c>
      <c r="G31" s="6">
        <f>IFERROR(__xludf.DUMMYFUNCTION("GOOGLEFINANCE(B31,""marketcap"")"),1.17978196139E11)</f>
        <v>117978196139</v>
      </c>
      <c r="H31" s="6">
        <f>IFERROR(__xludf.DUMMYFUNCTION("GOOGLEFINANCE(B31,""PE"")"),22.73)</f>
        <v>22.73</v>
      </c>
      <c r="I31" s="6">
        <f>IFERROR(__xludf.DUMMYFUNCTION("GOOGLEFINANCE(B31,""volume"")"),10165.0)</f>
        <v>10165</v>
      </c>
      <c r="J31" s="6">
        <f>IFERROR(__xludf.DUMMYFUNCTION("GOOGLEFINANCE(B31,""volumeavg"")"),9879799.0)</f>
        <v>9879799</v>
      </c>
    </row>
    <row r="32">
      <c r="B32" s="5" t="s">
        <v>38</v>
      </c>
      <c r="C32" s="6" t="str">
        <f>IFERROR(__xludf.DUMMYFUNCTION("GOOGLEFINANCE(B32,""NAME"")"),"IBM Common Stock")</f>
        <v>IBM Common Stock</v>
      </c>
      <c r="D32" s="6">
        <f>IFERROR(__xludf.DUMMYFUNCTION("GOOGLEFINANCE(B32,""price"")"),226.13)</f>
        <v>226.13</v>
      </c>
      <c r="E32" s="6">
        <f>IFERROR(__xludf.DUMMYFUNCTION("GOOGLEFINANCE(B32,""change"")"),3.16)</f>
        <v>3.16</v>
      </c>
      <c r="F32" s="6">
        <f>IFERROR(__xludf.DUMMYFUNCTION("GOOGLEFINANCE(B32,""changepct"")/100"),0.014199999999999999)</f>
        <v>0.0142</v>
      </c>
      <c r="G32" s="6">
        <f>IFERROR(__xludf.DUMMYFUNCTION("GOOGLEFINANCE(B32,""marketcap"")"),2.09089978364E11)</f>
        <v>209089978364</v>
      </c>
      <c r="H32" s="6">
        <f>IFERROR(__xludf.DUMMYFUNCTION("GOOGLEFINANCE(B32,""PE"")"),32.91)</f>
        <v>32.91</v>
      </c>
      <c r="I32" s="6">
        <f>IFERROR(__xludf.DUMMYFUNCTION("GOOGLEFINANCE(B32,""volume"")"),692.0)</f>
        <v>692</v>
      </c>
      <c r="J32" s="6">
        <f>IFERROR(__xludf.DUMMYFUNCTION("GOOGLEFINANCE(B32,""volumeavg"")"),4433274.0)</f>
        <v>4433274</v>
      </c>
    </row>
    <row r="33">
      <c r="B33" s="5" t="s">
        <v>39</v>
      </c>
      <c r="C33" s="6" t="str">
        <f>IFERROR(__xludf.DUMMYFUNCTION("GOOGLEFINANCE(B33,""NAME"")"),"Puma SE")</f>
        <v>Puma SE</v>
      </c>
      <c r="D33" s="6">
        <f>IFERROR(__xludf.DUMMYFUNCTION("GOOGLEFINANCE(B33,""price"")"),44.76)</f>
        <v>44.76</v>
      </c>
      <c r="E33" s="6">
        <f>IFERROR(__xludf.DUMMYFUNCTION("GOOGLEFINANCE(B33,""change"")"),0.27)</f>
        <v>0.27</v>
      </c>
      <c r="F33" s="6">
        <f>IFERROR(__xludf.DUMMYFUNCTION("GOOGLEFINANCE(B33,""changepct"")/100"),0.0060999999999999995)</f>
        <v>0.0061</v>
      </c>
      <c r="G33" s="6">
        <f>IFERROR(__xludf.DUMMYFUNCTION("GOOGLEFINANCE(B33,""marketcap"")"),6.743367727E9)</f>
        <v>6743367727</v>
      </c>
      <c r="H33" s="6">
        <f>IFERROR(__xludf.DUMMYFUNCTION("GOOGLEFINANCE(B33,""PE"")"),25.99)</f>
        <v>25.99</v>
      </c>
      <c r="I33" s="6">
        <f>IFERROR(__xludf.DUMMYFUNCTION("GOOGLEFINANCE(B33,""volume"")"),106434.0)</f>
        <v>106434</v>
      </c>
      <c r="J33" s="6">
        <f>IFERROR(__xludf.DUMMYFUNCTION("GOOGLEFINANCE(B33,""volumeavg"")"),544308.0)</f>
        <v>544308</v>
      </c>
    </row>
    <row r="34">
      <c r="B34" s="5" t="s">
        <v>40</v>
      </c>
      <c r="C34" s="6" t="str">
        <f>IFERROR(__xludf.DUMMYFUNCTION("GOOGLEFINANCE(B34,""NAME"")"),"Zomato Ltd")</f>
        <v>Zomato Ltd</v>
      </c>
      <c r="D34" s="6">
        <f>IFERROR(__xludf.DUMMYFUNCTION("GOOGLEFINANCE(B34,""price"")"),280.21)</f>
        <v>280.21</v>
      </c>
      <c r="E34" s="6">
        <f>IFERROR(__xludf.DUMMYFUNCTION("GOOGLEFINANCE(B34,""change"")"),6.9)</f>
        <v>6.9</v>
      </c>
      <c r="F34" s="6">
        <f>IFERROR(__xludf.DUMMYFUNCTION("GOOGLEFINANCE(B34,""changepct"")/100"),0.0252)</f>
        <v>0.0252</v>
      </c>
      <c r="G34" s="6">
        <f>IFERROR(__xludf.DUMMYFUNCTION("GOOGLEFINANCE(B34,""marketcap"")"),2.440061342689E12)</f>
        <v>2440061342689</v>
      </c>
      <c r="H34" s="6">
        <f>IFERROR(__xludf.DUMMYFUNCTION("GOOGLEFINANCE(B34,""PE"")"),334.32)</f>
        <v>334.32</v>
      </c>
      <c r="I34" s="6">
        <f>IFERROR(__xludf.DUMMYFUNCTION("GOOGLEFINANCE(B34,""volume"")"),4.8373365E7)</f>
        <v>48373365</v>
      </c>
      <c r="J34" s="6">
        <f>IFERROR(__xludf.DUMMYFUNCTION("GOOGLEFINANCE(B34,""volumeavg"")"),5.3376793E7)</f>
        <v>53376793</v>
      </c>
    </row>
    <row r="35">
      <c r="B35" s="5" t="s">
        <v>41</v>
      </c>
      <c r="C35" s="6" t="str">
        <f>IFERROR(__xludf.DUMMYFUNCTION("GOOGLEFINANCE(B35,""NAME"")"),"Chevron Corp")</f>
        <v>Chevron Corp</v>
      </c>
      <c r="D35" s="6">
        <f>IFERROR(__xludf.DUMMYFUNCTION("GOOGLEFINANCE(B35,""price"")"),160.36)</f>
        <v>160.36</v>
      </c>
      <c r="E35" s="6">
        <f>IFERROR(__xludf.DUMMYFUNCTION("GOOGLEFINANCE(B35,""change"")"),-2.0)</f>
        <v>-2</v>
      </c>
      <c r="F35" s="6">
        <f>IFERROR(__xludf.DUMMYFUNCTION("GOOGLEFINANCE(B35,""changepct"")/100"),-0.0123)</f>
        <v>-0.0123</v>
      </c>
      <c r="G35" s="6">
        <f>IFERROR(__xludf.DUMMYFUNCTION("GOOGLEFINANCE(B35,""marketcap"")"),2.88181513856E11)</f>
        <v>288181513856</v>
      </c>
      <c r="H35" s="6">
        <f>IFERROR(__xludf.DUMMYFUNCTION("GOOGLEFINANCE(B35,""PE"")"),17.65)</f>
        <v>17.65</v>
      </c>
      <c r="I35" s="6">
        <f>IFERROR(__xludf.DUMMYFUNCTION("GOOGLEFINANCE(B35,""volume"")"),2834.0)</f>
        <v>2834</v>
      </c>
      <c r="J35" s="6">
        <f>IFERROR(__xludf.DUMMYFUNCTION("GOOGLEFINANCE(B35,""volumeavg"")"),6893801.0)</f>
        <v>6893801</v>
      </c>
    </row>
    <row r="36">
      <c r="B36" s="5" t="s">
        <v>42</v>
      </c>
      <c r="C36" s="6" t="str">
        <f>IFERROR(__xludf.DUMMYFUNCTION("GOOGLEFINANCE(B36,""NAME"")"),"Netflix Inc")</f>
        <v>Netflix Inc</v>
      </c>
      <c r="D36" s="6">
        <f>IFERROR(__xludf.DUMMYFUNCTION("GOOGLEFINANCE(B36,""price"")"),865.59)</f>
        <v>865.59</v>
      </c>
      <c r="E36" s="6">
        <f>IFERROR(__xludf.DUMMYFUNCTION("GOOGLEFINANCE(B36,""change"")"),-32.2)</f>
        <v>-32.2</v>
      </c>
      <c r="F36" s="6">
        <f>IFERROR(__xludf.DUMMYFUNCTION("GOOGLEFINANCE(B36,""changepct"")/100"),-0.0359)</f>
        <v>-0.0359</v>
      </c>
      <c r="G36" s="6">
        <f>IFERROR(__xludf.DUMMYFUNCTION("GOOGLEFINANCE(B36,""marketcap"")"),3.70003381699E11)</f>
        <v>370003381699</v>
      </c>
      <c r="H36" s="6">
        <f>IFERROR(__xludf.DUMMYFUNCTION("GOOGLEFINANCE(B36,""PE"")"),48.98)</f>
        <v>48.98</v>
      </c>
      <c r="I36" s="6">
        <f>IFERROR(__xludf.DUMMYFUNCTION("GOOGLEFINANCE(B36,""volume"")"),1362.0)</f>
        <v>1362</v>
      </c>
      <c r="J36" s="6">
        <f>IFERROR(__xludf.DUMMYFUNCTION("GOOGLEFINANCE(B36,""volumeavg"")"),3769648.0)</f>
        <v>3769648</v>
      </c>
    </row>
    <row r="37">
      <c r="B37" s="5" t="s">
        <v>43</v>
      </c>
      <c r="C37" s="6" t="str">
        <f>IFERROR(__xludf.DUMMYFUNCTION("GOOGLEFINANCE(B37,""NAME"")"),"Tata Motors Ltd")</f>
        <v>Tata Motors Ltd</v>
      </c>
      <c r="D37" s="6">
        <f>IFERROR(__xludf.DUMMYFUNCTION("GOOGLEFINANCE(B37,""price"")"),784.2)</f>
        <v>784.2</v>
      </c>
      <c r="E37" s="6">
        <f>IFERROR(__xludf.DUMMYFUNCTION("GOOGLEFINANCE(B37,""change"")"),-12.4)</f>
        <v>-12.4</v>
      </c>
      <c r="F37" s="6">
        <f>IFERROR(__xludf.DUMMYFUNCTION("GOOGLEFINANCE(B37,""changepct"")/100"),-0.015600000000000001)</f>
        <v>-0.0156</v>
      </c>
      <c r="G37" s="6">
        <f>IFERROR(__xludf.DUMMYFUNCTION("GOOGLEFINANCE(B37,""marketcap"")"),2.88222606425E12)</f>
        <v>2882226064250</v>
      </c>
      <c r="H37" s="6">
        <f>IFERROR(__xludf.DUMMYFUNCTION("GOOGLEFINANCE(B37,""PE"")"),6.87)</f>
        <v>6.87</v>
      </c>
      <c r="I37" s="6">
        <f>IFERROR(__xludf.DUMMYFUNCTION("GOOGLEFINANCE(B37,""volume"")"),1.0310838E7)</f>
        <v>10310838</v>
      </c>
      <c r="J37" s="6">
        <f>IFERROR(__xludf.DUMMYFUNCTION("GOOGLEFINANCE(B37,""volumeavg"")"),1.2240636E7)</f>
        <v>12240636</v>
      </c>
    </row>
    <row r="38">
      <c r="B38" s="5" t="s">
        <v>44</v>
      </c>
      <c r="C38" s="6" t="str">
        <f>IFERROR(__xludf.DUMMYFUNCTION("GOOGLEFINANCE(B38,""NAME"")"),"Makemytrip Ltd")</f>
        <v>Makemytrip Ltd</v>
      </c>
      <c r="D38" s="6">
        <f>IFERROR(__xludf.DUMMYFUNCTION("GOOGLEFINANCE(B38,""price"")"),109.9)</f>
        <v>109.9</v>
      </c>
      <c r="E38" s="6">
        <f>IFERROR(__xludf.DUMMYFUNCTION("GOOGLEFINANCE(B38,""change"")"),1.17)</f>
        <v>1.17</v>
      </c>
      <c r="F38" s="6">
        <f>IFERROR(__xludf.DUMMYFUNCTION("GOOGLEFINANCE(B38,""changepct"")/100"),0.0108)</f>
        <v>0.0108</v>
      </c>
      <c r="G38" s="6">
        <f>IFERROR(__xludf.DUMMYFUNCTION("GOOGLEFINANCE(B38,""marketcap"")"),1.2065085927E10)</f>
        <v>12065085927</v>
      </c>
      <c r="H38" s="6">
        <f>IFERROR(__xludf.DUMMYFUNCTION("GOOGLEFINANCE(B38,""PE"")"),60.26)</f>
        <v>60.26</v>
      </c>
      <c r="I38" s="6">
        <f>IFERROR(__xludf.DUMMYFUNCTION("GOOGLEFINANCE(B38,""volume"")"),0.0)</f>
        <v>0</v>
      </c>
      <c r="J38" s="6">
        <f>IFERROR(__xludf.DUMMYFUNCTION("GOOGLEFINANCE(B38,""volumeavg"")"),547549.0)</f>
        <v>547549</v>
      </c>
    </row>
    <row r="39">
      <c r="B39" s="5" t="s">
        <v>45</v>
      </c>
      <c r="C39" s="6" t="str">
        <f>IFERROR(__xludf.DUMMYFUNCTION("GOOGLEFINANCE(B39,""NAME"")"),"Meta Platforms Inc")</f>
        <v>Meta Platforms Inc</v>
      </c>
      <c r="D39" s="6">
        <f>IFERROR(__xludf.DUMMYFUNCTION("GOOGLEFINANCE(B39,""price"")"),565.11)</f>
        <v>565.11</v>
      </c>
      <c r="E39" s="6">
        <f>IFERROR(__xludf.DUMMYFUNCTION("GOOGLEFINANCE(B39,""change"")"),5.97)</f>
        <v>5.97</v>
      </c>
      <c r="F39" s="6">
        <f>IFERROR(__xludf.DUMMYFUNCTION("GOOGLEFINANCE(B39,""changepct"")/100"),0.010700000000000001)</f>
        <v>0.0107</v>
      </c>
      <c r="G39" s="6">
        <f>IFERROR(__xludf.DUMMYFUNCTION("GOOGLEFINANCE(B39,""marketcap"")"),1.42661394181E12)</f>
        <v>1426613941810</v>
      </c>
      <c r="H39" s="6">
        <f>IFERROR(__xludf.DUMMYFUNCTION("GOOGLEFINANCE(B39,""PE"")"),26.66)</f>
        <v>26.66</v>
      </c>
      <c r="I39" s="6">
        <f>IFERROR(__xludf.DUMMYFUNCTION("GOOGLEFINANCE(B39,""volume"")"),5229.0)</f>
        <v>5229</v>
      </c>
      <c r="J39" s="6">
        <f>IFERROR(__xludf.DUMMYFUNCTION("GOOGLEFINANCE(B39,""volumeavg"")"),1.2404623E7)</f>
        <v>12404623</v>
      </c>
    </row>
    <row r="40">
      <c r="B40" s="5" t="s">
        <v>46</v>
      </c>
      <c r="C40" s="6" t="str">
        <f>IFERROR(__xludf.DUMMYFUNCTION("GOOGLEFINANCE(B40,""NAME"")"),"Adslot Ltd")</f>
        <v>Adslot Ltd</v>
      </c>
      <c r="D40" s="6">
        <f>IFERROR(__xludf.DUMMYFUNCTION("GOOGLEFINANCE(B40,""price"")"),0.0)</f>
        <v>0</v>
      </c>
      <c r="E40" s="6">
        <f>IFERROR(__xludf.DUMMYFUNCTION("GOOGLEFINANCE(B40,""change"")"),0.0)</f>
        <v>0</v>
      </c>
      <c r="F40" s="6">
        <f>IFERROR(__xludf.DUMMYFUNCTION("GOOGLEFINANCE(B40,""changepct"")/100"),0.0)</f>
        <v>0</v>
      </c>
      <c r="G40" s="6">
        <f>IFERROR(__xludf.DUMMYFUNCTION("GOOGLEFINANCE(B40,""marketcap"")"),5042620.0)</f>
        <v>5042620</v>
      </c>
      <c r="H40" s="6" t="str">
        <f>IFERROR(__xludf.DUMMYFUNCTION("GOOGLEFINANCE(B40,""PE"")"),"#N/A")</f>
        <v>#N/A</v>
      </c>
      <c r="I40" s="6">
        <f>IFERROR(__xludf.DUMMYFUNCTION("GOOGLEFINANCE(B40,""volume"")"),0.0)</f>
        <v>0</v>
      </c>
      <c r="J40" s="6">
        <f>IFERROR(__xludf.DUMMYFUNCTION("GOOGLEFINANCE(B40,""volumeavg"")"),91717.0)</f>
        <v>91717</v>
      </c>
    </row>
    <row r="41">
      <c r="B41" s="5" t="s">
        <v>47</v>
      </c>
      <c r="C41" s="6" t="str">
        <f>IFERROR(__xludf.DUMMYFUNCTION("GOOGLEFINANCE(B41,""NAME"")"),"Home Depot Inc")</f>
        <v>Home Depot Inc</v>
      </c>
      <c r="D41" s="6">
        <f>IFERROR(__xludf.DUMMYFUNCTION("GOOGLEFINANCE(B41,""price"")"),428.67)</f>
        <v>428.67</v>
      </c>
      <c r="E41" s="6">
        <f>IFERROR(__xludf.DUMMYFUNCTION("GOOGLEFINANCE(B41,""change"")"),8.67)</f>
        <v>8.67</v>
      </c>
      <c r="F41" s="6">
        <f>IFERROR(__xludf.DUMMYFUNCTION("GOOGLEFINANCE(B41,""changepct"")/100"),0.0206)</f>
        <v>0.0206</v>
      </c>
      <c r="G41" s="6">
        <f>IFERROR(__xludf.DUMMYFUNCTION("GOOGLEFINANCE(B41,""marketcap"")"),4.25795052248E11)</f>
        <v>425795052248</v>
      </c>
      <c r="H41" s="6">
        <f>IFERROR(__xludf.DUMMYFUNCTION("GOOGLEFINANCE(B41,""PE"")"),29.12)</f>
        <v>29.12</v>
      </c>
      <c r="I41" s="6">
        <f>IFERROR(__xludf.DUMMYFUNCTION("GOOGLEFINANCE(B41,""volume"")"),94.0)</f>
        <v>94</v>
      </c>
      <c r="J41" s="6">
        <f>IFERROR(__xludf.DUMMYFUNCTION("GOOGLEFINANCE(B41,""volumeavg"")"),3433423.0)</f>
        <v>3433423</v>
      </c>
    </row>
    <row r="42">
      <c r="B42" s="5" t="s">
        <v>48</v>
      </c>
      <c r="C42" s="6" t="str">
        <f>IFERROR(__xludf.DUMMYFUNCTION("GOOGLEFINANCE(B42,""NAME"")"),"Globalworth Real Estate Investments Ltd")</f>
        <v>Globalworth Real Estate Investments Ltd</v>
      </c>
      <c r="D42" s="6">
        <f>IFERROR(__xludf.DUMMYFUNCTION("GOOGLEFINANCE(B42,""price"")"),2.68)</f>
        <v>2.68</v>
      </c>
      <c r="E42" s="6">
        <f>IFERROR(__xludf.DUMMYFUNCTION("GOOGLEFINANCE(B42,""change"")"),-0.01)</f>
        <v>-0.01</v>
      </c>
      <c r="F42" s="6">
        <f>IFERROR(__xludf.DUMMYFUNCTION("GOOGLEFINANCE(B42,""changepct"")/100"),-0.0037)</f>
        <v>-0.0037</v>
      </c>
      <c r="G42" s="6">
        <f>IFERROR(__xludf.DUMMYFUNCTION("GOOGLEFINANCE(B42,""marketcap"")"),7.496343E8)</f>
        <v>749634300</v>
      </c>
      <c r="H42" s="6" t="str">
        <f>IFERROR(__xludf.DUMMYFUNCTION("GOOGLEFINANCE(B42,""PE"")"),"#N/A")</f>
        <v>#N/A</v>
      </c>
      <c r="I42" s="6">
        <f>IFERROR(__xludf.DUMMYFUNCTION("GOOGLEFINANCE(B42,""volume"")"),1419.0)</f>
        <v>1419</v>
      </c>
      <c r="J42" s="6">
        <f>IFERROR(__xludf.DUMMYFUNCTION("GOOGLEFINANCE(B42,""volumeavg"")"),1490.0)</f>
        <v>1490</v>
      </c>
    </row>
    <row r="43">
      <c r="B43" s="5" t="s">
        <v>49</v>
      </c>
      <c r="C43" s="6" t="str">
        <f>IFERROR(__xludf.DUMMYFUNCTION("GOOGLEFINANCE(B43,""NAME"")"),"Tata Power Company Ltd")</f>
        <v>Tata Power Company Ltd</v>
      </c>
      <c r="D43" s="6">
        <f>IFERROR(__xludf.DUMMYFUNCTION("GOOGLEFINANCE(B43,""price"")"),411.0)</f>
        <v>411</v>
      </c>
      <c r="E43" s="6">
        <f>IFERROR(__xludf.DUMMYFUNCTION("GOOGLEFINANCE(B43,""change"")"),-1.35)</f>
        <v>-1.35</v>
      </c>
      <c r="F43" s="6">
        <f>IFERROR(__xludf.DUMMYFUNCTION("GOOGLEFINANCE(B43,""changepct"")/100"),-0.0033)</f>
        <v>-0.0033</v>
      </c>
      <c r="G43" s="6">
        <f>IFERROR(__xludf.DUMMYFUNCTION("GOOGLEFINANCE(B43,""marketcap"")"),1.310882655225E12)</f>
        <v>1310882655225</v>
      </c>
      <c r="H43" s="6">
        <f>IFERROR(__xludf.DUMMYFUNCTION("GOOGLEFINANCE(B43,""PE"")"),35.14)</f>
        <v>35.14</v>
      </c>
      <c r="I43" s="6">
        <f>IFERROR(__xludf.DUMMYFUNCTION("GOOGLEFINANCE(B43,""volume"")"),7286324.0)</f>
        <v>7286324</v>
      </c>
      <c r="J43" s="6">
        <f>IFERROR(__xludf.DUMMYFUNCTION("GOOGLEFINANCE(B43,""volumeavg"")"),1.0945605E7)</f>
        <v>10945605</v>
      </c>
    </row>
    <row r="44">
      <c r="B44" s="5" t="s">
        <v>50</v>
      </c>
      <c r="C44" s="6" t="str">
        <f>IFERROR(__xludf.DUMMYFUNCTION("GOOGLEFINANCE(B44,""NAME"")"),"American Airlines Group Inc")</f>
        <v>American Airlines Group Inc</v>
      </c>
      <c r="D44" s="6">
        <f>IFERROR(__xludf.DUMMYFUNCTION("GOOGLEFINANCE(B44,""price"")"),14.92)</f>
        <v>14.92</v>
      </c>
      <c r="E44" s="6">
        <f>IFERROR(__xludf.DUMMYFUNCTION("GOOGLEFINANCE(B44,""change"")"),0.54)</f>
        <v>0.54</v>
      </c>
      <c r="F44" s="6">
        <f>IFERROR(__xludf.DUMMYFUNCTION("GOOGLEFINANCE(B44,""changepct"")/100"),0.037599999999999995)</f>
        <v>0.0376</v>
      </c>
      <c r="G44" s="6">
        <f>IFERROR(__xludf.DUMMYFUNCTION("GOOGLEFINANCE(B44,""marketcap"")"),9.80439457E9)</f>
        <v>9804394570</v>
      </c>
      <c r="H44" s="6">
        <f>IFERROR(__xludf.DUMMYFUNCTION("GOOGLEFINANCE(B44,""PE"")"),42.62)</f>
        <v>42.62</v>
      </c>
      <c r="I44" s="6">
        <f>IFERROR(__xludf.DUMMYFUNCTION("GOOGLEFINANCE(B44,""volume"")"),77531.0)</f>
        <v>77531</v>
      </c>
      <c r="J44" s="6">
        <f>IFERROR(__xludf.DUMMYFUNCTION("GOOGLEFINANCE(B44,""volumeavg"")"),2.905248E7)</f>
        <v>29052480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