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de458bd8e1ca49/Documents/UNR/Courses/4 - Computer Applications/"/>
    </mc:Choice>
  </mc:AlternateContent>
  <xr:revisionPtr revIDLastSave="356" documentId="8_{8421E3D7-7DE5-46E3-A067-C700940DF089}" xr6:coauthVersionLast="47" xr6:coauthVersionMax="47" xr10:uidLastSave="{904F1A33-51BF-4C38-8B8A-94B68243EDC5}"/>
  <bookViews>
    <workbookView xWindow="-110" yWindow="-110" windowWidth="19420" windowHeight="10300" xr2:uid="{00000000-000D-0000-FFFF-FFFF00000000}"/>
  </bookViews>
  <sheets>
    <sheet name="EmployeeInfo" sheetId="1" r:id="rId1"/>
    <sheet name="EmployeeTable" sheetId="6" r:id="rId2"/>
    <sheet name="EmployeeSummary" sheetId="5" r:id="rId3"/>
    <sheet name="LookUp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L29" i="6"/>
  <c r="L25" i="6"/>
  <c r="L18" i="6"/>
  <c r="L14" i="6"/>
  <c r="L30" i="6" s="1"/>
  <c r="B33" i="1"/>
  <c r="B31" i="1"/>
  <c r="B32" i="1"/>
  <c r="B3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12" i="1"/>
  <c r="L3" i="1"/>
  <c r="R3" i="1" s="1"/>
  <c r="L4" i="1"/>
  <c r="R4" i="1" s="1"/>
  <c r="L5" i="1"/>
  <c r="R5" i="1" s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23" i="1"/>
  <c r="R23" i="1" s="1"/>
  <c r="L24" i="1"/>
  <c r="R24" i="1" s="1"/>
  <c r="L25" i="1"/>
  <c r="R25" i="1" s="1"/>
  <c r="L2" i="1"/>
  <c r="S2" i="1" s="1"/>
  <c r="F17" i="5"/>
  <c r="F16" i="5"/>
  <c r="F15" i="5"/>
  <c r="F14" i="5"/>
  <c r="F13" i="5"/>
  <c r="F10" i="5"/>
  <c r="F12" i="5"/>
  <c r="F11" i="5"/>
  <c r="F9" i="5"/>
  <c r="F8" i="5"/>
  <c r="F7" i="5"/>
  <c r="F6" i="5"/>
  <c r="F5" i="5"/>
  <c r="F4" i="5"/>
  <c r="F3" i="5"/>
  <c r="F2" i="5"/>
  <c r="N2" i="1" s="1"/>
  <c r="S24" i="1" l="1"/>
  <c r="S25" i="1"/>
  <c r="S23" i="1"/>
  <c r="S22" i="1"/>
  <c r="S15" i="1"/>
  <c r="S14" i="1"/>
  <c r="S9" i="1"/>
  <c r="S18" i="1"/>
  <c r="S8" i="1"/>
  <c r="S10" i="1"/>
  <c r="S17" i="1"/>
  <c r="S7" i="1"/>
  <c r="S16" i="1"/>
  <c r="S6" i="1"/>
  <c r="S21" i="1"/>
  <c r="S13" i="1"/>
  <c r="S5" i="1"/>
  <c r="S20" i="1"/>
  <c r="S4" i="1"/>
  <c r="S19" i="1"/>
  <c r="S11" i="1"/>
  <c r="S3" i="1"/>
  <c r="N25" i="1"/>
  <c r="N17" i="1"/>
  <c r="N9" i="1"/>
  <c r="O25" i="1"/>
  <c r="O17" i="1"/>
  <c r="O9" i="1"/>
  <c r="P25" i="1"/>
  <c r="Q25" i="1" s="1"/>
  <c r="P17" i="1"/>
  <c r="Q17" i="1" s="1"/>
  <c r="P9" i="1"/>
  <c r="Q9" i="1" s="1"/>
  <c r="N24" i="1"/>
  <c r="N16" i="1"/>
  <c r="N8" i="1"/>
  <c r="O24" i="1"/>
  <c r="O16" i="1"/>
  <c r="O8" i="1"/>
  <c r="P24" i="1"/>
  <c r="Q24" i="1" s="1"/>
  <c r="P16" i="1"/>
  <c r="Q16" i="1" s="1"/>
  <c r="P8" i="1"/>
  <c r="Q8" i="1" s="1"/>
  <c r="N23" i="1"/>
  <c r="N15" i="1"/>
  <c r="N7" i="1"/>
  <c r="O23" i="1"/>
  <c r="O15" i="1"/>
  <c r="O7" i="1"/>
  <c r="P23" i="1"/>
  <c r="Q23" i="1" s="1"/>
  <c r="P15" i="1"/>
  <c r="Q15" i="1" s="1"/>
  <c r="P7" i="1"/>
  <c r="Q7" i="1" s="1"/>
  <c r="N22" i="1"/>
  <c r="N14" i="1"/>
  <c r="N6" i="1"/>
  <c r="O22" i="1"/>
  <c r="O14" i="1"/>
  <c r="O6" i="1"/>
  <c r="P22" i="1"/>
  <c r="Q22" i="1" s="1"/>
  <c r="P14" i="1"/>
  <c r="Q14" i="1" s="1"/>
  <c r="P6" i="1"/>
  <c r="Q6" i="1" s="1"/>
  <c r="N21" i="1"/>
  <c r="N13" i="1"/>
  <c r="N5" i="1"/>
  <c r="O21" i="1"/>
  <c r="O13" i="1"/>
  <c r="O5" i="1"/>
  <c r="P21" i="1"/>
  <c r="Q21" i="1" s="1"/>
  <c r="P13" i="1"/>
  <c r="Q13" i="1" s="1"/>
  <c r="P5" i="1"/>
  <c r="Q5" i="1" s="1"/>
  <c r="N20" i="1"/>
  <c r="N12" i="1"/>
  <c r="N4" i="1"/>
  <c r="O20" i="1"/>
  <c r="O12" i="1"/>
  <c r="O4" i="1"/>
  <c r="P20" i="1"/>
  <c r="Q20" i="1" s="1"/>
  <c r="P12" i="1"/>
  <c r="Q12" i="1" s="1"/>
  <c r="P4" i="1"/>
  <c r="Q4" i="1" s="1"/>
  <c r="N19" i="1"/>
  <c r="N11" i="1"/>
  <c r="N3" i="1"/>
  <c r="O19" i="1"/>
  <c r="O11" i="1"/>
  <c r="O3" i="1"/>
  <c r="P19" i="1"/>
  <c r="Q19" i="1" s="1"/>
  <c r="P11" i="1"/>
  <c r="Q11" i="1" s="1"/>
  <c r="P3" i="1"/>
  <c r="Q3" i="1" s="1"/>
  <c r="N18" i="1"/>
  <c r="N10" i="1"/>
  <c r="O2" i="1"/>
  <c r="O18" i="1"/>
  <c r="O10" i="1"/>
  <c r="P2" i="1"/>
  <c r="Q2" i="1" s="1"/>
  <c r="P18" i="1"/>
  <c r="Q18" i="1" s="1"/>
  <c r="P10" i="1"/>
  <c r="Q10" i="1" s="1"/>
  <c r="R2" i="1"/>
</calcChain>
</file>

<file path=xl/sharedStrings.xml><?xml version="1.0" encoding="utf-8"?>
<sst xmlns="http://schemas.openxmlformats.org/spreadsheetml/2006/main" count="445" uniqueCount="142">
  <si>
    <t>Emp ID</t>
  </si>
  <si>
    <t>Last Name</t>
  </si>
  <si>
    <t>Hire Date</t>
  </si>
  <si>
    <t>Birth Date</t>
  </si>
  <si>
    <t>Location</t>
  </si>
  <si>
    <t>Job Status</t>
  </si>
  <si>
    <t>Pay Type</t>
  </si>
  <si>
    <t>Annual Salary</t>
  </si>
  <si>
    <t>Health Plan</t>
  </si>
  <si>
    <t>Hovey</t>
  </si>
  <si>
    <t>M</t>
  </si>
  <si>
    <t>Austin</t>
  </si>
  <si>
    <t>FT</t>
  </si>
  <si>
    <t>S</t>
  </si>
  <si>
    <t>HMOF</t>
  </si>
  <si>
    <t>Overton</t>
  </si>
  <si>
    <t>F</t>
  </si>
  <si>
    <t>Home</t>
  </si>
  <si>
    <t>Fetherston</t>
  </si>
  <si>
    <t>New Orleans</t>
  </si>
  <si>
    <t>Lebrun</t>
  </si>
  <si>
    <t>None</t>
  </si>
  <si>
    <t>Hanson</t>
  </si>
  <si>
    <t>PPOI</t>
  </si>
  <si>
    <t>Vankeuren</t>
  </si>
  <si>
    <t>PT</t>
  </si>
  <si>
    <t>H</t>
  </si>
  <si>
    <t>Mccorkle</t>
  </si>
  <si>
    <t>Nashville</t>
  </si>
  <si>
    <t>Nightingale</t>
  </si>
  <si>
    <t>Lambrechts</t>
  </si>
  <si>
    <t>Palmer</t>
  </si>
  <si>
    <t>Tetreault</t>
  </si>
  <si>
    <t>Cugini</t>
  </si>
  <si>
    <t>Dash</t>
  </si>
  <si>
    <t>Donnelly</t>
  </si>
  <si>
    <t>Lucht</t>
  </si>
  <si>
    <t>Tiernan</t>
  </si>
  <si>
    <t>Sheinin</t>
  </si>
  <si>
    <t>Kenyon</t>
  </si>
  <si>
    <t>Wichman</t>
  </si>
  <si>
    <t>Wilton</t>
  </si>
  <si>
    <t># of Months Employed</t>
  </si>
  <si>
    <t>Headcliff</t>
  </si>
  <si>
    <t>Gender</t>
  </si>
  <si>
    <t>Job Type</t>
  </si>
  <si>
    <t>LL</t>
  </si>
  <si>
    <t>Months Employed Range</t>
  </si>
  <si>
    <t>Part-Time Increase</t>
  </si>
  <si>
    <t>Full-Time Increase</t>
  </si>
  <si>
    <t>above</t>
  </si>
  <si>
    <t>Salary Increase</t>
  </si>
  <si>
    <t>First Name</t>
  </si>
  <si>
    <t>Martin</t>
  </si>
  <si>
    <t>James</t>
  </si>
  <si>
    <t>Belinda</t>
  </si>
  <si>
    <t>Fred</t>
  </si>
  <si>
    <t>Alisa</t>
  </si>
  <si>
    <t>Kendall</t>
  </si>
  <si>
    <t>Teresa</t>
  </si>
  <si>
    <t>Thomas</t>
  </si>
  <si>
    <t>Merrill</t>
  </si>
  <si>
    <t>Tiffany</t>
  </si>
  <si>
    <t>Sabrina</t>
  </si>
  <si>
    <t>Lisa</t>
  </si>
  <si>
    <t>Marie</t>
  </si>
  <si>
    <t>Michael</t>
  </si>
  <si>
    <t>Katherine</t>
  </si>
  <si>
    <t>Scott</t>
  </si>
  <si>
    <t>Beverly</t>
  </si>
  <si>
    <t>Brad</t>
  </si>
  <si>
    <t>Zachary</t>
  </si>
  <si>
    <t>Emma</t>
  </si>
  <si>
    <t>Jacob</t>
  </si>
  <si>
    <t>Torek</t>
  </si>
  <si>
    <t>Justin</t>
  </si>
  <si>
    <t>Northern</t>
  </si>
  <si>
    <t>Harley</t>
  </si>
  <si>
    <t>Borchman</t>
  </si>
  <si>
    <t>Beth</t>
  </si>
  <si>
    <t>Salary Premium 1</t>
  </si>
  <si>
    <t>Salary Premium 2</t>
  </si>
  <si>
    <t>Salary Premium 3</t>
  </si>
  <si>
    <t xml:space="preserve">Employee Type </t>
  </si>
  <si>
    <t>Salary Premium 4</t>
  </si>
  <si>
    <t>sales</t>
  </si>
  <si>
    <t>admin</t>
  </si>
  <si>
    <t>support</t>
  </si>
  <si>
    <t>analysis</t>
  </si>
  <si>
    <t>manage</t>
  </si>
  <si>
    <t>Count of Full-Time Employees</t>
  </si>
  <si>
    <t>Count of Part-Time Employees</t>
  </si>
  <si>
    <t>Average Employee Salary</t>
  </si>
  <si>
    <t>Count of Part-Time Employees earning &gt;= $40,000</t>
  </si>
  <si>
    <t>Average Salary for Part-Time Employees</t>
  </si>
  <si>
    <t>Average Salary for Full-time Employees</t>
  </si>
  <si>
    <t>Sum of Salary for Employees working in Austin</t>
  </si>
  <si>
    <t>Sum of Salary for Full-Time Employees working in Austin</t>
  </si>
  <si>
    <t>First Salary Evaluation</t>
  </si>
  <si>
    <t>Second Salary Evaluation</t>
  </si>
  <si>
    <t>Employee Summary</t>
  </si>
  <si>
    <t>Sum of Salary for part time Employees</t>
  </si>
  <si>
    <t>Average Salary for Full-Time Employees working in Austin</t>
  </si>
  <si>
    <t>Sum of Salary for Full-Time Employees earning &gt;= $40,000</t>
  </si>
  <si>
    <t>Count of Full-Time Employees with a Support job type</t>
  </si>
  <si>
    <t>Average Salary for Full-Time Employees with a Sales job type</t>
  </si>
  <si>
    <t>Percentage of Employees with no health plan</t>
  </si>
  <si>
    <t>Percentage of Full-Time Employees with no health plan</t>
  </si>
  <si>
    <t>Percentage of Part-Time Employees with no health plan</t>
  </si>
  <si>
    <t>Third Salary Evaluation</t>
  </si>
  <si>
    <t>Salary Premium Increase</t>
  </si>
  <si>
    <t>Difference</t>
  </si>
  <si>
    <t>Employee Name</t>
  </si>
  <si>
    <t>Martin Hovey</t>
  </si>
  <si>
    <t>Alisa Overton</t>
  </si>
  <si>
    <t>James Fetherston</t>
  </si>
  <si>
    <t>Belinda Lebrun</t>
  </si>
  <si>
    <t>Fred Hanson</t>
  </si>
  <si>
    <t>Kendall Vankeuren</t>
  </si>
  <si>
    <t>Teresa Mccorkle</t>
  </si>
  <si>
    <t>Thomas Nightingale</t>
  </si>
  <si>
    <t>Merrill Wilton</t>
  </si>
  <si>
    <t>Tiffany Lambrechts</t>
  </si>
  <si>
    <t>Sabrina Palmer</t>
  </si>
  <si>
    <t>Lisa Tetreault</t>
  </si>
  <si>
    <t>Marie Cugini</t>
  </si>
  <si>
    <t>Michael Dash</t>
  </si>
  <si>
    <t>Katherine Donnelly</t>
  </si>
  <si>
    <t>Scott Lucht</t>
  </si>
  <si>
    <t>Beverly Tiernan</t>
  </si>
  <si>
    <t>Brad Sheinin</t>
  </si>
  <si>
    <t>Zachary Kenyon</t>
  </si>
  <si>
    <t>Emma Wichman</t>
  </si>
  <si>
    <t>Jacob Headcliff</t>
  </si>
  <si>
    <t>Justin Torek</t>
  </si>
  <si>
    <t>Harley Northern</t>
  </si>
  <si>
    <t>Beth Borchman</t>
  </si>
  <si>
    <t>Austin Total</t>
  </si>
  <si>
    <t>Home Total</t>
  </si>
  <si>
    <t>Nashville Total</t>
  </si>
  <si>
    <t>New Orleans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</si>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</sst>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&quot;$&quot;#,##0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1"/>
        <bgColor theme="1"/>
      </patternFill>
    </fill>
    <fill>
      <patternFill patternType="solid">
        <fgColor theme="8" tint="-0.249977111117893"/>
        <bgColor theme="8" tint="-0.249977111117893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4" fillId="0" borderId="0" xfId="0" applyFont="1"/>
    <xf numFmtId="9" fontId="0" fillId="0" borderId="0" xfId="2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0" fillId="0" borderId="0" xfId="0" quotePrefix="1"/>
    <xf numFmtId="164" fontId="0" fillId="0" borderId="0" xfId="1" applyNumberFormat="1" applyFont="1" applyFill="1" applyBorder="1" applyAlignment="1"/>
    <xf numFmtId="1" fontId="0" fillId="0" borderId="0" xfId="0" applyNumberFormat="1"/>
    <xf numFmtId="9" fontId="4" fillId="0" borderId="0" xfId="2" applyFont="1" applyAlignment="1">
      <alignment horizontal="right"/>
    </xf>
    <xf numFmtId="164" fontId="0" fillId="0" borderId="0" xfId="1" applyNumberFormat="1" applyFont="1"/>
    <xf numFmtId="0" fontId="4" fillId="0" borderId="0" xfId="0" applyFont="1" applyAlignment="1">
      <alignment horizontal="left"/>
    </xf>
    <xf numFmtId="166" fontId="0" fillId="0" borderId="0" xfId="1" applyNumberFormat="1" applyFont="1"/>
    <xf numFmtId="164" fontId="4" fillId="0" borderId="0" xfId="1" applyNumberFormat="1" applyFont="1"/>
    <xf numFmtId="166" fontId="0" fillId="0" borderId="0" xfId="0" applyNumberFormat="1"/>
    <xf numFmtId="165" fontId="0" fillId="0" borderId="0" xfId="1" applyNumberFormat="1" applyFont="1" applyAlignment="1"/>
    <xf numFmtId="0" fontId="0" fillId="0" borderId="0" xfId="0" applyAlignment="1">
      <alignment horizontal="left"/>
    </xf>
    <xf numFmtId="166" fontId="2" fillId="0" borderId="0" xfId="0" applyNumberFormat="1" applyFont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0" borderId="8" xfId="0" applyFont="1" applyBorder="1"/>
    <xf numFmtId="167" fontId="4" fillId="0" borderId="0" xfId="2" applyNumberFormat="1" applyFont="1" applyBorder="1"/>
    <xf numFmtId="167" fontId="4" fillId="0" borderId="9" xfId="2" applyNumberFormat="1" applyFont="1" applyBorder="1"/>
    <xf numFmtId="0" fontId="4" fillId="0" borderId="10" xfId="0" applyFont="1" applyBorder="1"/>
    <xf numFmtId="0" fontId="4" fillId="0" borderId="11" xfId="0" applyFont="1" applyBorder="1" applyAlignment="1">
      <alignment horizontal="right"/>
    </xf>
    <xf numFmtId="167" fontId="4" fillId="0" borderId="11" xfId="2" applyNumberFormat="1" applyFont="1" applyBorder="1"/>
    <xf numFmtId="167" fontId="4" fillId="0" borderId="4" xfId="2" applyNumberFormat="1" applyFont="1" applyBorder="1"/>
    <xf numFmtId="167" fontId="4" fillId="0" borderId="10" xfId="2" applyNumberFormat="1" applyFont="1" applyBorder="1"/>
    <xf numFmtId="0" fontId="6" fillId="0" borderId="3" xfId="0" applyFont="1" applyBorder="1" applyAlignment="1">
      <alignment vertical="center" wrapText="1"/>
    </xf>
    <xf numFmtId="10" fontId="5" fillId="0" borderId="4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10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quotePrefix="1" applyFont="1" applyAlignment="1">
      <alignment vertical="center" wrapText="1"/>
    </xf>
    <xf numFmtId="0" fontId="4" fillId="0" borderId="9" xfId="0" applyFont="1" applyBorder="1"/>
    <xf numFmtId="0" fontId="4" fillId="0" borderId="4" xfId="0" applyFont="1" applyBorder="1" applyAlignment="1">
      <alignment horizontal="right"/>
    </xf>
    <xf numFmtId="0" fontId="4" fillId="2" borderId="1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44" fontId="4" fillId="0" borderId="24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15" xfId="1" applyFont="1" applyBorder="1" applyAlignment="1">
      <alignment horizontal="center"/>
    </xf>
    <xf numFmtId="44" fontId="4" fillId="0" borderId="15" xfId="1" applyFont="1" applyFill="1" applyBorder="1" applyAlignment="1">
      <alignment horizontal="center"/>
    </xf>
    <xf numFmtId="10" fontId="4" fillId="0" borderId="15" xfId="2" applyNumberFormat="1" applyFont="1" applyBorder="1" applyAlignment="1">
      <alignment horizontal="center"/>
    </xf>
    <xf numFmtId="167" fontId="4" fillId="0" borderId="18" xfId="2" applyNumberFormat="1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9" fillId="5" borderId="0" xfId="0" applyFont="1" applyFill="1"/>
    <xf numFmtId="0" fontId="9" fillId="3" borderId="0" xfId="0" applyFont="1" applyFill="1"/>
    <xf numFmtId="0" fontId="8" fillId="4" borderId="0" xfId="0" applyFont="1" applyFill="1" applyAlignment="1">
      <alignment horizontal="center" wrapText="1"/>
    </xf>
    <xf numFmtId="0" fontId="9" fillId="5" borderId="25" xfId="0" applyFont="1" applyFill="1" applyBorder="1"/>
    <xf numFmtId="14" fontId="9" fillId="5" borderId="25" xfId="0" applyNumberFormat="1" applyFont="1" applyFill="1" applyBorder="1"/>
    <xf numFmtId="165" fontId="9" fillId="5" borderId="25" xfId="0" applyNumberFormat="1" applyFont="1" applyFill="1" applyBorder="1"/>
    <xf numFmtId="14" fontId="9" fillId="3" borderId="0" xfId="0" applyNumberFormat="1" applyFont="1" applyFill="1"/>
    <xf numFmtId="165" fontId="9" fillId="3" borderId="0" xfId="0" applyNumberFormat="1" applyFont="1" applyFill="1"/>
    <xf numFmtId="14" fontId="9" fillId="5" borderId="0" xfId="0" applyNumberFormat="1" applyFont="1" applyFill="1"/>
    <xf numFmtId="165" fontId="9" fillId="5" borderId="0" xfId="0" applyNumberFormat="1" applyFont="1" applyFill="1"/>
    <xf numFmtId="0" fontId="8" fillId="3" borderId="0" xfId="0" applyFont="1" applyFill="1"/>
    <xf numFmtId="0" fontId="8" fillId="5" borderId="0" xfId="0" applyFont="1" applyFill="1"/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abSelected="1" zoomScale="80" zoomScaleNormal="80" workbookViewId="0">
      <selection activeCell="R30" sqref="R30"/>
    </sheetView>
  </sheetViews>
  <sheetFormatPr defaultColWidth="8.81640625" defaultRowHeight="14.5" x14ac:dyDescent="0.35"/>
  <cols>
    <col min="1" max="1" width="12.453125" bestFit="1" customWidth="1"/>
    <col min="2" max="2" width="11.7265625" bestFit="1" customWidth="1"/>
    <col min="3" max="3" width="11.7265625" customWidth="1"/>
    <col min="4" max="4" width="12.453125" style="1" bestFit="1" customWidth="1"/>
    <col min="5" max="5" width="19.81640625" customWidth="1"/>
    <col min="6" max="6" width="9" customWidth="1"/>
    <col min="7" max="7" width="13.1796875" bestFit="1" customWidth="1"/>
    <col min="8" max="8" width="8.1796875" customWidth="1"/>
    <col min="9" max="9" width="12.7265625" customWidth="1"/>
    <col min="10" max="10" width="6.26953125" customWidth="1"/>
    <col min="11" max="11" width="7.7265625" customWidth="1"/>
    <col min="12" max="12" width="10" customWidth="1"/>
    <col min="13" max="13" width="13.81640625" customWidth="1"/>
    <col min="14" max="14" width="16.36328125" customWidth="1"/>
    <col min="15" max="15" width="15.26953125" customWidth="1"/>
    <col min="16" max="17" width="13.81640625" customWidth="1"/>
    <col min="18" max="18" width="12.7265625" customWidth="1"/>
    <col min="19" max="19" width="18" customWidth="1"/>
    <col min="20" max="20" width="16.6328125" style="15" customWidth="1"/>
    <col min="21" max="21" width="18.1796875" customWidth="1"/>
    <col min="22" max="22" width="11.26953125" customWidth="1"/>
  </cols>
  <sheetData>
    <row r="1" spans="1:22" s="4" customFormat="1" ht="43.5" x14ac:dyDescent="0.35">
      <c r="A1" s="5" t="s">
        <v>0</v>
      </c>
      <c r="B1" s="5" t="s">
        <v>1</v>
      </c>
      <c r="C1" s="5" t="s">
        <v>52</v>
      </c>
      <c r="D1" s="6" t="s">
        <v>2</v>
      </c>
      <c r="E1" s="6" t="s">
        <v>3</v>
      </c>
      <c r="F1" s="5" t="s">
        <v>44</v>
      </c>
      <c r="G1" s="5" t="s">
        <v>4</v>
      </c>
      <c r="H1" s="5" t="s">
        <v>5</v>
      </c>
      <c r="I1" s="5" t="s">
        <v>45</v>
      </c>
      <c r="J1" s="5" t="s">
        <v>6</v>
      </c>
      <c r="K1" s="5" t="s">
        <v>8</v>
      </c>
      <c r="L1" s="5" t="s">
        <v>42</v>
      </c>
      <c r="M1" s="5" t="s">
        <v>7</v>
      </c>
      <c r="N1" s="5" t="s">
        <v>98</v>
      </c>
      <c r="O1" s="5" t="s">
        <v>99</v>
      </c>
      <c r="P1" s="5" t="s">
        <v>109</v>
      </c>
      <c r="Q1" s="5" t="s">
        <v>111</v>
      </c>
      <c r="R1" s="4" t="s">
        <v>80</v>
      </c>
      <c r="S1" s="4" t="s">
        <v>81</v>
      </c>
      <c r="T1" s="18" t="s">
        <v>82</v>
      </c>
      <c r="U1" s="4" t="s">
        <v>84</v>
      </c>
    </row>
    <row r="2" spans="1:22" x14ac:dyDescent="0.35">
      <c r="A2">
        <v>1024</v>
      </c>
      <c r="B2" t="s">
        <v>9</v>
      </c>
      <c r="C2" t="s">
        <v>53</v>
      </c>
      <c r="D2" s="1">
        <v>44116</v>
      </c>
      <c r="E2" s="1">
        <v>25056</v>
      </c>
      <c r="F2" s="7" t="s">
        <v>10</v>
      </c>
      <c r="G2" s="7" t="s">
        <v>11</v>
      </c>
      <c r="H2" t="s">
        <v>12</v>
      </c>
      <c r="I2" t="s">
        <v>85</v>
      </c>
      <c r="J2" t="s">
        <v>13</v>
      </c>
      <c r="K2" t="s">
        <v>14</v>
      </c>
      <c r="L2" s="9">
        <f ca="1">DATEDIF(D2,TODAY(),"m")</f>
        <v>25</v>
      </c>
      <c r="M2" s="8">
        <v>85000</v>
      </c>
      <c r="N2" s="8" t="str">
        <f>IF(M2&gt;EmployeeSummary!$F$2,"Over Average", "Under Average")</f>
        <v>Over Average</v>
      </c>
      <c r="O2" s="8" t="str">
        <f>IF(M2*1.1&gt;EmployeeSummary!$F$2,"Over Average","Under Average")</f>
        <v>Over Average</v>
      </c>
      <c r="P2" s="8">
        <f>IF(M2&gt;EmployeeSummary!$F$2,EmployeeInfo!M2,EmployeeInfo!M2*1.05)</f>
        <v>85000</v>
      </c>
      <c r="Q2" s="8" t="str">
        <f>IF(M2=P2," ","Different")</f>
        <v xml:space="preserve"> </v>
      </c>
      <c r="R2" s="13">
        <f ca="1">VLOOKUP(L2,LookUpData!$A$3:$C$8,3,TRUE)*M2</f>
        <v>4250</v>
      </c>
      <c r="S2" s="47">
        <f ca="1">IF(H2="FT",M2*VLOOKUP(L2,LookUpData!$A$11:$D$16,4),IF(EmployeeInfo!H2="PT",EmployeeInfo!M2*VLOOKUP(EmployeeInfo!L2,LookUpData!$A$11:$D$16,3),"Error - Job Status"))</f>
        <v>4250</v>
      </c>
      <c r="T2" s="15">
        <f>IFERROR(VLOOKUP(I2,LookUpData!$A$20:$B$23,2,FALSE)*M2,"Bad Job Type")</f>
        <v>2125</v>
      </c>
      <c r="U2" s="15">
        <f>IFERROR(IF(J2="S",VLOOKUP(I2,LookUpData!$A$27:$C$30,3,FALSE)*EmployeeInfo!M2,IF(J2="H",VLOOKUP(I2,LookUpData!$A$27:$C$30,2,FALSE)*EmployeeInfo!M2,"ERROR")),"ERROR")</f>
        <v>2975.0000000000005</v>
      </c>
      <c r="V2" s="15"/>
    </row>
    <row r="3" spans="1:22" x14ac:dyDescent="0.35">
      <c r="A3">
        <v>1025</v>
      </c>
      <c r="B3" t="s">
        <v>15</v>
      </c>
      <c r="C3" t="s">
        <v>57</v>
      </c>
      <c r="D3" s="1">
        <v>43229</v>
      </c>
      <c r="E3" s="1">
        <v>32158</v>
      </c>
      <c r="F3" s="7" t="s">
        <v>16</v>
      </c>
      <c r="G3" t="s">
        <v>17</v>
      </c>
      <c r="H3" t="s">
        <v>25</v>
      </c>
      <c r="I3" s="17" t="s">
        <v>86</v>
      </c>
      <c r="J3" t="s">
        <v>13</v>
      </c>
      <c r="K3" t="s">
        <v>14</v>
      </c>
      <c r="L3" s="9">
        <f t="shared" ref="L3:L25" ca="1" si="0">DATEDIF(D3,TODAY(),"m")</f>
        <v>54</v>
      </c>
      <c r="M3" s="8">
        <v>40000</v>
      </c>
      <c r="N3" s="8" t="str">
        <f>IF(M3&gt;EmployeeSummary!$F$2,"Over Average", "Under Average")</f>
        <v>Under Average</v>
      </c>
      <c r="O3" s="8" t="str">
        <f>IF(M3*1.1&gt;EmployeeSummary!$F$2,"Over Average","Under Average")</f>
        <v>Under Average</v>
      </c>
      <c r="P3" s="8">
        <f>IF(M3&gt;EmployeeSummary!$F$2,EmployeeInfo!M3,EmployeeInfo!M3*1.05)</f>
        <v>42000</v>
      </c>
      <c r="Q3" s="8" t="str">
        <f t="shared" ref="Q3:Q25" si="1">IF(M3=P3," ","Different")</f>
        <v>Different</v>
      </c>
      <c r="R3" s="13">
        <f ca="1">VLOOKUP(L3,LookUpData!$A$3:$C$8,3,TRUE)*M3</f>
        <v>4000</v>
      </c>
      <c r="S3" s="47">
        <f ca="1">IF(H3="FT",M3*VLOOKUP(L3,LookUpData!$A$11:$D$16,4),IF(EmployeeInfo!H3="PT",EmployeeInfo!M3*VLOOKUP(EmployeeInfo!L3,LookUpData!$A$11:$D$16,3),"Error - Job Status"))</f>
        <v>3200</v>
      </c>
      <c r="T3" s="15">
        <f>IFERROR(VLOOKUP(I3,LookUpData!$A$20:$B$23,2,FALSE)*M3,"Bad Job Type")</f>
        <v>600</v>
      </c>
      <c r="U3" s="15">
        <f>IFERROR(IF(J3="S",VLOOKUP(I3,LookUpData!$A$27:$C$30,3,FALSE)*EmployeeInfo!M3,IF(J3="H",VLOOKUP(I3,LookUpData!$A$27:$C$30,2,FALSE)*EmployeeInfo!M3,"ERROR")),"ERROR")</f>
        <v>400</v>
      </c>
      <c r="V3" s="15"/>
    </row>
    <row r="4" spans="1:22" x14ac:dyDescent="0.35">
      <c r="A4">
        <v>1026</v>
      </c>
      <c r="B4" t="s">
        <v>18</v>
      </c>
      <c r="C4" t="s">
        <v>54</v>
      </c>
      <c r="D4" s="1">
        <v>44295</v>
      </c>
      <c r="E4" s="1">
        <v>25805</v>
      </c>
      <c r="F4" s="7" t="s">
        <v>10</v>
      </c>
      <c r="G4" s="7" t="s">
        <v>19</v>
      </c>
      <c r="H4" t="s">
        <v>12</v>
      </c>
      <c r="I4" t="s">
        <v>87</v>
      </c>
      <c r="J4" t="s">
        <v>13</v>
      </c>
      <c r="K4" t="s">
        <v>14</v>
      </c>
      <c r="L4" s="9">
        <f t="shared" ca="1" si="0"/>
        <v>19</v>
      </c>
      <c r="M4" s="8">
        <v>57244</v>
      </c>
      <c r="N4" s="8" t="str">
        <f>IF(M4&gt;EmployeeSummary!$F$2,"Over Average", "Under Average")</f>
        <v>Under Average</v>
      </c>
      <c r="O4" s="8" t="str">
        <f>IF(M4*1.1&gt;EmployeeSummary!$F$2,"Over Average","Under Average")</f>
        <v>Over Average</v>
      </c>
      <c r="P4" s="8">
        <f>IF(M4&gt;EmployeeSummary!$F$2,EmployeeInfo!M4,EmployeeInfo!M4*1.05)</f>
        <v>60106.200000000004</v>
      </c>
      <c r="Q4" s="8" t="str">
        <f t="shared" si="1"/>
        <v>Different</v>
      </c>
      <c r="R4" s="13">
        <f ca="1">VLOOKUP(L4,LookUpData!$A$3:$C$8,3,TRUE)*M4</f>
        <v>2003.5400000000002</v>
      </c>
      <c r="S4" s="47">
        <f ca="1">IF(H4="FT",M4*VLOOKUP(L4,LookUpData!$A$11:$D$16,4),IF(EmployeeInfo!H4="PT",EmployeeInfo!M4*VLOOKUP(EmployeeInfo!L4,LookUpData!$A$11:$D$16,3),"Error - Job Status"))</f>
        <v>2003.5400000000002</v>
      </c>
      <c r="T4" s="15">
        <f>IFERROR(VLOOKUP(I4,LookUpData!$A$20:$B$23,2,FALSE)*M4,"Bad Job Type")</f>
        <v>1144.8800000000001</v>
      </c>
      <c r="U4" s="15">
        <f>IFERROR(IF(J4="S",VLOOKUP(I4,LookUpData!$A$27:$C$30,3,FALSE)*EmployeeInfo!M4,IF(J4="H",VLOOKUP(I4,LookUpData!$A$27:$C$30,2,FALSE)*EmployeeInfo!M4,"ERROR")),"ERROR")</f>
        <v>1144.8800000000001</v>
      </c>
      <c r="V4" s="15"/>
    </row>
    <row r="5" spans="1:22" x14ac:dyDescent="0.35">
      <c r="A5">
        <v>1027</v>
      </c>
      <c r="B5" t="s">
        <v>20</v>
      </c>
      <c r="C5" t="s">
        <v>55</v>
      </c>
      <c r="D5" s="1">
        <v>43284</v>
      </c>
      <c r="E5" s="1">
        <v>22471</v>
      </c>
      <c r="F5" s="7" t="s">
        <v>16</v>
      </c>
      <c r="G5" s="7" t="s">
        <v>11</v>
      </c>
      <c r="H5" t="s">
        <v>12</v>
      </c>
      <c r="I5" t="s">
        <v>85</v>
      </c>
      <c r="J5" t="s">
        <v>13</v>
      </c>
      <c r="K5" t="s">
        <v>21</v>
      </c>
      <c r="L5" s="9">
        <f t="shared" ca="1" si="0"/>
        <v>52</v>
      </c>
      <c r="M5" s="8">
        <v>80000</v>
      </c>
      <c r="N5" s="8" t="str">
        <f>IF(M5&gt;EmployeeSummary!$F$2,"Over Average", "Under Average")</f>
        <v>Over Average</v>
      </c>
      <c r="O5" s="8" t="str">
        <f>IF(M5*1.1&gt;EmployeeSummary!$F$2,"Over Average","Under Average")</f>
        <v>Over Average</v>
      </c>
      <c r="P5" s="8">
        <f>IF(M5&gt;EmployeeSummary!$F$2,EmployeeInfo!M5,EmployeeInfo!M5*1.05)</f>
        <v>80000</v>
      </c>
      <c r="Q5" s="8" t="str">
        <f t="shared" si="1"/>
        <v xml:space="preserve"> </v>
      </c>
      <c r="R5" s="13">
        <f ca="1">VLOOKUP(L5,LookUpData!$A$3:$C$8,3,TRUE)*M5</f>
        <v>8000</v>
      </c>
      <c r="S5" s="47">
        <f ca="1">IF(H5="FT",M5*VLOOKUP(L5,LookUpData!$A$11:$D$16,4),IF(EmployeeInfo!H5="PT",EmployeeInfo!M5*VLOOKUP(EmployeeInfo!L5,LookUpData!$A$11:$D$16,3),"Error - Job Status"))</f>
        <v>8000</v>
      </c>
      <c r="T5" s="15">
        <f>IFERROR(VLOOKUP(I5,LookUpData!$A$20:$B$23,2,FALSE)*M5,"Bad Job Type")</f>
        <v>2000</v>
      </c>
      <c r="U5" s="15">
        <f>IFERROR(IF(J5="S",VLOOKUP(I5,LookUpData!$A$27:$C$30,3,FALSE)*EmployeeInfo!M5,IF(J5="H",VLOOKUP(I5,LookUpData!$A$27:$C$30,2,FALSE)*EmployeeInfo!M5,"ERROR")),"ERROR")</f>
        <v>2800.0000000000005</v>
      </c>
      <c r="V5" s="15"/>
    </row>
    <row r="6" spans="1:22" x14ac:dyDescent="0.35">
      <c r="A6">
        <v>1028</v>
      </c>
      <c r="B6" t="s">
        <v>22</v>
      </c>
      <c r="C6" t="s">
        <v>56</v>
      </c>
      <c r="D6" s="1">
        <v>44383</v>
      </c>
      <c r="E6" s="1">
        <v>19159</v>
      </c>
      <c r="F6" s="7" t="s">
        <v>10</v>
      </c>
      <c r="G6" s="7" t="s">
        <v>11</v>
      </c>
      <c r="H6" t="s">
        <v>25</v>
      </c>
      <c r="I6" t="s">
        <v>85</v>
      </c>
      <c r="J6" t="s">
        <v>13</v>
      </c>
      <c r="K6" t="s">
        <v>21</v>
      </c>
      <c r="L6" s="9">
        <f t="shared" ca="1" si="0"/>
        <v>16</v>
      </c>
      <c r="M6" s="8">
        <v>62100</v>
      </c>
      <c r="N6" s="8" t="str">
        <f>IF(M6&gt;EmployeeSummary!$F$2,"Over Average", "Under Average")</f>
        <v>Over Average</v>
      </c>
      <c r="O6" s="8" t="str">
        <f>IF(M6*1.1&gt;EmployeeSummary!$F$2,"Over Average","Under Average")</f>
        <v>Over Average</v>
      </c>
      <c r="P6" s="8">
        <f>IF(M6&gt;EmployeeSummary!$F$2,EmployeeInfo!M6,EmployeeInfo!M6*1.05)</f>
        <v>62100</v>
      </c>
      <c r="Q6" s="8" t="str">
        <f t="shared" si="1"/>
        <v xml:space="preserve"> </v>
      </c>
      <c r="R6" s="13">
        <f ca="1">VLOOKUP(L6,LookUpData!$A$3:$C$8,3,TRUE)*M6</f>
        <v>2173.5</v>
      </c>
      <c r="S6" s="47">
        <f ca="1">IF(H6="FT",M6*VLOOKUP(L6,LookUpData!$A$11:$D$16,4),IF(EmployeeInfo!H6="PT",EmployeeInfo!M6*VLOOKUP(EmployeeInfo!L6,LookUpData!$A$11:$D$16,3),"Error - Job Status"))</f>
        <v>0</v>
      </c>
      <c r="T6" s="15">
        <f>IFERROR(VLOOKUP(I6,LookUpData!$A$20:$B$23,2,FALSE)*M6,"Bad Job Type")</f>
        <v>1552.5</v>
      </c>
      <c r="U6" s="15">
        <f>IFERROR(IF(J6="S",VLOOKUP(I6,LookUpData!$A$27:$C$30,3,FALSE)*EmployeeInfo!M6,IF(J6="H",VLOOKUP(I6,LookUpData!$A$27:$C$30,2,FALSE)*EmployeeInfo!M6,"ERROR")),"ERROR")</f>
        <v>2173.5</v>
      </c>
      <c r="V6" s="15"/>
    </row>
    <row r="7" spans="1:22" x14ac:dyDescent="0.35">
      <c r="A7">
        <v>1032</v>
      </c>
      <c r="B7" t="s">
        <v>24</v>
      </c>
      <c r="C7" t="s">
        <v>58</v>
      </c>
      <c r="D7" s="1">
        <v>41482</v>
      </c>
      <c r="E7" s="1">
        <v>22260</v>
      </c>
      <c r="F7" s="7" t="s">
        <v>16</v>
      </c>
      <c r="G7" s="7" t="s">
        <v>11</v>
      </c>
      <c r="H7" t="s">
        <v>25</v>
      </c>
      <c r="I7" t="s">
        <v>88</v>
      </c>
      <c r="J7" t="s">
        <v>26</v>
      </c>
      <c r="K7" t="s">
        <v>23</v>
      </c>
      <c r="L7" s="9">
        <f t="shared" ca="1" si="0"/>
        <v>112</v>
      </c>
      <c r="M7" s="8">
        <v>45125</v>
      </c>
      <c r="N7" s="8" t="str">
        <f>IF(M7&gt;EmployeeSummary!$F$2,"Over Average", "Under Average")</f>
        <v>Under Average</v>
      </c>
      <c r="O7" s="8" t="str">
        <f>IF(M7*1.1&gt;EmployeeSummary!$F$2,"Over Average","Under Average")</f>
        <v>Under Average</v>
      </c>
      <c r="P7" s="8">
        <f>IF(M7&gt;EmployeeSummary!$F$2,EmployeeInfo!M7,EmployeeInfo!M7*1.05)</f>
        <v>47381.25</v>
      </c>
      <c r="Q7" s="8" t="str">
        <f t="shared" si="1"/>
        <v>Different</v>
      </c>
      <c r="R7" s="13">
        <f ca="1">VLOOKUP(L7,LookUpData!$A$3:$C$8,3,TRUE)*M7</f>
        <v>4512.5</v>
      </c>
      <c r="S7" s="47">
        <f ca="1">IF(H7="FT",M7*VLOOKUP(L7,LookUpData!$A$11:$D$16,4),IF(EmployeeInfo!H7="PT",EmployeeInfo!M7*VLOOKUP(EmployeeInfo!L7,LookUpData!$A$11:$D$16,3),"Error - Job Status"))</f>
        <v>3610</v>
      </c>
      <c r="T7" s="15">
        <f>IFERROR(VLOOKUP(I7,LookUpData!$A$20:$B$23,2,FALSE)*M7,"Bad Job Type")</f>
        <v>2797.75</v>
      </c>
      <c r="U7" s="15">
        <f>IFERROR(IF(J7="S",VLOOKUP(I7,LookUpData!$A$27:$C$30,3,FALSE)*EmployeeInfo!M7,IF(J7="H",VLOOKUP(I7,LookUpData!$A$27:$C$30,2,FALSE)*EmployeeInfo!M7,"ERROR")),"ERROR")</f>
        <v>1398.875</v>
      </c>
      <c r="V7" s="15"/>
    </row>
    <row r="8" spans="1:22" x14ac:dyDescent="0.35">
      <c r="A8">
        <v>1033</v>
      </c>
      <c r="B8" t="s">
        <v>27</v>
      </c>
      <c r="C8" t="s">
        <v>59</v>
      </c>
      <c r="D8" s="1">
        <v>43390</v>
      </c>
      <c r="E8" s="1">
        <v>16071</v>
      </c>
      <c r="F8" s="7" t="s">
        <v>16</v>
      </c>
      <c r="G8" s="7" t="s">
        <v>28</v>
      </c>
      <c r="H8" t="s">
        <v>25</v>
      </c>
      <c r="I8" t="s">
        <v>88</v>
      </c>
      <c r="J8" t="s">
        <v>26</v>
      </c>
      <c r="K8" t="s">
        <v>21</v>
      </c>
      <c r="L8" s="9">
        <f t="shared" ca="1" si="0"/>
        <v>49</v>
      </c>
      <c r="M8" s="8">
        <v>38512</v>
      </c>
      <c r="N8" s="8" t="str">
        <f>IF(M8&gt;EmployeeSummary!$F$2,"Over Average", "Under Average")</f>
        <v>Under Average</v>
      </c>
      <c r="O8" s="8" t="str">
        <f>IF(M8*1.1&gt;EmployeeSummary!$F$2,"Over Average","Under Average")</f>
        <v>Under Average</v>
      </c>
      <c r="P8" s="8">
        <f>IF(M8&gt;EmployeeSummary!$F$2,EmployeeInfo!M8,EmployeeInfo!M8*1.05)</f>
        <v>40437.599999999999</v>
      </c>
      <c r="Q8" s="8" t="str">
        <f t="shared" si="1"/>
        <v>Different</v>
      </c>
      <c r="R8" s="13">
        <f ca="1">VLOOKUP(L8,LookUpData!$A$3:$C$8,3,TRUE)*M8</f>
        <v>3851.2000000000003</v>
      </c>
      <c r="S8" s="47">
        <f ca="1">IF(H8="FT",M8*VLOOKUP(L8,LookUpData!$A$11:$D$16,4),IF(EmployeeInfo!H8="PT",EmployeeInfo!M8*VLOOKUP(EmployeeInfo!L8,LookUpData!$A$11:$D$16,3),"Error - Job Status"))</f>
        <v>3080.96</v>
      </c>
      <c r="T8" s="15">
        <f>IFERROR(VLOOKUP(I8,LookUpData!$A$20:$B$23,2,FALSE)*M8,"Bad Job Type")</f>
        <v>2387.7440000000001</v>
      </c>
      <c r="U8" s="15">
        <f>IFERROR(IF(J8="S",VLOOKUP(I8,LookUpData!$A$27:$C$30,3,FALSE)*EmployeeInfo!M8,IF(J8="H",VLOOKUP(I8,LookUpData!$A$27:$C$30,2,FALSE)*EmployeeInfo!M8,"ERROR")),"ERROR")</f>
        <v>1193.8720000000001</v>
      </c>
      <c r="V8" s="15"/>
    </row>
    <row r="9" spans="1:22" x14ac:dyDescent="0.35">
      <c r="A9">
        <v>1034</v>
      </c>
      <c r="B9" t="s">
        <v>29</v>
      </c>
      <c r="C9" t="s">
        <v>60</v>
      </c>
      <c r="D9" s="1">
        <v>42478</v>
      </c>
      <c r="E9" s="1">
        <v>33447</v>
      </c>
      <c r="F9" s="7" t="s">
        <v>10</v>
      </c>
      <c r="G9" s="7" t="s">
        <v>28</v>
      </c>
      <c r="H9" t="s">
        <v>12</v>
      </c>
      <c r="I9" t="s">
        <v>86</v>
      </c>
      <c r="J9" t="s">
        <v>26</v>
      </c>
      <c r="K9" t="s">
        <v>23</v>
      </c>
      <c r="L9" s="9">
        <f t="shared" ca="1" si="0"/>
        <v>79</v>
      </c>
      <c r="M9" s="8">
        <v>25792</v>
      </c>
      <c r="N9" s="8" t="str">
        <f>IF(M9&gt;EmployeeSummary!$F$2,"Over Average", "Under Average")</f>
        <v>Under Average</v>
      </c>
      <c r="O9" s="8" t="str">
        <f>IF(M9*1.1&gt;EmployeeSummary!$F$2,"Over Average","Under Average")</f>
        <v>Under Average</v>
      </c>
      <c r="P9" s="8">
        <f>IF(M9&gt;EmployeeSummary!$F$2,EmployeeInfo!M9,EmployeeInfo!M9*1.05)</f>
        <v>27081.600000000002</v>
      </c>
      <c r="Q9" s="8" t="str">
        <f t="shared" si="1"/>
        <v>Different</v>
      </c>
      <c r="R9" s="13">
        <f ca="1">VLOOKUP(L9,LookUpData!$A$3:$C$8,3,TRUE)*M9</f>
        <v>2579.2000000000003</v>
      </c>
      <c r="S9" s="47">
        <f ca="1">IF(H9="FT",M9*VLOOKUP(L9,LookUpData!$A$11:$D$16,4),IF(EmployeeInfo!H9="PT",EmployeeInfo!M9*VLOOKUP(EmployeeInfo!L9,LookUpData!$A$11:$D$16,3),"Error - Job Status"))</f>
        <v>2579.2000000000003</v>
      </c>
      <c r="T9" s="15">
        <f>IFERROR(VLOOKUP(I9,LookUpData!$A$20:$B$23,2,FALSE)*M9,"Bad Job Type")</f>
        <v>386.88</v>
      </c>
      <c r="U9" s="15">
        <f>IFERROR(IF(J9="S",VLOOKUP(I9,LookUpData!$A$27:$C$30,3,FALSE)*EmployeeInfo!M9,IF(J9="H",VLOOKUP(I9,LookUpData!$A$27:$C$30,2,FALSE)*EmployeeInfo!M9,"ERROR")),"ERROR")</f>
        <v>386.88</v>
      </c>
      <c r="V9" s="15"/>
    </row>
    <row r="10" spans="1:22" x14ac:dyDescent="0.35">
      <c r="A10">
        <v>1035</v>
      </c>
      <c r="B10" t="s">
        <v>41</v>
      </c>
      <c r="C10" t="s">
        <v>61</v>
      </c>
      <c r="D10" s="1">
        <v>43359</v>
      </c>
      <c r="E10" s="1">
        <v>32848</v>
      </c>
      <c r="F10" s="7" t="s">
        <v>16</v>
      </c>
      <c r="G10" s="7" t="s">
        <v>11</v>
      </c>
      <c r="H10" t="s">
        <v>12</v>
      </c>
      <c r="I10" t="s">
        <v>86</v>
      </c>
      <c r="J10" t="s">
        <v>26</v>
      </c>
      <c r="K10" t="s">
        <v>23</v>
      </c>
      <c r="L10" s="9">
        <f t="shared" ca="1" si="0"/>
        <v>50</v>
      </c>
      <c r="M10" s="8">
        <v>32011</v>
      </c>
      <c r="N10" s="8" t="str">
        <f>IF(M10&gt;EmployeeSummary!$F$2,"Over Average", "Under Average")</f>
        <v>Under Average</v>
      </c>
      <c r="O10" s="8" t="str">
        <f>IF(M10*1.1&gt;EmployeeSummary!$F$2,"Over Average","Under Average")</f>
        <v>Under Average</v>
      </c>
      <c r="P10" s="8">
        <f>IF(M10&gt;EmployeeSummary!$F$2,EmployeeInfo!M10,EmployeeInfo!M10*1.05)</f>
        <v>33611.550000000003</v>
      </c>
      <c r="Q10" s="8" t="str">
        <f t="shared" si="1"/>
        <v>Different</v>
      </c>
      <c r="R10" s="13">
        <f ca="1">VLOOKUP(L10,LookUpData!$A$3:$C$8,3,TRUE)*M10</f>
        <v>3201.1000000000004</v>
      </c>
      <c r="S10" s="47">
        <f ca="1">IF(H10="FT",M10*VLOOKUP(L10,LookUpData!$A$11:$D$16,4),IF(EmployeeInfo!H10="PT",EmployeeInfo!M10*VLOOKUP(EmployeeInfo!L10,LookUpData!$A$11:$D$16,3),"Error - Job Status"))</f>
        <v>3201.1000000000004</v>
      </c>
      <c r="T10" s="15">
        <f>IFERROR(VLOOKUP(I10,LookUpData!$A$20:$B$23,2,FALSE)*M10,"Bad Job Type")</f>
        <v>480.16499999999996</v>
      </c>
      <c r="U10" s="15">
        <f>IFERROR(IF(J10="S",VLOOKUP(I10,LookUpData!$A$27:$C$30,3,FALSE)*EmployeeInfo!M10,IF(J10="H",VLOOKUP(I10,LookUpData!$A$27:$C$30,2,FALSE)*EmployeeInfo!M10,"ERROR")),"ERROR")</f>
        <v>480.16499999999996</v>
      </c>
      <c r="V10" s="15"/>
    </row>
    <row r="11" spans="1:22" x14ac:dyDescent="0.35">
      <c r="A11">
        <v>1036</v>
      </c>
      <c r="B11" t="s">
        <v>30</v>
      </c>
      <c r="C11" t="s">
        <v>62</v>
      </c>
      <c r="D11" s="1">
        <v>43209</v>
      </c>
      <c r="E11" s="1">
        <v>32961</v>
      </c>
      <c r="F11" s="7" t="s">
        <v>16</v>
      </c>
      <c r="G11" s="7" t="s">
        <v>28</v>
      </c>
      <c r="H11" t="s">
        <v>12</v>
      </c>
      <c r="I11" t="s">
        <v>86</v>
      </c>
      <c r="J11" t="s">
        <v>26</v>
      </c>
      <c r="K11" t="s">
        <v>14</v>
      </c>
      <c r="L11" s="9">
        <f t="shared" ca="1" si="0"/>
        <v>55</v>
      </c>
      <c r="M11" s="8">
        <v>23920</v>
      </c>
      <c r="N11" s="8" t="str">
        <f>IF(M11&gt;EmployeeSummary!$F$2,"Over Average", "Under Average")</f>
        <v>Under Average</v>
      </c>
      <c r="O11" s="8" t="str">
        <f>IF(M11*1.1&gt;EmployeeSummary!$F$2,"Over Average","Under Average")</f>
        <v>Under Average</v>
      </c>
      <c r="P11" s="8">
        <f>IF(M11&gt;EmployeeSummary!$F$2,EmployeeInfo!M11,EmployeeInfo!M11*1.05)</f>
        <v>25116</v>
      </c>
      <c r="Q11" s="8" t="str">
        <f t="shared" si="1"/>
        <v>Different</v>
      </c>
      <c r="R11" s="13">
        <f ca="1">VLOOKUP(L11,LookUpData!$A$3:$C$8,3,TRUE)*M11</f>
        <v>2392</v>
      </c>
      <c r="S11" s="47">
        <f ca="1">IF(H11="FT",M11*VLOOKUP(L11,LookUpData!$A$11:$D$16,4),IF(EmployeeInfo!H11="PT",EmployeeInfo!M11*VLOOKUP(EmployeeInfo!L11,LookUpData!$A$11:$D$16,3),"Error - Job Status"))</f>
        <v>2392</v>
      </c>
      <c r="T11" s="15">
        <f>IFERROR(VLOOKUP(I11,LookUpData!$A$20:$B$23,2,FALSE)*M11,"Bad Job Type")</f>
        <v>358.8</v>
      </c>
      <c r="U11" s="15">
        <f>IFERROR(IF(J11="S",VLOOKUP(I11,LookUpData!$A$27:$C$30,3,FALSE)*EmployeeInfo!M11,IF(J11="H",VLOOKUP(I11,LookUpData!$A$27:$C$30,2,FALSE)*EmployeeInfo!M11,"ERROR")),"ERROR")</f>
        <v>358.8</v>
      </c>
      <c r="V11" s="15"/>
    </row>
    <row r="12" spans="1:22" ht="16.5" customHeight="1" x14ac:dyDescent="0.35">
      <c r="A12">
        <v>1037</v>
      </c>
      <c r="B12" t="s">
        <v>31</v>
      </c>
      <c r="C12" t="s">
        <v>63</v>
      </c>
      <c r="D12" s="1">
        <v>41223</v>
      </c>
      <c r="E12" s="1">
        <v>26910</v>
      </c>
      <c r="F12" s="7" t="s">
        <v>16</v>
      </c>
      <c r="G12" s="7" t="s">
        <v>11</v>
      </c>
      <c r="H12" t="s">
        <v>46</v>
      </c>
      <c r="I12" t="s">
        <v>88</v>
      </c>
      <c r="J12" t="s">
        <v>26</v>
      </c>
      <c r="K12" t="s">
        <v>21</v>
      </c>
      <c r="L12" s="9">
        <f t="shared" ca="1" si="0"/>
        <v>120</v>
      </c>
      <c r="M12" s="8">
        <v>32011</v>
      </c>
      <c r="N12" s="8" t="str">
        <f>IF(M12&gt;EmployeeSummary!$F$2,"Over Average", "Under Average")</f>
        <v>Under Average</v>
      </c>
      <c r="O12" s="8" t="str">
        <f>IF(M12*1.1&gt;EmployeeSummary!$F$2,"Over Average","Under Average")</f>
        <v>Under Average</v>
      </c>
      <c r="P12" s="8">
        <f>IF(M12&gt;EmployeeSummary!$F$2,EmployeeInfo!M12,EmployeeInfo!M12*1.05)</f>
        <v>33611.550000000003</v>
      </c>
      <c r="Q12" s="8" t="str">
        <f t="shared" si="1"/>
        <v>Different</v>
      </c>
      <c r="R12" s="13">
        <f ca="1">VLOOKUP(L12,LookUpData!$A$3:$C$8,3,TRUE)*M12</f>
        <v>3201.1000000000004</v>
      </c>
      <c r="S12" s="48" t="str">
        <f>IF(H12="FT",M12*VLOOKUP(L12,LookUpData!$A$11:$D$16,4),IF(EmployeeInfo!H12="PT",EmployeeInfo!M12*VLOOKUP(EmployeeInfo!L12,LookUpData!$A$11:$D$16,3),"Error - Job Status"))</f>
        <v>Error - Job Status</v>
      </c>
      <c r="T12" s="15">
        <f>IFERROR(VLOOKUP(I12,LookUpData!$A$20:$B$23,2,FALSE)*M12,"Bad Job Type")</f>
        <v>1984.682</v>
      </c>
      <c r="U12" s="15">
        <f>IFERROR(IF(J12="S",VLOOKUP(I12,LookUpData!$A$27:$C$30,3,FALSE)*EmployeeInfo!M12,IF(J12="H",VLOOKUP(I12,LookUpData!$A$27:$C$30,2,FALSE)*EmployeeInfo!M12,"ERROR")),"ERROR")</f>
        <v>992.34100000000001</v>
      </c>
      <c r="V12" s="15"/>
    </row>
    <row r="13" spans="1:22" x14ac:dyDescent="0.35">
      <c r="A13">
        <v>1038</v>
      </c>
      <c r="B13" t="s">
        <v>32</v>
      </c>
      <c r="C13" t="s">
        <v>64</v>
      </c>
      <c r="D13" s="1">
        <v>43138</v>
      </c>
      <c r="E13" s="1">
        <v>22619</v>
      </c>
      <c r="F13" s="7" t="s">
        <v>16</v>
      </c>
      <c r="G13" s="7" t="s">
        <v>28</v>
      </c>
      <c r="H13" t="s">
        <v>25</v>
      </c>
      <c r="I13" t="s">
        <v>86</v>
      </c>
      <c r="J13" t="s">
        <v>26</v>
      </c>
      <c r="K13" t="s">
        <v>23</v>
      </c>
      <c r="L13" s="9">
        <f t="shared" ca="1" si="0"/>
        <v>57</v>
      </c>
      <c r="M13" s="8">
        <v>21840</v>
      </c>
      <c r="N13" s="8" t="str">
        <f>IF(M13&gt;EmployeeSummary!$F$2,"Over Average", "Under Average")</f>
        <v>Under Average</v>
      </c>
      <c r="O13" s="8" t="str">
        <f>IF(M13*1.1&gt;EmployeeSummary!$F$2,"Over Average","Under Average")</f>
        <v>Under Average</v>
      </c>
      <c r="P13" s="8">
        <f>IF(M13&gt;EmployeeSummary!$F$2,EmployeeInfo!M13,EmployeeInfo!M13*1.05)</f>
        <v>22932</v>
      </c>
      <c r="Q13" s="8" t="str">
        <f t="shared" si="1"/>
        <v>Different</v>
      </c>
      <c r="R13" s="13">
        <f ca="1">VLOOKUP(L13,LookUpData!$A$3:$C$8,3,TRUE)*M13</f>
        <v>2184</v>
      </c>
      <c r="S13" s="47">
        <f ca="1">IF(H13="FT",M13*VLOOKUP(L13,LookUpData!$A$11:$D$16,4),IF(EmployeeInfo!H13="PT",EmployeeInfo!M13*VLOOKUP(EmployeeInfo!L13,LookUpData!$A$11:$D$16,3),"Error - Job Status"))</f>
        <v>1747.2</v>
      </c>
      <c r="T13" s="15">
        <f>IFERROR(VLOOKUP(I13,LookUpData!$A$20:$B$23,2,FALSE)*M13,"Bad Job Type")</f>
        <v>327.59999999999997</v>
      </c>
      <c r="U13" s="15">
        <f>IFERROR(IF(J13="S",VLOOKUP(I13,LookUpData!$A$27:$C$30,3,FALSE)*EmployeeInfo!M13,IF(J13="H",VLOOKUP(I13,LookUpData!$A$27:$C$30,2,FALSE)*EmployeeInfo!M13,"ERROR")),"ERROR")</f>
        <v>327.59999999999997</v>
      </c>
      <c r="V13" s="15"/>
    </row>
    <row r="14" spans="1:22" x14ac:dyDescent="0.35">
      <c r="A14">
        <v>1039</v>
      </c>
      <c r="B14" t="s">
        <v>33</v>
      </c>
      <c r="C14" t="s">
        <v>65</v>
      </c>
      <c r="D14" s="1">
        <v>43058</v>
      </c>
      <c r="E14" s="1">
        <v>26284</v>
      </c>
      <c r="F14" s="7" t="s">
        <v>16</v>
      </c>
      <c r="G14" s="7" t="s">
        <v>11</v>
      </c>
      <c r="H14" t="s">
        <v>25</v>
      </c>
      <c r="I14" t="s">
        <v>87</v>
      </c>
      <c r="J14" t="s">
        <v>13</v>
      </c>
      <c r="K14" t="s">
        <v>23</v>
      </c>
      <c r="L14" s="9">
        <f t="shared" ca="1" si="0"/>
        <v>60</v>
      </c>
      <c r="M14" s="8">
        <v>72127</v>
      </c>
      <c r="N14" s="8" t="str">
        <f>IF(M14&gt;EmployeeSummary!$F$2,"Over Average", "Under Average")</f>
        <v>Over Average</v>
      </c>
      <c r="O14" s="8" t="str">
        <f>IF(M14*1.1&gt;EmployeeSummary!$F$2,"Over Average","Under Average")</f>
        <v>Over Average</v>
      </c>
      <c r="P14" s="8">
        <f>IF(M14&gt;EmployeeSummary!$F$2,EmployeeInfo!M14,EmployeeInfo!M14*1.05)</f>
        <v>72127</v>
      </c>
      <c r="Q14" s="8" t="str">
        <f t="shared" si="1"/>
        <v xml:space="preserve"> </v>
      </c>
      <c r="R14" s="13">
        <f ca="1">VLOOKUP(L14,LookUpData!$A$3:$C$8,3,TRUE)*M14</f>
        <v>7212.7000000000007</v>
      </c>
      <c r="S14" s="47">
        <f ca="1">IF(H14="FT",M14*VLOOKUP(L14,LookUpData!$A$11:$D$16,4),IF(EmployeeInfo!H14="PT",EmployeeInfo!M14*VLOOKUP(EmployeeInfo!L14,LookUpData!$A$11:$D$16,3),"Error - Job Status"))</f>
        <v>5770.16</v>
      </c>
      <c r="T14" s="15">
        <f>IFERROR(VLOOKUP(I14,LookUpData!$A$20:$B$23,2,FALSE)*M14,"Bad Job Type")</f>
        <v>1442.54</v>
      </c>
      <c r="U14" s="15">
        <f>IFERROR(IF(J14="S",VLOOKUP(I14,LookUpData!$A$27:$C$30,3,FALSE)*EmployeeInfo!M14,IF(J14="H",VLOOKUP(I14,LookUpData!$A$27:$C$30,2,FALSE)*EmployeeInfo!M14,"ERROR")),"ERROR")</f>
        <v>1442.54</v>
      </c>
      <c r="V14" s="15"/>
    </row>
    <row r="15" spans="1:22" x14ac:dyDescent="0.35">
      <c r="A15">
        <v>1040</v>
      </c>
      <c r="B15" t="s">
        <v>34</v>
      </c>
      <c r="C15" t="s">
        <v>66</v>
      </c>
      <c r="D15" s="1">
        <v>44100</v>
      </c>
      <c r="E15" s="1">
        <v>32083</v>
      </c>
      <c r="F15" s="7" t="s">
        <v>10</v>
      </c>
      <c r="G15" s="7" t="s">
        <v>28</v>
      </c>
      <c r="H15" t="s">
        <v>25</v>
      </c>
      <c r="I15" t="s">
        <v>87</v>
      </c>
      <c r="J15" t="s">
        <v>13</v>
      </c>
      <c r="K15" t="s">
        <v>14</v>
      </c>
      <c r="L15" s="9">
        <f t="shared" ca="1" si="0"/>
        <v>26</v>
      </c>
      <c r="M15" s="8">
        <v>65000</v>
      </c>
      <c r="N15" s="8" t="str">
        <f>IF(M15&gt;EmployeeSummary!$F$2,"Over Average", "Under Average")</f>
        <v>Over Average</v>
      </c>
      <c r="O15" s="8" t="str">
        <f>IF(M15*1.1&gt;EmployeeSummary!$F$2,"Over Average","Under Average")</f>
        <v>Over Average</v>
      </c>
      <c r="P15" s="8">
        <f>IF(M15&gt;EmployeeSummary!$F$2,EmployeeInfo!M15,EmployeeInfo!M15*1.05)</f>
        <v>65000</v>
      </c>
      <c r="Q15" s="8" t="str">
        <f t="shared" si="1"/>
        <v xml:space="preserve"> </v>
      </c>
      <c r="R15" s="13">
        <f ca="1">VLOOKUP(L15,LookUpData!$A$3:$C$8,3,TRUE)*M15</f>
        <v>3250</v>
      </c>
      <c r="S15" s="47">
        <f ca="1">IF(H15="FT",M15*VLOOKUP(L15,LookUpData!$A$11:$D$16,4),IF(EmployeeInfo!H15="PT",EmployeeInfo!M15*VLOOKUP(EmployeeInfo!L15,LookUpData!$A$11:$D$16,3),"Error - Job Status"))</f>
        <v>1625</v>
      </c>
      <c r="T15" s="15">
        <f>IFERROR(VLOOKUP(I15,LookUpData!$A$20:$B$23,2,FALSE)*M15,"Bad Job Type")</f>
        <v>1300</v>
      </c>
      <c r="U15" s="15">
        <f>IFERROR(IF(J15="S",VLOOKUP(I15,LookUpData!$A$27:$C$30,3,FALSE)*EmployeeInfo!M15,IF(J15="H",VLOOKUP(I15,LookUpData!$A$27:$C$30,2,FALSE)*EmployeeInfo!M15,"ERROR")),"ERROR")</f>
        <v>1300</v>
      </c>
      <c r="V15" s="15"/>
    </row>
    <row r="16" spans="1:22" x14ac:dyDescent="0.35">
      <c r="A16">
        <v>1041</v>
      </c>
      <c r="B16" t="s">
        <v>35</v>
      </c>
      <c r="C16" t="s">
        <v>67</v>
      </c>
      <c r="D16" s="1">
        <v>44153</v>
      </c>
      <c r="E16" s="1">
        <v>22379</v>
      </c>
      <c r="F16" s="7" t="s">
        <v>16</v>
      </c>
      <c r="G16" s="7" t="s">
        <v>19</v>
      </c>
      <c r="H16" t="s">
        <v>12</v>
      </c>
      <c r="I16" t="s">
        <v>89</v>
      </c>
      <c r="J16" t="s">
        <v>13</v>
      </c>
      <c r="K16" t="s">
        <v>14</v>
      </c>
      <c r="L16" s="9">
        <f t="shared" ca="1" si="0"/>
        <v>24</v>
      </c>
      <c r="M16" s="8">
        <v>108500</v>
      </c>
      <c r="N16" s="8" t="str">
        <f>IF(M16&gt;EmployeeSummary!$F$2,"Over Average", "Under Average")</f>
        <v>Over Average</v>
      </c>
      <c r="O16" s="8" t="str">
        <f>IF(M16*1.1&gt;EmployeeSummary!$F$2,"Over Average","Under Average")</f>
        <v>Over Average</v>
      </c>
      <c r="P16" s="8">
        <f>IF(M16&gt;EmployeeSummary!$F$2,EmployeeInfo!M16,EmployeeInfo!M16*1.05)</f>
        <v>108500</v>
      </c>
      <c r="Q16" s="8" t="str">
        <f t="shared" si="1"/>
        <v xml:space="preserve"> </v>
      </c>
      <c r="R16" s="13">
        <f ca="1">VLOOKUP(L16,LookUpData!$A$3:$C$8,3,TRUE)*M16</f>
        <v>5425</v>
      </c>
      <c r="S16" s="47">
        <f ca="1">IF(H16="FT",M16*VLOOKUP(L16,LookUpData!$A$11:$D$16,4),IF(EmployeeInfo!H16="PT",EmployeeInfo!M16*VLOOKUP(EmployeeInfo!L16,LookUpData!$A$11:$D$16,3),"Error - Job Status"))</f>
        <v>5425</v>
      </c>
      <c r="T16" s="49" t="str">
        <f>IFERROR(VLOOKUP(I16,LookUpData!$A$20:$B$23,2,FALSE)*M16,"Bad Job Type")</f>
        <v>Bad Job Type</v>
      </c>
      <c r="U16" s="15" t="str">
        <f>IFERROR(IF(J16="S",VLOOKUP(I16,LookUpData!$A$27:$C$30,3,FALSE)*EmployeeInfo!M16,IF(J16="H",VLOOKUP(I16,LookUpData!$A$27:$C$30,2,FALSE)*EmployeeInfo!M16,"ERROR")),"ERROR")</f>
        <v>ERROR</v>
      </c>
      <c r="V16" s="15"/>
    </row>
    <row r="17" spans="1:22" x14ac:dyDescent="0.35">
      <c r="A17">
        <v>1042</v>
      </c>
      <c r="B17" t="s">
        <v>36</v>
      </c>
      <c r="C17" t="s">
        <v>68</v>
      </c>
      <c r="D17" s="1">
        <v>44145</v>
      </c>
      <c r="E17" s="1">
        <v>24937</v>
      </c>
      <c r="F17" s="7" t="s">
        <v>10</v>
      </c>
      <c r="G17" s="7" t="s">
        <v>11</v>
      </c>
      <c r="H17" t="s">
        <v>12</v>
      </c>
      <c r="I17" t="s">
        <v>85</v>
      </c>
      <c r="J17" t="s">
        <v>13</v>
      </c>
      <c r="K17" t="s">
        <v>14</v>
      </c>
      <c r="L17" s="9">
        <f t="shared" ca="1" si="0"/>
        <v>24</v>
      </c>
      <c r="M17" s="8">
        <v>80000</v>
      </c>
      <c r="N17" s="8" t="str">
        <f>IF(M17&gt;EmployeeSummary!$F$2,"Over Average", "Under Average")</f>
        <v>Over Average</v>
      </c>
      <c r="O17" s="8" t="str">
        <f>IF(M17*1.1&gt;EmployeeSummary!$F$2,"Over Average","Under Average")</f>
        <v>Over Average</v>
      </c>
      <c r="P17" s="8">
        <f>IF(M17&gt;EmployeeSummary!$F$2,EmployeeInfo!M17,EmployeeInfo!M17*1.05)</f>
        <v>80000</v>
      </c>
      <c r="Q17" s="8" t="str">
        <f t="shared" si="1"/>
        <v xml:space="preserve"> </v>
      </c>
      <c r="R17" s="13">
        <f ca="1">VLOOKUP(L17,LookUpData!$A$3:$C$8,3,TRUE)*M17</f>
        <v>4000</v>
      </c>
      <c r="S17" s="47">
        <f ca="1">IF(H17="FT",M17*VLOOKUP(L17,LookUpData!$A$11:$D$16,4),IF(EmployeeInfo!H17="PT",EmployeeInfo!M17*VLOOKUP(EmployeeInfo!L17,LookUpData!$A$11:$D$16,3),"Error - Job Status"))</f>
        <v>4000</v>
      </c>
      <c r="T17" s="15">
        <f>IFERROR(VLOOKUP(I17,LookUpData!$A$20:$B$23,2,FALSE)*M17,"Bad Job Type")</f>
        <v>2000</v>
      </c>
      <c r="U17" s="15">
        <f>IFERROR(IF(J17="S",VLOOKUP(I17,LookUpData!$A$27:$C$30,3,FALSE)*EmployeeInfo!M17,IF(J17="H",VLOOKUP(I17,LookUpData!$A$27:$C$30,2,FALSE)*EmployeeInfo!M17,"ERROR")),"ERROR")</f>
        <v>2800.0000000000005</v>
      </c>
      <c r="V17" s="15"/>
    </row>
    <row r="18" spans="1:22" x14ac:dyDescent="0.35">
      <c r="A18">
        <v>1043</v>
      </c>
      <c r="B18" t="s">
        <v>37</v>
      </c>
      <c r="C18" t="s">
        <v>69</v>
      </c>
      <c r="D18" s="1">
        <v>42798</v>
      </c>
      <c r="E18" s="1">
        <v>27607</v>
      </c>
      <c r="F18" s="7" t="s">
        <v>16</v>
      </c>
      <c r="G18" t="s">
        <v>17</v>
      </c>
      <c r="H18" t="s">
        <v>12</v>
      </c>
      <c r="I18" t="s">
        <v>85</v>
      </c>
      <c r="J18" t="s">
        <v>13</v>
      </c>
      <c r="K18" t="s">
        <v>21</v>
      </c>
      <c r="L18" s="9">
        <f t="shared" ca="1" si="0"/>
        <v>68</v>
      </c>
      <c r="M18" s="8">
        <v>60000</v>
      </c>
      <c r="N18" s="8" t="str">
        <f>IF(M18&gt;EmployeeSummary!$F$2,"Over Average", "Under Average")</f>
        <v>Over Average</v>
      </c>
      <c r="O18" s="8" t="str">
        <f>IF(M18*1.1&gt;EmployeeSummary!$F$2,"Over Average","Under Average")</f>
        <v>Over Average</v>
      </c>
      <c r="P18" s="8">
        <f>IF(M18&gt;EmployeeSummary!$F$2,EmployeeInfo!M18,EmployeeInfo!M18*1.05)</f>
        <v>60000</v>
      </c>
      <c r="Q18" s="8" t="str">
        <f t="shared" si="1"/>
        <v xml:space="preserve"> </v>
      </c>
      <c r="R18" s="13">
        <f ca="1">VLOOKUP(L18,LookUpData!$A$3:$C$8,3,TRUE)*M18</f>
        <v>6000</v>
      </c>
      <c r="S18" s="47">
        <f ca="1">IF(H18="FT",M18*VLOOKUP(L18,LookUpData!$A$11:$D$16,4),IF(EmployeeInfo!H18="PT",EmployeeInfo!M18*VLOOKUP(EmployeeInfo!L18,LookUpData!$A$11:$D$16,3),"Error - Job Status"))</f>
        <v>6000</v>
      </c>
      <c r="T18" s="15">
        <f>IFERROR(VLOOKUP(I18,LookUpData!$A$20:$B$23,2,FALSE)*M18,"Bad Job Type")</f>
        <v>1500</v>
      </c>
      <c r="U18" s="15">
        <f>IFERROR(IF(J18="S",VLOOKUP(I18,LookUpData!$A$27:$C$30,3,FALSE)*EmployeeInfo!M18,IF(J18="H",VLOOKUP(I18,LookUpData!$A$27:$C$30,2,FALSE)*EmployeeInfo!M18,"ERROR")),"ERROR")</f>
        <v>2100</v>
      </c>
      <c r="V18" s="15"/>
    </row>
    <row r="19" spans="1:22" x14ac:dyDescent="0.35">
      <c r="A19">
        <v>1044</v>
      </c>
      <c r="B19" t="s">
        <v>38</v>
      </c>
      <c r="C19" t="s">
        <v>70</v>
      </c>
      <c r="D19" s="1">
        <v>41062</v>
      </c>
      <c r="E19" s="1">
        <v>19981</v>
      </c>
      <c r="F19" s="7" t="s">
        <v>10</v>
      </c>
      <c r="G19" s="7" t="s">
        <v>11</v>
      </c>
      <c r="H19" t="s">
        <v>12</v>
      </c>
      <c r="I19" t="s">
        <v>85</v>
      </c>
      <c r="J19" t="s">
        <v>13</v>
      </c>
      <c r="K19" t="s">
        <v>14</v>
      </c>
      <c r="L19" s="9">
        <f t="shared" ca="1" si="0"/>
        <v>125</v>
      </c>
      <c r="M19" s="8">
        <v>122500</v>
      </c>
      <c r="N19" s="8" t="str">
        <f>IF(M19&gt;EmployeeSummary!$F$2,"Over Average", "Under Average")</f>
        <v>Over Average</v>
      </c>
      <c r="O19" s="8" t="str">
        <f>IF(M19*1.1&gt;EmployeeSummary!$F$2,"Over Average","Under Average")</f>
        <v>Over Average</v>
      </c>
      <c r="P19" s="8">
        <f>IF(M19&gt;EmployeeSummary!$F$2,EmployeeInfo!M19,EmployeeInfo!M19*1.05)</f>
        <v>122500</v>
      </c>
      <c r="Q19" s="8" t="str">
        <f t="shared" si="1"/>
        <v xml:space="preserve"> </v>
      </c>
      <c r="R19" s="13">
        <f ca="1">VLOOKUP(L19,LookUpData!$A$3:$C$8,3,TRUE)*M19</f>
        <v>12250</v>
      </c>
      <c r="S19" s="47">
        <f ca="1">IF(H19="FT",M19*VLOOKUP(L19,LookUpData!$A$11:$D$16,4),IF(EmployeeInfo!H19="PT",EmployeeInfo!M19*VLOOKUP(EmployeeInfo!L19,LookUpData!$A$11:$D$16,3),"Error - Job Status"))</f>
        <v>12250</v>
      </c>
      <c r="T19" s="15">
        <f>IFERROR(VLOOKUP(I19,LookUpData!$A$20:$B$23,2,FALSE)*M19,"Bad Job Type")</f>
        <v>3062.5</v>
      </c>
      <c r="U19" s="15">
        <f>IFERROR(IF(J19="S",VLOOKUP(I19,LookUpData!$A$27:$C$30,3,FALSE)*EmployeeInfo!M19,IF(J19="H",VLOOKUP(I19,LookUpData!$A$27:$C$30,2,FALSE)*EmployeeInfo!M19,"ERROR")),"ERROR")</f>
        <v>4287.5</v>
      </c>
      <c r="V19" s="15"/>
    </row>
    <row r="20" spans="1:22" x14ac:dyDescent="0.35">
      <c r="A20">
        <v>1045</v>
      </c>
      <c r="B20" t="s">
        <v>39</v>
      </c>
      <c r="C20" t="s">
        <v>71</v>
      </c>
      <c r="D20" s="1">
        <v>44017</v>
      </c>
      <c r="E20" s="1">
        <v>24749</v>
      </c>
      <c r="F20" s="7" t="s">
        <v>10</v>
      </c>
      <c r="G20" s="7" t="s">
        <v>11</v>
      </c>
      <c r="H20" t="s">
        <v>12</v>
      </c>
      <c r="I20" t="s">
        <v>85</v>
      </c>
      <c r="J20" t="s">
        <v>13</v>
      </c>
      <c r="K20" t="s">
        <v>14</v>
      </c>
      <c r="L20" s="9">
        <f t="shared" ca="1" si="0"/>
        <v>28</v>
      </c>
      <c r="M20" s="8">
        <v>163500</v>
      </c>
      <c r="N20" s="8" t="str">
        <f>IF(M20&gt;EmployeeSummary!$F$2,"Over Average", "Under Average")</f>
        <v>Over Average</v>
      </c>
      <c r="O20" s="8" t="str">
        <f>IF(M20*1.1&gt;EmployeeSummary!$F$2,"Over Average","Under Average")</f>
        <v>Over Average</v>
      </c>
      <c r="P20" s="8">
        <f>IF(M20&gt;EmployeeSummary!$F$2,EmployeeInfo!M20,EmployeeInfo!M20*1.05)</f>
        <v>163500</v>
      </c>
      <c r="Q20" s="8" t="str">
        <f t="shared" si="1"/>
        <v xml:space="preserve"> </v>
      </c>
      <c r="R20" s="13">
        <f ca="1">VLOOKUP(L20,LookUpData!$A$3:$C$8,3,TRUE)*M20</f>
        <v>8175</v>
      </c>
      <c r="S20" s="47">
        <f ca="1">IF(H20="FT",M20*VLOOKUP(L20,LookUpData!$A$11:$D$16,4),IF(EmployeeInfo!H20="PT",EmployeeInfo!M20*VLOOKUP(EmployeeInfo!L20,LookUpData!$A$11:$D$16,3),"Error - Job Status"))</f>
        <v>8175</v>
      </c>
      <c r="T20" s="15">
        <f>IFERROR(VLOOKUP(I20,LookUpData!$A$20:$B$23,2,FALSE)*M20,"Bad Job Type")</f>
        <v>4087.5</v>
      </c>
      <c r="U20" s="15">
        <f>IFERROR(IF(J20="S",VLOOKUP(I20,LookUpData!$A$27:$C$30,3,FALSE)*EmployeeInfo!M20,IF(J20="H",VLOOKUP(I20,LookUpData!$A$27:$C$30,2,FALSE)*EmployeeInfo!M20,"ERROR")),"ERROR")</f>
        <v>5722.5000000000009</v>
      </c>
      <c r="V20" s="15"/>
    </row>
    <row r="21" spans="1:22" x14ac:dyDescent="0.35">
      <c r="A21">
        <v>1046</v>
      </c>
      <c r="B21" t="s">
        <v>40</v>
      </c>
      <c r="C21" t="s">
        <v>72</v>
      </c>
      <c r="D21" s="1">
        <v>43781</v>
      </c>
      <c r="E21" s="1">
        <v>19853</v>
      </c>
      <c r="F21" s="7" t="s">
        <v>16</v>
      </c>
      <c r="G21" t="s">
        <v>17</v>
      </c>
      <c r="H21" t="s">
        <v>25</v>
      </c>
      <c r="I21" t="s">
        <v>86</v>
      </c>
      <c r="J21" t="s">
        <v>13</v>
      </c>
      <c r="K21" t="s">
        <v>14</v>
      </c>
      <c r="L21" s="9">
        <f t="shared" ca="1" si="0"/>
        <v>36</v>
      </c>
      <c r="M21" s="8">
        <v>31761</v>
      </c>
      <c r="N21" s="8" t="str">
        <f>IF(M21&gt;EmployeeSummary!$F$2,"Over Average", "Under Average")</f>
        <v>Under Average</v>
      </c>
      <c r="O21" s="8" t="str">
        <f>IF(M21*1.1&gt;EmployeeSummary!$F$2,"Over Average","Under Average")</f>
        <v>Under Average</v>
      </c>
      <c r="P21" s="8">
        <f>IF(M21&gt;EmployeeSummary!$F$2,EmployeeInfo!M21,EmployeeInfo!M21*1.05)</f>
        <v>33349.050000000003</v>
      </c>
      <c r="Q21" s="8" t="str">
        <f t="shared" si="1"/>
        <v>Different</v>
      </c>
      <c r="R21" s="13">
        <f ca="1">VLOOKUP(L21,LookUpData!$A$3:$C$8,3,TRUE)*M21</f>
        <v>2540.88</v>
      </c>
      <c r="S21" s="47">
        <f ca="1">IF(H21="FT",M21*VLOOKUP(L21,LookUpData!$A$11:$D$16,4),IF(EmployeeInfo!H21="PT",EmployeeInfo!M21*VLOOKUP(EmployeeInfo!L21,LookUpData!$A$11:$D$16,3),"Error - Job Status"))</f>
        <v>1588.0500000000002</v>
      </c>
      <c r="T21" s="15">
        <f>IFERROR(VLOOKUP(I21,LookUpData!$A$20:$B$23,2,FALSE)*M21,"Bad Job Type")</f>
        <v>476.41499999999996</v>
      </c>
      <c r="U21" s="15">
        <f>IFERROR(IF(J21="S",VLOOKUP(I21,LookUpData!$A$27:$C$30,3,FALSE)*EmployeeInfo!M21,IF(J21="H",VLOOKUP(I21,LookUpData!$A$27:$C$30,2,FALSE)*EmployeeInfo!M21,"ERROR")),"ERROR")</f>
        <v>317.61</v>
      </c>
      <c r="V21" s="15"/>
    </row>
    <row r="22" spans="1:22" x14ac:dyDescent="0.35">
      <c r="A22">
        <v>1047</v>
      </c>
      <c r="B22" t="s">
        <v>43</v>
      </c>
      <c r="C22" t="s">
        <v>73</v>
      </c>
      <c r="D22" s="1">
        <v>42404</v>
      </c>
      <c r="E22" s="1">
        <v>23447</v>
      </c>
      <c r="F22" s="7" t="s">
        <v>10</v>
      </c>
      <c r="G22" s="7" t="s">
        <v>11</v>
      </c>
      <c r="H22" t="s">
        <v>12</v>
      </c>
      <c r="I22" t="s">
        <v>86</v>
      </c>
      <c r="J22" t="s">
        <v>26</v>
      </c>
      <c r="K22" t="s">
        <v>14</v>
      </c>
      <c r="L22" s="9">
        <f t="shared" ca="1" si="0"/>
        <v>81</v>
      </c>
      <c r="M22" s="8">
        <v>65000</v>
      </c>
      <c r="N22" s="8" t="str">
        <f>IF(M22&gt;EmployeeSummary!$F$2,"Over Average", "Under Average")</f>
        <v>Over Average</v>
      </c>
      <c r="O22" s="8" t="str">
        <f>IF(M22*1.1&gt;EmployeeSummary!$F$2,"Over Average","Under Average")</f>
        <v>Over Average</v>
      </c>
      <c r="P22" s="8">
        <f>IF(M22&gt;EmployeeSummary!$F$2,EmployeeInfo!M22,EmployeeInfo!M22*1.05)</f>
        <v>65000</v>
      </c>
      <c r="Q22" s="8" t="str">
        <f t="shared" si="1"/>
        <v xml:space="preserve"> </v>
      </c>
      <c r="R22" s="13">
        <f ca="1">VLOOKUP(L22,LookUpData!$A$3:$C$8,3,TRUE)*M22</f>
        <v>6500</v>
      </c>
      <c r="S22" s="47">
        <f ca="1">IF(H22="FT",M22*VLOOKUP(L22,LookUpData!$A$11:$D$16,4),IF(EmployeeInfo!H22="PT",EmployeeInfo!M22*VLOOKUP(EmployeeInfo!L22,LookUpData!$A$11:$D$16,3),"Error - Job Status"))</f>
        <v>6500</v>
      </c>
      <c r="T22" s="15">
        <f>IFERROR(VLOOKUP(I22,LookUpData!$A$20:$B$23,2,FALSE)*M22,"Bad Job Type")</f>
        <v>975</v>
      </c>
      <c r="U22" s="15">
        <f>IFERROR(IF(J22="S",VLOOKUP(I22,LookUpData!$A$27:$C$30,3,FALSE)*EmployeeInfo!M22,IF(J22="H",VLOOKUP(I22,LookUpData!$A$27:$C$30,2,FALSE)*EmployeeInfo!M22,"ERROR")),"ERROR")</f>
        <v>975</v>
      </c>
      <c r="V22" s="15"/>
    </row>
    <row r="23" spans="1:22" x14ac:dyDescent="0.35">
      <c r="A23">
        <v>1048</v>
      </c>
      <c r="B23" t="s">
        <v>74</v>
      </c>
      <c r="C23" t="s">
        <v>75</v>
      </c>
      <c r="D23" s="1">
        <v>43309</v>
      </c>
      <c r="E23" s="1">
        <v>33795</v>
      </c>
      <c r="F23" s="7" t="s">
        <v>10</v>
      </c>
      <c r="G23" s="7" t="s">
        <v>11</v>
      </c>
      <c r="H23" t="s">
        <v>12</v>
      </c>
      <c r="I23" t="s">
        <v>87</v>
      </c>
      <c r="J23" t="s">
        <v>26</v>
      </c>
      <c r="K23" t="s">
        <v>21</v>
      </c>
      <c r="L23" s="9">
        <f t="shared" ca="1" si="0"/>
        <v>52</v>
      </c>
      <c r="M23" s="8">
        <v>42100</v>
      </c>
      <c r="N23" s="8" t="str">
        <f>IF(M23&gt;EmployeeSummary!$F$2,"Over Average", "Under Average")</f>
        <v>Under Average</v>
      </c>
      <c r="O23" s="8" t="str">
        <f>IF(M23*1.1&gt;EmployeeSummary!$F$2,"Over Average","Under Average")</f>
        <v>Under Average</v>
      </c>
      <c r="P23" s="8">
        <f>IF(M23&gt;EmployeeSummary!$F$2,EmployeeInfo!M23,EmployeeInfo!M23*1.05)</f>
        <v>44205</v>
      </c>
      <c r="Q23" s="8" t="str">
        <f t="shared" si="1"/>
        <v>Different</v>
      </c>
      <c r="R23" s="13">
        <f ca="1">VLOOKUP(L23,LookUpData!$A$3:$C$8,3,TRUE)*M23</f>
        <v>4210</v>
      </c>
      <c r="S23" s="47">
        <f ca="1">IF(H23="FT",M23*VLOOKUP(L23,LookUpData!$A$11:$D$16,4),IF(EmployeeInfo!H23="PT",EmployeeInfo!M23*VLOOKUP(EmployeeInfo!L23,LookUpData!$A$11:$D$16,3),"Error - Job Status"))</f>
        <v>4210</v>
      </c>
      <c r="T23" s="15">
        <f>IFERROR(VLOOKUP(I23,LookUpData!$A$20:$B$23,2,FALSE)*M23,"Bad Job Type")</f>
        <v>842</v>
      </c>
      <c r="U23" s="15">
        <f>IFERROR(IF(J23="S",VLOOKUP(I23,LookUpData!$A$27:$C$30,3,FALSE)*EmployeeInfo!M23,IF(J23="H",VLOOKUP(I23,LookUpData!$A$27:$C$30,2,FALSE)*EmployeeInfo!M23,"ERROR")),"ERROR")</f>
        <v>1052.5</v>
      </c>
      <c r="V23" s="15"/>
    </row>
    <row r="24" spans="1:22" x14ac:dyDescent="0.35">
      <c r="A24">
        <v>1052</v>
      </c>
      <c r="B24" t="s">
        <v>76</v>
      </c>
      <c r="C24" t="s">
        <v>77</v>
      </c>
      <c r="D24" s="1">
        <v>44039</v>
      </c>
      <c r="E24" s="1">
        <v>32630</v>
      </c>
      <c r="F24" s="7" t="s">
        <v>16</v>
      </c>
      <c r="G24" s="7" t="s">
        <v>28</v>
      </c>
      <c r="H24" t="s">
        <v>12</v>
      </c>
      <c r="I24" t="s">
        <v>87</v>
      </c>
      <c r="J24" t="s">
        <v>26</v>
      </c>
      <c r="K24" t="s">
        <v>21</v>
      </c>
      <c r="L24" s="9">
        <f t="shared" ca="1" si="0"/>
        <v>28</v>
      </c>
      <c r="M24" s="8">
        <v>43250</v>
      </c>
      <c r="N24" s="8" t="str">
        <f>IF(M24&gt;EmployeeSummary!$F$2,"Over Average", "Under Average")</f>
        <v>Under Average</v>
      </c>
      <c r="O24" s="8" t="str">
        <f>IF(M24*1.1&gt;EmployeeSummary!$F$2,"Over Average","Under Average")</f>
        <v>Under Average</v>
      </c>
      <c r="P24" s="8">
        <f>IF(M24&gt;EmployeeSummary!$F$2,EmployeeInfo!M24,EmployeeInfo!M24*1.05)</f>
        <v>45412.5</v>
      </c>
      <c r="Q24" s="8" t="str">
        <f t="shared" si="1"/>
        <v>Different</v>
      </c>
      <c r="R24" s="13">
        <f ca="1">VLOOKUP(L24,LookUpData!$A$3:$C$8,3,TRUE)*M24</f>
        <v>2162.5</v>
      </c>
      <c r="S24" s="47">
        <f ca="1">IF(H24="FT",M24*VLOOKUP(L24,LookUpData!$A$11:$D$16,4),IF(EmployeeInfo!H24="PT",EmployeeInfo!M24*VLOOKUP(EmployeeInfo!L24,LookUpData!$A$11:$D$16,3),"Error - Job Status"))</f>
        <v>2162.5</v>
      </c>
      <c r="T24" s="15">
        <f>IFERROR(VLOOKUP(I24,LookUpData!$A$20:$B$23,2,FALSE)*M24,"Bad Job Type")</f>
        <v>865</v>
      </c>
      <c r="U24" s="15">
        <f>IFERROR(IF(J24="S",VLOOKUP(I24,LookUpData!$A$27:$C$30,3,FALSE)*EmployeeInfo!M24,IF(J24="H",VLOOKUP(I24,LookUpData!$A$27:$C$30,2,FALSE)*EmployeeInfo!M24,"ERROR")),"ERROR")</f>
        <v>1081.25</v>
      </c>
      <c r="V24" s="15"/>
    </row>
    <row r="25" spans="1:22" x14ac:dyDescent="0.35">
      <c r="A25">
        <v>1064</v>
      </c>
      <c r="B25" t="s">
        <v>78</v>
      </c>
      <c r="C25" t="s">
        <v>79</v>
      </c>
      <c r="D25" s="1">
        <v>43576</v>
      </c>
      <c r="E25" s="1">
        <v>29749</v>
      </c>
      <c r="F25" s="7" t="s">
        <v>16</v>
      </c>
      <c r="G25" s="7" t="s">
        <v>19</v>
      </c>
      <c r="H25" t="s">
        <v>25</v>
      </c>
      <c r="I25" t="s">
        <v>87</v>
      </c>
      <c r="J25" t="s">
        <v>26</v>
      </c>
      <c r="K25" t="s">
        <v>21</v>
      </c>
      <c r="L25" s="9">
        <f t="shared" ca="1" si="0"/>
        <v>43</v>
      </c>
      <c r="M25" s="8">
        <v>38450</v>
      </c>
      <c r="N25" s="8" t="str">
        <f>IF(M25&gt;EmployeeSummary!$F$2,"Over Average", "Under Average")</f>
        <v>Under Average</v>
      </c>
      <c r="O25" s="8" t="str">
        <f>IF(M25*1.1&gt;EmployeeSummary!$F$2,"Over Average","Under Average")</f>
        <v>Under Average</v>
      </c>
      <c r="P25" s="8">
        <f>IF(M25&gt;EmployeeSummary!$F$2,EmployeeInfo!M25,EmployeeInfo!M25*1.05)</f>
        <v>40372.5</v>
      </c>
      <c r="Q25" s="8" t="str">
        <f t="shared" si="1"/>
        <v>Different</v>
      </c>
      <c r="R25" s="13">
        <f ca="1">VLOOKUP(L25,LookUpData!$A$3:$C$8,3,TRUE)*M25</f>
        <v>3076</v>
      </c>
      <c r="S25" s="47">
        <f ca="1">IF(H25="FT",M25*VLOOKUP(L25,LookUpData!$A$11:$D$16,4),IF(EmployeeInfo!H25="PT",EmployeeInfo!M25*VLOOKUP(EmployeeInfo!L25,LookUpData!$A$11:$D$16,3),"Error - Job Status"))</f>
        <v>1922.5</v>
      </c>
      <c r="T25" s="15">
        <f>IFERROR(VLOOKUP(I25,LookUpData!$A$20:$B$23,2,FALSE)*M25,"Bad Job Type")</f>
        <v>769</v>
      </c>
      <c r="U25" s="15">
        <f>IFERROR(IF(J25="S",VLOOKUP(I25,LookUpData!$A$27:$C$30,3,FALSE)*EmployeeInfo!M25,IF(J25="H",VLOOKUP(I25,LookUpData!$A$27:$C$30,2,FALSE)*EmployeeInfo!M25,"ERROR")),"ERROR")</f>
        <v>961.25</v>
      </c>
      <c r="V25" s="15"/>
    </row>
    <row r="26" spans="1:22" x14ac:dyDescent="0.35">
      <c r="E26" s="1"/>
      <c r="F26" s="7"/>
      <c r="G26" s="7"/>
      <c r="L26" s="9"/>
      <c r="M26" s="8"/>
      <c r="N26" s="8"/>
      <c r="O26" s="8"/>
      <c r="P26" s="8"/>
      <c r="Q26" s="8"/>
      <c r="R26" s="13"/>
      <c r="S26" s="16"/>
      <c r="V26" s="15"/>
    </row>
    <row r="27" spans="1:22" x14ac:dyDescent="0.35">
      <c r="D27"/>
      <c r="G27" s="7"/>
      <c r="L27" s="9"/>
      <c r="M27" s="8"/>
      <c r="N27" s="8"/>
      <c r="O27" s="8"/>
      <c r="P27" s="8"/>
      <c r="Q27" s="8"/>
      <c r="R27" s="13"/>
      <c r="S27" s="16"/>
      <c r="V27" s="15"/>
    </row>
    <row r="28" spans="1:22" ht="15.5" x14ac:dyDescent="0.35">
      <c r="G28" s="2"/>
      <c r="H28" s="2"/>
      <c r="I28" s="2"/>
      <c r="J28" s="2"/>
      <c r="K28" s="2"/>
      <c r="L28" s="2"/>
    </row>
    <row r="29" spans="1:22" ht="15.5" x14ac:dyDescent="0.35">
      <c r="G29" s="2"/>
      <c r="H29" s="2"/>
      <c r="I29" s="2"/>
      <c r="J29" s="3"/>
      <c r="L29" s="15"/>
      <c r="T29"/>
    </row>
    <row r="30" spans="1:22" ht="15.5" x14ac:dyDescent="0.35">
      <c r="A30" s="7" t="s">
        <v>11</v>
      </c>
      <c r="B30">
        <f>COUNTIF($G$2:$G$25,A30)</f>
        <v>12</v>
      </c>
      <c r="G30" s="2"/>
      <c r="H30" s="2"/>
      <c r="I30" s="2"/>
      <c r="J30" s="3"/>
      <c r="L30" s="15"/>
      <c r="T30"/>
    </row>
    <row r="31" spans="1:22" ht="15.5" x14ac:dyDescent="0.35">
      <c r="A31" t="s">
        <v>17</v>
      </c>
      <c r="B31">
        <f t="shared" ref="B31:B32" si="2">COUNTIF($G$2:$G$25,A31)</f>
        <v>3</v>
      </c>
      <c r="G31" s="2"/>
      <c r="H31" s="2"/>
      <c r="I31" s="2"/>
      <c r="J31" s="3"/>
      <c r="L31" s="15"/>
      <c r="T31"/>
    </row>
    <row r="32" spans="1:22" ht="15.5" x14ac:dyDescent="0.35">
      <c r="A32" s="7" t="s">
        <v>19</v>
      </c>
      <c r="B32">
        <f t="shared" si="2"/>
        <v>3</v>
      </c>
      <c r="G32" s="2"/>
      <c r="H32" s="2"/>
      <c r="I32" s="2"/>
      <c r="J32" s="3"/>
      <c r="L32" s="15"/>
      <c r="T32"/>
    </row>
    <row r="33" spans="1:20" ht="15.5" x14ac:dyDescent="0.35">
      <c r="A33" s="7" t="s">
        <v>28</v>
      </c>
      <c r="B33">
        <f>COUNTIF($G$2:$G$25,A33)</f>
        <v>6</v>
      </c>
      <c r="G33" s="2"/>
      <c r="H33" s="2"/>
      <c r="I33" s="2"/>
      <c r="J33" s="10"/>
      <c r="L33" s="15"/>
      <c r="T33"/>
    </row>
    <row r="34" spans="1:20" ht="15.5" x14ac:dyDescent="0.35">
      <c r="G34" s="2"/>
      <c r="H34" s="2"/>
      <c r="I34" s="2"/>
      <c r="J34" s="10"/>
      <c r="L34" s="15"/>
      <c r="T34"/>
    </row>
    <row r="35" spans="1:20" ht="15.5" x14ac:dyDescent="0.35">
      <c r="G35" s="14"/>
      <c r="H35" s="2"/>
      <c r="I35" s="2"/>
      <c r="J35" s="2"/>
      <c r="K35" s="2"/>
      <c r="L35" s="2"/>
    </row>
    <row r="36" spans="1:20" ht="15.5" x14ac:dyDescent="0.35">
      <c r="G36" s="14"/>
      <c r="H36" s="2"/>
      <c r="I36" s="2"/>
      <c r="J36" s="2"/>
      <c r="K36" s="2"/>
      <c r="L36" s="2"/>
    </row>
    <row r="37" spans="1:20" ht="15.5" x14ac:dyDescent="0.35">
      <c r="G37" s="14"/>
      <c r="H37" s="2"/>
      <c r="I37" s="2"/>
      <c r="J37" s="2"/>
      <c r="K37" s="2"/>
      <c r="L37" s="2"/>
    </row>
    <row r="38" spans="1:20" ht="15.5" x14ac:dyDescent="0.35">
      <c r="G38" s="14"/>
      <c r="H38" s="2"/>
      <c r="I38" s="2"/>
      <c r="J38" s="2"/>
      <c r="K38" s="2"/>
      <c r="L38" s="2"/>
    </row>
    <row r="39" spans="1:20" ht="15.5" x14ac:dyDescent="0.35">
      <c r="G39" s="14"/>
      <c r="H39" s="2"/>
      <c r="I39" s="2"/>
      <c r="J39" s="2"/>
      <c r="K39" s="2"/>
      <c r="L39" s="2"/>
    </row>
    <row r="40" spans="1:20" ht="15.5" x14ac:dyDescent="0.35">
      <c r="G40" s="14"/>
      <c r="H40" s="2"/>
      <c r="I40" s="2"/>
      <c r="J40" s="2"/>
      <c r="K40" s="2"/>
      <c r="L40" s="2"/>
    </row>
    <row r="41" spans="1:20" ht="15.5" x14ac:dyDescent="0.35">
      <c r="G41" s="14"/>
      <c r="H41" s="2"/>
      <c r="I41" s="2"/>
      <c r="J41" s="2"/>
      <c r="K41" s="2"/>
      <c r="L41" s="2"/>
    </row>
    <row r="42" spans="1:20" ht="15.5" x14ac:dyDescent="0.35">
      <c r="G42" s="14"/>
      <c r="H42" s="2"/>
      <c r="I42" s="2"/>
      <c r="J42" s="2"/>
      <c r="K42" s="2"/>
      <c r="L42" s="2"/>
    </row>
    <row r="43" spans="1:20" ht="15.5" x14ac:dyDescent="0.35">
      <c r="G43" s="14"/>
      <c r="H43" s="2"/>
      <c r="I43" s="2"/>
      <c r="J43" s="2"/>
      <c r="K43" s="2"/>
      <c r="L43" s="2"/>
    </row>
    <row r="44" spans="1:20" ht="15.5" x14ac:dyDescent="0.35">
      <c r="F44" s="12"/>
      <c r="G44" s="14"/>
      <c r="H44" s="2"/>
      <c r="I44" s="2"/>
      <c r="J44" s="2"/>
      <c r="K44" s="2"/>
      <c r="L44" s="2"/>
    </row>
    <row r="45" spans="1:20" ht="15.5" x14ac:dyDescent="0.35">
      <c r="F45" s="12"/>
      <c r="G45" s="14"/>
      <c r="H45" s="2"/>
      <c r="I45" s="2"/>
      <c r="J45" s="2"/>
      <c r="K45" s="2"/>
      <c r="L45" s="2"/>
    </row>
    <row r="46" spans="1:20" ht="15.5" x14ac:dyDescent="0.35">
      <c r="B46" s="12"/>
      <c r="C46" s="12"/>
      <c r="D46" s="12"/>
      <c r="E46" s="12"/>
      <c r="F46" s="12"/>
      <c r="G46" s="11"/>
    </row>
    <row r="47" spans="1:20" ht="15.5" x14ac:dyDescent="0.35">
      <c r="B47" s="12"/>
      <c r="C47" s="12"/>
      <c r="D47" s="12"/>
      <c r="E47" s="12"/>
      <c r="F47" s="12"/>
      <c r="G47" s="11"/>
    </row>
    <row r="48" spans="1:20" ht="15.5" x14ac:dyDescent="0.35">
      <c r="B48" s="12"/>
      <c r="C48" s="12"/>
      <c r="D48" s="12"/>
      <c r="E48" s="12"/>
      <c r="F48" s="12"/>
      <c r="G48" s="3"/>
    </row>
    <row r="49" spans="2:7" ht="15.5" x14ac:dyDescent="0.35">
      <c r="B49" s="12"/>
      <c r="C49" s="12"/>
      <c r="D49" s="12"/>
      <c r="E49" s="12"/>
      <c r="F49" s="12"/>
      <c r="G49" s="3"/>
    </row>
    <row r="50" spans="2:7" ht="15.5" x14ac:dyDescent="0.35">
      <c r="B50" s="12"/>
      <c r="C50" s="12"/>
      <c r="D50" s="12"/>
      <c r="E50" s="12"/>
      <c r="F50" s="12"/>
      <c r="G5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0EC7-573C-44BA-BE7E-6C40564BC111}">
  <dimension ref="A1:L30"/>
  <sheetViews>
    <sheetView zoomScale="90" zoomScaleNormal="90" workbookViewId="0">
      <pane xSplit="2" topLeftCell="C1" activePane="topRight" state="frozen"/>
      <selection pane="topRight" activeCell="G3" sqref="G3"/>
    </sheetView>
  </sheetViews>
  <sheetFormatPr defaultRowHeight="14.5" outlineLevelRow="2" x14ac:dyDescent="0.35"/>
  <cols>
    <col min="1" max="1" width="11.36328125" bestFit="1" customWidth="1"/>
    <col min="2" max="2" width="20.54296875" customWidth="1"/>
    <col min="3" max="3" width="13.26953125" bestFit="1" customWidth="1"/>
    <col min="4" max="4" width="13.90625" customWidth="1"/>
    <col min="5" max="5" width="11.54296875" bestFit="1" customWidth="1"/>
    <col min="6" max="6" width="12.453125" bestFit="1" customWidth="1"/>
    <col min="7" max="7" width="13.90625" bestFit="1" customWidth="1"/>
    <col min="8" max="8" width="12.6328125" bestFit="1" customWidth="1"/>
    <col min="9" max="9" width="12.81640625" bestFit="1" customWidth="1"/>
    <col min="10" max="10" width="15" bestFit="1" customWidth="1"/>
    <col min="11" max="11" width="24.453125" bestFit="1" customWidth="1"/>
    <col min="12" max="12" width="16.7265625" bestFit="1" customWidth="1"/>
  </cols>
  <sheetData>
    <row r="1" spans="1:12" ht="32.5" customHeight="1" thickBot="1" x14ac:dyDescent="0.4">
      <c r="A1" s="52" t="s">
        <v>0</v>
      </c>
      <c r="B1" s="52" t="s">
        <v>112</v>
      </c>
      <c r="C1" s="52" t="s">
        <v>2</v>
      </c>
      <c r="D1" s="52" t="s">
        <v>3</v>
      </c>
      <c r="E1" s="52" t="s">
        <v>44</v>
      </c>
      <c r="F1" s="52" t="s">
        <v>4</v>
      </c>
      <c r="G1" s="52" t="s">
        <v>5</v>
      </c>
      <c r="H1" s="52" t="s">
        <v>45</v>
      </c>
      <c r="I1" s="52" t="s">
        <v>6</v>
      </c>
      <c r="J1" s="52" t="s">
        <v>8</v>
      </c>
      <c r="K1" s="52" t="s">
        <v>42</v>
      </c>
      <c r="L1" s="52" t="s">
        <v>7</v>
      </c>
    </row>
    <row r="2" spans="1:12" outlineLevel="2" x14ac:dyDescent="0.35">
      <c r="A2" s="53">
        <v>1024</v>
      </c>
      <c r="B2" s="53" t="s">
        <v>113</v>
      </c>
      <c r="C2" s="54">
        <v>44116</v>
      </c>
      <c r="D2" s="54">
        <v>25056</v>
      </c>
      <c r="E2" s="53" t="s">
        <v>10</v>
      </c>
      <c r="F2" s="53" t="s">
        <v>11</v>
      </c>
      <c r="G2" s="53" t="s">
        <v>12</v>
      </c>
      <c r="H2" s="53" t="s">
        <v>85</v>
      </c>
      <c r="I2" s="53" t="s">
        <v>13</v>
      </c>
      <c r="J2" s="53" t="s">
        <v>14</v>
      </c>
      <c r="K2" s="53">
        <v>25</v>
      </c>
      <c r="L2" s="55">
        <v>85000</v>
      </c>
    </row>
    <row r="3" spans="1:12" outlineLevel="2" x14ac:dyDescent="0.35">
      <c r="A3" s="51">
        <v>1027</v>
      </c>
      <c r="B3" s="51" t="s">
        <v>116</v>
      </c>
      <c r="C3" s="56">
        <v>43284</v>
      </c>
      <c r="D3" s="56">
        <v>22471</v>
      </c>
      <c r="E3" s="51" t="s">
        <v>16</v>
      </c>
      <c r="F3" s="51" t="s">
        <v>11</v>
      </c>
      <c r="G3" s="51" t="s">
        <v>12</v>
      </c>
      <c r="H3" s="51" t="s">
        <v>85</v>
      </c>
      <c r="I3" s="51" t="s">
        <v>13</v>
      </c>
      <c r="J3" s="51" t="s">
        <v>21</v>
      </c>
      <c r="K3" s="51">
        <v>52</v>
      </c>
      <c r="L3" s="57">
        <v>80000</v>
      </c>
    </row>
    <row r="4" spans="1:12" outlineLevel="2" x14ac:dyDescent="0.35">
      <c r="A4" s="50">
        <v>1028</v>
      </c>
      <c r="B4" s="50" t="s">
        <v>117</v>
      </c>
      <c r="C4" s="58">
        <v>44383</v>
      </c>
      <c r="D4" s="58">
        <v>19159</v>
      </c>
      <c r="E4" s="50" t="s">
        <v>10</v>
      </c>
      <c r="F4" s="50" t="s">
        <v>11</v>
      </c>
      <c r="G4" s="50" t="s">
        <v>25</v>
      </c>
      <c r="H4" s="50" t="s">
        <v>85</v>
      </c>
      <c r="I4" s="50" t="s">
        <v>13</v>
      </c>
      <c r="J4" s="50" t="s">
        <v>21</v>
      </c>
      <c r="K4" s="50">
        <v>16</v>
      </c>
      <c r="L4" s="59">
        <v>62100</v>
      </c>
    </row>
    <row r="5" spans="1:12" outlineLevel="2" x14ac:dyDescent="0.35">
      <c r="A5" s="51">
        <v>1032</v>
      </c>
      <c r="B5" s="51" t="s">
        <v>118</v>
      </c>
      <c r="C5" s="56">
        <v>41482</v>
      </c>
      <c r="D5" s="56">
        <v>22260</v>
      </c>
      <c r="E5" s="51" t="s">
        <v>16</v>
      </c>
      <c r="F5" s="51" t="s">
        <v>11</v>
      </c>
      <c r="G5" s="51" t="s">
        <v>25</v>
      </c>
      <c r="H5" s="51" t="s">
        <v>88</v>
      </c>
      <c r="I5" s="51" t="s">
        <v>26</v>
      </c>
      <c r="J5" s="51" t="s">
        <v>23</v>
      </c>
      <c r="K5" s="51">
        <v>112</v>
      </c>
      <c r="L5" s="57">
        <v>45125</v>
      </c>
    </row>
    <row r="6" spans="1:12" outlineLevel="2" x14ac:dyDescent="0.35">
      <c r="A6" s="50">
        <v>1035</v>
      </c>
      <c r="B6" s="50" t="s">
        <v>121</v>
      </c>
      <c r="C6" s="58">
        <v>43359</v>
      </c>
      <c r="D6" s="58">
        <v>32848</v>
      </c>
      <c r="E6" s="50" t="s">
        <v>16</v>
      </c>
      <c r="F6" s="50" t="s">
        <v>11</v>
      </c>
      <c r="G6" s="50" t="s">
        <v>12</v>
      </c>
      <c r="H6" s="50" t="s">
        <v>86</v>
      </c>
      <c r="I6" s="50" t="s">
        <v>26</v>
      </c>
      <c r="J6" s="50" t="s">
        <v>23</v>
      </c>
      <c r="K6" s="50">
        <v>50</v>
      </c>
      <c r="L6" s="59">
        <v>32011</v>
      </c>
    </row>
    <row r="7" spans="1:12" outlineLevel="2" x14ac:dyDescent="0.35">
      <c r="A7" s="51">
        <v>1037</v>
      </c>
      <c r="B7" s="51" t="s">
        <v>123</v>
      </c>
      <c r="C7" s="56">
        <v>41223</v>
      </c>
      <c r="D7" s="56">
        <v>26910</v>
      </c>
      <c r="E7" s="51" t="s">
        <v>16</v>
      </c>
      <c r="F7" s="51" t="s">
        <v>11</v>
      </c>
      <c r="G7" s="51" t="s">
        <v>46</v>
      </c>
      <c r="H7" s="51" t="s">
        <v>88</v>
      </c>
      <c r="I7" s="51" t="s">
        <v>26</v>
      </c>
      <c r="J7" s="51" t="s">
        <v>21</v>
      </c>
      <c r="K7" s="51">
        <v>120</v>
      </c>
      <c r="L7" s="57">
        <v>32011</v>
      </c>
    </row>
    <row r="8" spans="1:12" outlineLevel="2" x14ac:dyDescent="0.35">
      <c r="A8" s="50">
        <v>1039</v>
      </c>
      <c r="B8" s="50" t="s">
        <v>125</v>
      </c>
      <c r="C8" s="58">
        <v>43058</v>
      </c>
      <c r="D8" s="58">
        <v>26284</v>
      </c>
      <c r="E8" s="50" t="s">
        <v>16</v>
      </c>
      <c r="F8" s="50" t="s">
        <v>11</v>
      </c>
      <c r="G8" s="50" t="s">
        <v>25</v>
      </c>
      <c r="H8" s="50" t="s">
        <v>87</v>
      </c>
      <c r="I8" s="50" t="s">
        <v>13</v>
      </c>
      <c r="J8" s="50" t="s">
        <v>23</v>
      </c>
      <c r="K8" s="50">
        <v>60</v>
      </c>
      <c r="L8" s="59">
        <v>72127</v>
      </c>
    </row>
    <row r="9" spans="1:12" outlineLevel="2" x14ac:dyDescent="0.35">
      <c r="A9" s="51">
        <v>1042</v>
      </c>
      <c r="B9" s="51" t="s">
        <v>128</v>
      </c>
      <c r="C9" s="56">
        <v>44145</v>
      </c>
      <c r="D9" s="56">
        <v>24937</v>
      </c>
      <c r="E9" s="51" t="s">
        <v>10</v>
      </c>
      <c r="F9" s="51" t="s">
        <v>11</v>
      </c>
      <c r="G9" s="51" t="s">
        <v>12</v>
      </c>
      <c r="H9" s="51" t="s">
        <v>85</v>
      </c>
      <c r="I9" s="51" t="s">
        <v>13</v>
      </c>
      <c r="J9" s="51" t="s">
        <v>14</v>
      </c>
      <c r="K9" s="51">
        <v>24</v>
      </c>
      <c r="L9" s="57">
        <v>80000</v>
      </c>
    </row>
    <row r="10" spans="1:12" outlineLevel="2" x14ac:dyDescent="0.35">
      <c r="A10" s="50">
        <v>1044</v>
      </c>
      <c r="B10" s="50" t="s">
        <v>130</v>
      </c>
      <c r="C10" s="58">
        <v>41062</v>
      </c>
      <c r="D10" s="58">
        <v>19981</v>
      </c>
      <c r="E10" s="50" t="s">
        <v>10</v>
      </c>
      <c r="F10" s="50" t="s">
        <v>11</v>
      </c>
      <c r="G10" s="50" t="s">
        <v>12</v>
      </c>
      <c r="H10" s="50" t="s">
        <v>85</v>
      </c>
      <c r="I10" s="50" t="s">
        <v>13</v>
      </c>
      <c r="J10" s="50" t="s">
        <v>14</v>
      </c>
      <c r="K10" s="50">
        <v>125</v>
      </c>
      <c r="L10" s="59">
        <v>122500</v>
      </c>
    </row>
    <row r="11" spans="1:12" outlineLevel="2" x14ac:dyDescent="0.35">
      <c r="A11" s="51">
        <v>1045</v>
      </c>
      <c r="B11" s="51" t="s">
        <v>131</v>
      </c>
      <c r="C11" s="56">
        <v>44017</v>
      </c>
      <c r="D11" s="56">
        <v>24749</v>
      </c>
      <c r="E11" s="51" t="s">
        <v>10</v>
      </c>
      <c r="F11" s="51" t="s">
        <v>11</v>
      </c>
      <c r="G11" s="51" t="s">
        <v>12</v>
      </c>
      <c r="H11" s="51" t="s">
        <v>85</v>
      </c>
      <c r="I11" s="51" t="s">
        <v>13</v>
      </c>
      <c r="J11" s="51" t="s">
        <v>14</v>
      </c>
      <c r="K11" s="51">
        <v>28</v>
      </c>
      <c r="L11" s="57">
        <v>163500</v>
      </c>
    </row>
    <row r="12" spans="1:12" outlineLevel="2" x14ac:dyDescent="0.35">
      <c r="A12" s="50">
        <v>1047</v>
      </c>
      <c r="B12" s="50" t="s">
        <v>133</v>
      </c>
      <c r="C12" s="58">
        <v>42404</v>
      </c>
      <c r="D12" s="58">
        <v>23447</v>
      </c>
      <c r="E12" s="50" t="s">
        <v>10</v>
      </c>
      <c r="F12" s="50" t="s">
        <v>11</v>
      </c>
      <c r="G12" s="50" t="s">
        <v>12</v>
      </c>
      <c r="H12" s="50" t="s">
        <v>86</v>
      </c>
      <c r="I12" s="50" t="s">
        <v>26</v>
      </c>
      <c r="J12" s="50" t="s">
        <v>14</v>
      </c>
      <c r="K12" s="50">
        <v>81</v>
      </c>
      <c r="L12" s="59">
        <v>65000</v>
      </c>
    </row>
    <row r="13" spans="1:12" outlineLevel="2" x14ac:dyDescent="0.35">
      <c r="A13" s="51">
        <v>1048</v>
      </c>
      <c r="B13" s="51" t="s">
        <v>134</v>
      </c>
      <c r="C13" s="56">
        <v>43309</v>
      </c>
      <c r="D13" s="56">
        <v>33795</v>
      </c>
      <c r="E13" s="51" t="s">
        <v>10</v>
      </c>
      <c r="F13" s="51" t="s">
        <v>11</v>
      </c>
      <c r="G13" s="51" t="s">
        <v>12</v>
      </c>
      <c r="H13" s="51" t="s">
        <v>87</v>
      </c>
      <c r="I13" s="51" t="s">
        <v>26</v>
      </c>
      <c r="J13" s="51" t="s">
        <v>21</v>
      </c>
      <c r="K13" s="51">
        <v>52</v>
      </c>
      <c r="L13" s="57">
        <v>42100</v>
      </c>
    </row>
    <row r="14" spans="1:12" outlineLevel="1" x14ac:dyDescent="0.35">
      <c r="A14" s="51"/>
      <c r="B14" s="51"/>
      <c r="C14" s="56"/>
      <c r="D14" s="56"/>
      <c r="E14" s="51"/>
      <c r="F14" s="60" t="s">
        <v>137</v>
      </c>
      <c r="G14" s="51"/>
      <c r="H14" s="51"/>
      <c r="I14" s="51"/>
      <c r="J14" s="51"/>
      <c r="K14" s="51"/>
      <c r="L14" s="57">
        <f>SUBTOTAL(9,L2:L13)</f>
        <v>881474</v>
      </c>
    </row>
    <row r="15" spans="1:12" outlineLevel="2" x14ac:dyDescent="0.35">
      <c r="A15" s="50">
        <v>1025</v>
      </c>
      <c r="B15" s="50" t="s">
        <v>114</v>
      </c>
      <c r="C15" s="58">
        <v>43229</v>
      </c>
      <c r="D15" s="58">
        <v>32158</v>
      </c>
      <c r="E15" s="50" t="s">
        <v>16</v>
      </c>
      <c r="F15" s="50" t="s">
        <v>17</v>
      </c>
      <c r="G15" s="50" t="s">
        <v>25</v>
      </c>
      <c r="H15" s="50" t="s">
        <v>86</v>
      </c>
      <c r="I15" s="50" t="s">
        <v>13</v>
      </c>
      <c r="J15" s="50" t="s">
        <v>14</v>
      </c>
      <c r="K15" s="50">
        <v>54</v>
      </c>
      <c r="L15" s="59">
        <v>40000</v>
      </c>
    </row>
    <row r="16" spans="1:12" outlineLevel="2" x14ac:dyDescent="0.35">
      <c r="A16" s="51">
        <v>1043</v>
      </c>
      <c r="B16" s="51" t="s">
        <v>129</v>
      </c>
      <c r="C16" s="56">
        <v>42798</v>
      </c>
      <c r="D16" s="56">
        <v>27607</v>
      </c>
      <c r="E16" s="51" t="s">
        <v>16</v>
      </c>
      <c r="F16" s="51" t="s">
        <v>17</v>
      </c>
      <c r="G16" s="51" t="s">
        <v>12</v>
      </c>
      <c r="H16" s="51" t="s">
        <v>85</v>
      </c>
      <c r="I16" s="51" t="s">
        <v>13</v>
      </c>
      <c r="J16" s="51" t="s">
        <v>21</v>
      </c>
      <c r="K16" s="51">
        <v>68</v>
      </c>
      <c r="L16" s="57">
        <v>60000</v>
      </c>
    </row>
    <row r="17" spans="1:12" outlineLevel="2" x14ac:dyDescent="0.35">
      <c r="A17" s="50">
        <v>1046</v>
      </c>
      <c r="B17" s="50" t="s">
        <v>132</v>
      </c>
      <c r="C17" s="58">
        <v>43781</v>
      </c>
      <c r="D17" s="58">
        <v>19853</v>
      </c>
      <c r="E17" s="50" t="s">
        <v>16</v>
      </c>
      <c r="F17" s="50" t="s">
        <v>17</v>
      </c>
      <c r="G17" s="50" t="s">
        <v>25</v>
      </c>
      <c r="H17" s="50" t="s">
        <v>86</v>
      </c>
      <c r="I17" s="50" t="s">
        <v>13</v>
      </c>
      <c r="J17" s="50" t="s">
        <v>14</v>
      </c>
      <c r="K17" s="50">
        <v>36</v>
      </c>
      <c r="L17" s="59">
        <v>31761</v>
      </c>
    </row>
    <row r="18" spans="1:12" outlineLevel="1" x14ac:dyDescent="0.35">
      <c r="A18" s="50"/>
      <c r="B18" s="50"/>
      <c r="C18" s="58"/>
      <c r="D18" s="58"/>
      <c r="E18" s="50"/>
      <c r="F18" s="61" t="s">
        <v>138</v>
      </c>
      <c r="G18" s="50"/>
      <c r="H18" s="50"/>
      <c r="I18" s="50"/>
      <c r="J18" s="50"/>
      <c r="K18" s="50"/>
      <c r="L18" s="59">
        <f>SUBTOTAL(9,L15:L17)</f>
        <v>131761</v>
      </c>
    </row>
    <row r="19" spans="1:12" outlineLevel="2" x14ac:dyDescent="0.35">
      <c r="A19" s="51">
        <v>1033</v>
      </c>
      <c r="B19" s="51" t="s">
        <v>119</v>
      </c>
      <c r="C19" s="56">
        <v>43390</v>
      </c>
      <c r="D19" s="56">
        <v>16071</v>
      </c>
      <c r="E19" s="51" t="s">
        <v>16</v>
      </c>
      <c r="F19" s="51" t="s">
        <v>28</v>
      </c>
      <c r="G19" s="51" t="s">
        <v>25</v>
      </c>
      <c r="H19" s="51" t="s">
        <v>88</v>
      </c>
      <c r="I19" s="51" t="s">
        <v>26</v>
      </c>
      <c r="J19" s="51" t="s">
        <v>21</v>
      </c>
      <c r="K19" s="51">
        <v>49</v>
      </c>
      <c r="L19" s="57">
        <v>38512</v>
      </c>
    </row>
    <row r="20" spans="1:12" outlineLevel="2" x14ac:dyDescent="0.35">
      <c r="A20" s="50">
        <v>1034</v>
      </c>
      <c r="B20" s="50" t="s">
        <v>120</v>
      </c>
      <c r="C20" s="58">
        <v>42478</v>
      </c>
      <c r="D20" s="58">
        <v>33447</v>
      </c>
      <c r="E20" s="50" t="s">
        <v>10</v>
      </c>
      <c r="F20" s="50" t="s">
        <v>28</v>
      </c>
      <c r="G20" s="50" t="s">
        <v>12</v>
      </c>
      <c r="H20" s="50" t="s">
        <v>86</v>
      </c>
      <c r="I20" s="50" t="s">
        <v>26</v>
      </c>
      <c r="J20" s="50" t="s">
        <v>23</v>
      </c>
      <c r="K20" s="50">
        <v>79</v>
      </c>
      <c r="L20" s="59">
        <v>25792</v>
      </c>
    </row>
    <row r="21" spans="1:12" outlineLevel="2" x14ac:dyDescent="0.35">
      <c r="A21" s="51">
        <v>1036</v>
      </c>
      <c r="B21" s="51" t="s">
        <v>122</v>
      </c>
      <c r="C21" s="56">
        <v>43209</v>
      </c>
      <c r="D21" s="56">
        <v>32961</v>
      </c>
      <c r="E21" s="51" t="s">
        <v>16</v>
      </c>
      <c r="F21" s="51" t="s">
        <v>28</v>
      </c>
      <c r="G21" s="51" t="s">
        <v>12</v>
      </c>
      <c r="H21" s="51" t="s">
        <v>86</v>
      </c>
      <c r="I21" s="51" t="s">
        <v>26</v>
      </c>
      <c r="J21" s="51" t="s">
        <v>14</v>
      </c>
      <c r="K21" s="51">
        <v>55</v>
      </c>
      <c r="L21" s="57">
        <v>23920</v>
      </c>
    </row>
    <row r="22" spans="1:12" outlineLevel="2" x14ac:dyDescent="0.35">
      <c r="A22" s="50">
        <v>1038</v>
      </c>
      <c r="B22" s="50" t="s">
        <v>124</v>
      </c>
      <c r="C22" s="58">
        <v>43138</v>
      </c>
      <c r="D22" s="58">
        <v>22619</v>
      </c>
      <c r="E22" s="50" t="s">
        <v>16</v>
      </c>
      <c r="F22" s="50" t="s">
        <v>28</v>
      </c>
      <c r="G22" s="50" t="s">
        <v>25</v>
      </c>
      <c r="H22" s="50" t="s">
        <v>86</v>
      </c>
      <c r="I22" s="50" t="s">
        <v>26</v>
      </c>
      <c r="J22" s="50" t="s">
        <v>23</v>
      </c>
      <c r="K22" s="50">
        <v>57</v>
      </c>
      <c r="L22" s="59">
        <v>21840</v>
      </c>
    </row>
    <row r="23" spans="1:12" outlineLevel="2" x14ac:dyDescent="0.35">
      <c r="A23" s="51">
        <v>1040</v>
      </c>
      <c r="B23" s="51" t="s">
        <v>126</v>
      </c>
      <c r="C23" s="56">
        <v>44100</v>
      </c>
      <c r="D23" s="56">
        <v>32083</v>
      </c>
      <c r="E23" s="51" t="s">
        <v>10</v>
      </c>
      <c r="F23" s="51" t="s">
        <v>28</v>
      </c>
      <c r="G23" s="51" t="s">
        <v>25</v>
      </c>
      <c r="H23" s="51" t="s">
        <v>87</v>
      </c>
      <c r="I23" s="51" t="s">
        <v>13</v>
      </c>
      <c r="J23" s="51" t="s">
        <v>14</v>
      </c>
      <c r="K23" s="51">
        <v>26</v>
      </c>
      <c r="L23" s="57">
        <v>65000</v>
      </c>
    </row>
    <row r="24" spans="1:12" outlineLevel="2" x14ac:dyDescent="0.35">
      <c r="A24" s="50">
        <v>1052</v>
      </c>
      <c r="B24" s="50" t="s">
        <v>135</v>
      </c>
      <c r="C24" s="58">
        <v>44039</v>
      </c>
      <c r="D24" s="58">
        <v>32630</v>
      </c>
      <c r="E24" s="50" t="s">
        <v>16</v>
      </c>
      <c r="F24" s="50" t="s">
        <v>28</v>
      </c>
      <c r="G24" s="50" t="s">
        <v>12</v>
      </c>
      <c r="H24" s="50" t="s">
        <v>87</v>
      </c>
      <c r="I24" s="50" t="s">
        <v>26</v>
      </c>
      <c r="J24" s="50" t="s">
        <v>21</v>
      </c>
      <c r="K24" s="50">
        <v>28</v>
      </c>
      <c r="L24" s="59">
        <v>43250</v>
      </c>
    </row>
    <row r="25" spans="1:12" outlineLevel="1" x14ac:dyDescent="0.35">
      <c r="A25" s="50"/>
      <c r="B25" s="50"/>
      <c r="C25" s="58"/>
      <c r="D25" s="58"/>
      <c r="E25" s="50"/>
      <c r="F25" s="61" t="s">
        <v>139</v>
      </c>
      <c r="G25" s="50"/>
      <c r="H25" s="50"/>
      <c r="I25" s="50"/>
      <c r="J25" s="50"/>
      <c r="K25" s="50"/>
      <c r="L25" s="59">
        <f>SUBTOTAL(9,L19:L24)</f>
        <v>218314</v>
      </c>
    </row>
    <row r="26" spans="1:12" outlineLevel="2" x14ac:dyDescent="0.35">
      <c r="A26" s="51">
        <v>1026</v>
      </c>
      <c r="B26" s="51" t="s">
        <v>115</v>
      </c>
      <c r="C26" s="56">
        <v>44295</v>
      </c>
      <c r="D26" s="56">
        <v>25805</v>
      </c>
      <c r="E26" s="51" t="s">
        <v>10</v>
      </c>
      <c r="F26" s="51" t="s">
        <v>19</v>
      </c>
      <c r="G26" s="51" t="s">
        <v>12</v>
      </c>
      <c r="H26" s="51" t="s">
        <v>87</v>
      </c>
      <c r="I26" s="51" t="s">
        <v>13</v>
      </c>
      <c r="J26" s="51" t="s">
        <v>14</v>
      </c>
      <c r="K26" s="51">
        <v>19</v>
      </c>
      <c r="L26" s="57">
        <v>57244</v>
      </c>
    </row>
    <row r="27" spans="1:12" outlineLevel="2" x14ac:dyDescent="0.35">
      <c r="A27" s="50">
        <v>1041</v>
      </c>
      <c r="B27" s="50" t="s">
        <v>127</v>
      </c>
      <c r="C27" s="58">
        <v>44153</v>
      </c>
      <c r="D27" s="58">
        <v>22379</v>
      </c>
      <c r="E27" s="50" t="s">
        <v>16</v>
      </c>
      <c r="F27" s="50" t="s">
        <v>19</v>
      </c>
      <c r="G27" s="50" t="s">
        <v>12</v>
      </c>
      <c r="H27" s="50" t="s">
        <v>89</v>
      </c>
      <c r="I27" s="50" t="s">
        <v>13</v>
      </c>
      <c r="J27" s="50" t="s">
        <v>14</v>
      </c>
      <c r="K27" s="50">
        <v>24</v>
      </c>
      <c r="L27" s="59">
        <v>108500</v>
      </c>
    </row>
    <row r="28" spans="1:12" outlineLevel="2" x14ac:dyDescent="0.35">
      <c r="A28" s="51">
        <v>1064</v>
      </c>
      <c r="B28" s="51" t="s">
        <v>136</v>
      </c>
      <c r="C28" s="56">
        <v>43576</v>
      </c>
      <c r="D28" s="56">
        <v>29749</v>
      </c>
      <c r="E28" s="51" t="s">
        <v>16</v>
      </c>
      <c r="F28" s="51" t="s">
        <v>19</v>
      </c>
      <c r="G28" s="51" t="s">
        <v>25</v>
      </c>
      <c r="H28" s="51" t="s">
        <v>87</v>
      </c>
      <c r="I28" s="51" t="s">
        <v>26</v>
      </c>
      <c r="J28" s="51" t="s">
        <v>21</v>
      </c>
      <c r="K28" s="51">
        <v>43</v>
      </c>
      <c r="L28" s="57">
        <v>38450</v>
      </c>
    </row>
    <row r="29" spans="1:12" outlineLevel="1" x14ac:dyDescent="0.35">
      <c r="A29" s="51"/>
      <c r="B29" s="51"/>
      <c r="C29" s="56"/>
      <c r="D29" s="56"/>
      <c r="E29" s="51"/>
      <c r="F29" s="60" t="s">
        <v>140</v>
      </c>
      <c r="G29" s="51"/>
      <c r="H29" s="51"/>
      <c r="I29" s="51"/>
      <c r="J29" s="51"/>
      <c r="K29" s="51"/>
      <c r="L29" s="57">
        <f>SUBTOTAL(9,L26:L28)</f>
        <v>204194</v>
      </c>
    </row>
    <row r="30" spans="1:12" x14ac:dyDescent="0.35">
      <c r="A30" s="51"/>
      <c r="B30" s="51"/>
      <c r="C30" s="56"/>
      <c r="D30" s="56"/>
      <c r="E30" s="51"/>
      <c r="F30" s="60" t="s">
        <v>141</v>
      </c>
      <c r="G30" s="51"/>
      <c r="H30" s="51"/>
      <c r="I30" s="51"/>
      <c r="J30" s="51"/>
      <c r="K30" s="51"/>
      <c r="L30" s="57">
        <f>SUBTOTAL(9,L2:L28)</f>
        <v>1435743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90" zoomScaleNormal="90" workbookViewId="0">
      <selection activeCell="I12" sqref="I12"/>
    </sheetView>
  </sheetViews>
  <sheetFormatPr defaultColWidth="8.81640625" defaultRowHeight="14.5" x14ac:dyDescent="0.35"/>
  <cols>
    <col min="5" max="5" width="36.453125" customWidth="1"/>
    <col min="6" max="6" width="15.90625" customWidth="1"/>
  </cols>
  <sheetData>
    <row r="1" spans="1:6" x14ac:dyDescent="0.35">
      <c r="A1" s="66" t="s">
        <v>100</v>
      </c>
      <c r="B1" s="67"/>
      <c r="C1" s="67"/>
      <c r="D1" s="67"/>
      <c r="E1" s="67"/>
      <c r="F1" s="68"/>
    </row>
    <row r="2" spans="1:6" ht="18.5" x14ac:dyDescent="0.45">
      <c r="A2" s="69" t="s">
        <v>92</v>
      </c>
      <c r="B2" s="70"/>
      <c r="C2" s="70"/>
      <c r="D2" s="70"/>
      <c r="E2" s="70"/>
      <c r="F2" s="41">
        <f>AVERAGE(EmployeeInfo!M2:M25)</f>
        <v>59822.625</v>
      </c>
    </row>
    <row r="3" spans="1:6" ht="18.5" x14ac:dyDescent="0.45">
      <c r="A3" s="64" t="s">
        <v>91</v>
      </c>
      <c r="B3" s="65"/>
      <c r="C3" s="65"/>
      <c r="D3" s="65"/>
      <c r="E3" s="65"/>
      <c r="F3" s="42">
        <f>COUNTIF(EmployeeInfo!H2:H25,"PT")</f>
        <v>9</v>
      </c>
    </row>
    <row r="4" spans="1:6" ht="18.5" x14ac:dyDescent="0.45">
      <c r="A4" s="64" t="s">
        <v>90</v>
      </c>
      <c r="B4" s="65"/>
      <c r="C4" s="65"/>
      <c r="D4" s="65"/>
      <c r="E4" s="65"/>
      <c r="F4" s="42">
        <f>COUNTIF(EmployeeInfo!H2:H25,"FT")</f>
        <v>14</v>
      </c>
    </row>
    <row r="5" spans="1:6" ht="18.5" x14ac:dyDescent="0.45">
      <c r="A5" s="64" t="s">
        <v>94</v>
      </c>
      <c r="B5" s="65"/>
      <c r="C5" s="65"/>
      <c r="D5" s="65"/>
      <c r="E5" s="65"/>
      <c r="F5" s="43">
        <f>AVERAGEIF(EmployeeInfo!H2:H25,"PT",EmployeeInfo!M2:M25)</f>
        <v>46101.666666666664</v>
      </c>
    </row>
    <row r="6" spans="1:6" ht="18.5" x14ac:dyDescent="0.45">
      <c r="A6" s="64" t="s">
        <v>95</v>
      </c>
      <c r="B6" s="65"/>
      <c r="C6" s="65"/>
      <c r="D6" s="65"/>
      <c r="E6" s="65"/>
      <c r="F6" s="43">
        <f>AVERAGEIF(EmployeeInfo!H2:H25,"FT",EmployeeInfo!M2:M25)</f>
        <v>70629.78571428571</v>
      </c>
    </row>
    <row r="7" spans="1:6" ht="18.5" x14ac:dyDescent="0.45">
      <c r="A7" s="64" t="s">
        <v>96</v>
      </c>
      <c r="B7" s="65"/>
      <c r="C7" s="65"/>
      <c r="D7" s="65"/>
      <c r="E7" s="65"/>
      <c r="F7" s="43">
        <f>SUMIF(EmployeeInfo!G2:G25,"Austin",EmployeeInfo!M2:M25)</f>
        <v>881474</v>
      </c>
    </row>
    <row r="8" spans="1:6" ht="18.5" x14ac:dyDescent="0.45">
      <c r="A8" s="64" t="s">
        <v>101</v>
      </c>
      <c r="B8" s="65"/>
      <c r="C8" s="65"/>
      <c r="D8" s="65"/>
      <c r="E8" s="65"/>
      <c r="F8" s="43">
        <f>SUMIF(EmployeeInfo!H2:H25,"PT",EmployeeInfo!M2:M25)</f>
        <v>414915</v>
      </c>
    </row>
    <row r="9" spans="1:6" ht="18.5" x14ac:dyDescent="0.45">
      <c r="A9" s="64" t="s">
        <v>97</v>
      </c>
      <c r="B9" s="65"/>
      <c r="C9" s="65"/>
      <c r="D9" s="65"/>
      <c r="E9" s="65"/>
      <c r="F9" s="43">
        <f>SUMIFS(EmployeeInfo!M2:M25,EmployeeInfo!H2:H25,"FT",EmployeeInfo!G2:G25,"Austin")</f>
        <v>670111</v>
      </c>
    </row>
    <row r="10" spans="1:6" ht="18.5" x14ac:dyDescent="0.45">
      <c r="A10" s="64" t="s">
        <v>103</v>
      </c>
      <c r="B10" s="65"/>
      <c r="C10" s="65"/>
      <c r="D10" s="65"/>
      <c r="E10" s="65"/>
      <c r="F10" s="44">
        <f>SUMIFS(EmployeeInfo!M2:M25,EmployeeInfo!H2:H25,"FT",EmployeeInfo!M2:M25, "&gt;=40000")</f>
        <v>907094</v>
      </c>
    </row>
    <row r="11" spans="1:6" ht="18.5" x14ac:dyDescent="0.45">
      <c r="A11" s="64" t="s">
        <v>105</v>
      </c>
      <c r="B11" s="65"/>
      <c r="C11" s="65"/>
      <c r="D11" s="65"/>
      <c r="E11" s="65"/>
      <c r="F11" s="43">
        <f>AVERAGEIFS(EmployeeInfo!M2:M25,EmployeeInfo!H2:H25,"FT", EmployeeInfo!I2:I25,"sales")</f>
        <v>98500</v>
      </c>
    </row>
    <row r="12" spans="1:6" ht="18.5" x14ac:dyDescent="0.45">
      <c r="A12" s="64" t="s">
        <v>102</v>
      </c>
      <c r="B12" s="65"/>
      <c r="C12" s="65"/>
      <c r="D12" s="65"/>
      <c r="E12" s="65"/>
      <c r="F12" s="43">
        <f>AVERAGEIFS(EmployeeInfo!M2:M25,EmployeeInfo!H2:H25,"FT",EmployeeInfo!G2:G25,"Austin")</f>
        <v>83763.875</v>
      </c>
    </row>
    <row r="13" spans="1:6" ht="18.5" x14ac:dyDescent="0.45">
      <c r="A13" s="64" t="s">
        <v>104</v>
      </c>
      <c r="B13" s="65"/>
      <c r="C13" s="65"/>
      <c r="D13" s="65"/>
      <c r="E13" s="65"/>
      <c r="F13" s="42">
        <f>COUNTIFS(EmployeeInfo!H2:H25,"FT",EmployeeInfo!I2:I25,"support")</f>
        <v>3</v>
      </c>
    </row>
    <row r="14" spans="1:6" ht="18.5" x14ac:dyDescent="0.45">
      <c r="A14" s="64" t="s">
        <v>93</v>
      </c>
      <c r="B14" s="65"/>
      <c r="C14" s="65"/>
      <c r="D14" s="65"/>
      <c r="E14" s="65"/>
      <c r="F14" s="42">
        <f>COUNTIFS(EmployeeInfo!H2:H25,"PT",EmployeeInfo!M2:M25,"&gt;=40000")</f>
        <v>5</v>
      </c>
    </row>
    <row r="15" spans="1:6" ht="18.5" x14ac:dyDescent="0.45">
      <c r="A15" s="64" t="s">
        <v>106</v>
      </c>
      <c r="B15" s="65"/>
      <c r="C15" s="65"/>
      <c r="D15" s="65"/>
      <c r="E15" s="65"/>
      <c r="F15" s="45">
        <f>COUNTIF(EmployeeInfo!K2:K25,"None")/COUNTA(EmployeeInfo!K2:K25)</f>
        <v>0.33333333333333331</v>
      </c>
    </row>
    <row r="16" spans="1:6" ht="18.5" x14ac:dyDescent="0.45">
      <c r="A16" s="64" t="s">
        <v>107</v>
      </c>
      <c r="B16" s="65"/>
      <c r="C16" s="65"/>
      <c r="D16" s="65"/>
      <c r="E16" s="65"/>
      <c r="F16" s="45">
        <f>COUNTIFS(EmployeeInfo!H2:H25,"FT",EmployeeInfo!K2:K25,"None")/COUNTA(EmployeeInfo!K2:K25)</f>
        <v>0.16666666666666666</v>
      </c>
    </row>
    <row r="17" spans="1:6" ht="18.5" x14ac:dyDescent="0.45">
      <c r="A17" s="62" t="s">
        <v>108</v>
      </c>
      <c r="B17" s="63"/>
      <c r="C17" s="63"/>
      <c r="D17" s="63"/>
      <c r="E17" s="63"/>
      <c r="F17" s="46">
        <f>COUNTIFS(EmployeeInfo!H2:H25,"PT",EmployeeInfo!K2:K25,"None")/COUNTA(EmployeeInfo!K2:K25)</f>
        <v>0.125</v>
      </c>
    </row>
  </sheetData>
  <mergeCells count="17">
    <mergeCell ref="A1:F1"/>
    <mergeCell ref="A8:E8"/>
    <mergeCell ref="A4:E4"/>
    <mergeCell ref="A3:E3"/>
    <mergeCell ref="A2:E2"/>
    <mergeCell ref="A10:E10"/>
    <mergeCell ref="A13:E13"/>
    <mergeCell ref="A14:E14"/>
    <mergeCell ref="A5:E5"/>
    <mergeCell ref="A6:E6"/>
    <mergeCell ref="A7:E7"/>
    <mergeCell ref="A9:E9"/>
    <mergeCell ref="A17:E17"/>
    <mergeCell ref="A15:E15"/>
    <mergeCell ref="A16:E16"/>
    <mergeCell ref="A11:E11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topLeftCell="A11" zoomScale="70" zoomScaleNormal="70" workbookViewId="0">
      <selection activeCell="B27" sqref="B27"/>
    </sheetView>
  </sheetViews>
  <sheetFormatPr defaultColWidth="9.1796875" defaultRowHeight="14.5" x14ac:dyDescent="0.35"/>
  <cols>
    <col min="1" max="1" width="9.7265625" bestFit="1" customWidth="1"/>
    <col min="2" max="2" width="22.26953125" customWidth="1"/>
    <col min="3" max="3" width="12.1796875" customWidth="1"/>
    <col min="4" max="4" width="12.7265625" customWidth="1"/>
  </cols>
  <sheetData>
    <row r="1" spans="1:4" ht="15" thickBot="1" x14ac:dyDescent="0.4"/>
    <row r="2" spans="1:4" ht="46.5" x14ac:dyDescent="0.35">
      <c r="A2" s="71" t="s">
        <v>47</v>
      </c>
      <c r="B2" s="72"/>
      <c r="C2" s="20" t="s">
        <v>110</v>
      </c>
    </row>
    <row r="3" spans="1:4" ht="15.5" x14ac:dyDescent="0.35">
      <c r="A3" s="21">
        <v>0</v>
      </c>
      <c r="B3" s="2">
        <v>5</v>
      </c>
      <c r="C3" s="23">
        <v>0</v>
      </c>
    </row>
    <row r="4" spans="1:4" ht="15.5" x14ac:dyDescent="0.35">
      <c r="A4" s="21">
        <v>6</v>
      </c>
      <c r="B4" s="2">
        <v>11</v>
      </c>
      <c r="C4" s="23">
        <v>1.4999999999999999E-2</v>
      </c>
    </row>
    <row r="5" spans="1:4" ht="15.5" x14ac:dyDescent="0.35">
      <c r="A5" s="21">
        <v>12</v>
      </c>
      <c r="B5" s="2">
        <v>23</v>
      </c>
      <c r="C5" s="23">
        <v>3.5000000000000003E-2</v>
      </c>
    </row>
    <row r="6" spans="1:4" ht="15.5" x14ac:dyDescent="0.35">
      <c r="A6" s="21">
        <v>24</v>
      </c>
      <c r="B6" s="2">
        <v>35</v>
      </c>
      <c r="C6" s="23">
        <v>0.05</v>
      </c>
    </row>
    <row r="7" spans="1:4" ht="15.5" x14ac:dyDescent="0.35">
      <c r="A7" s="21">
        <v>36</v>
      </c>
      <c r="B7" s="2">
        <v>47</v>
      </c>
      <c r="C7" s="23">
        <v>0.08</v>
      </c>
    </row>
    <row r="8" spans="1:4" ht="16" thickBot="1" x14ac:dyDescent="0.4">
      <c r="A8" s="24">
        <v>48</v>
      </c>
      <c r="B8" s="25" t="s">
        <v>50</v>
      </c>
      <c r="C8" s="27">
        <v>0.1</v>
      </c>
    </row>
    <row r="9" spans="1:4" ht="15" thickBot="1" x14ac:dyDescent="0.4"/>
    <row r="10" spans="1:4" ht="31" x14ac:dyDescent="0.35">
      <c r="A10" s="71" t="s">
        <v>47</v>
      </c>
      <c r="B10" s="72"/>
      <c r="C10" s="19" t="s">
        <v>48</v>
      </c>
      <c r="D10" s="20" t="s">
        <v>49</v>
      </c>
    </row>
    <row r="11" spans="1:4" ht="15.5" x14ac:dyDescent="0.35">
      <c r="A11" s="21">
        <v>0</v>
      </c>
      <c r="B11" s="2">
        <v>5</v>
      </c>
      <c r="C11" s="22">
        <v>0</v>
      </c>
      <c r="D11" s="23">
        <v>0</v>
      </c>
    </row>
    <row r="12" spans="1:4" ht="15.5" x14ac:dyDescent="0.35">
      <c r="A12" s="21">
        <v>6</v>
      </c>
      <c r="B12" s="2">
        <v>11</v>
      </c>
      <c r="C12" s="22">
        <v>0</v>
      </c>
      <c r="D12" s="23">
        <v>1.4999999999999999E-2</v>
      </c>
    </row>
    <row r="13" spans="1:4" ht="15.5" x14ac:dyDescent="0.35">
      <c r="A13" s="21">
        <v>12</v>
      </c>
      <c r="B13" s="2">
        <v>23</v>
      </c>
      <c r="C13" s="22">
        <v>0</v>
      </c>
      <c r="D13" s="23">
        <v>3.5000000000000003E-2</v>
      </c>
    </row>
    <row r="14" spans="1:4" ht="15.5" x14ac:dyDescent="0.35">
      <c r="A14" s="21">
        <v>24</v>
      </c>
      <c r="B14" s="2">
        <v>35</v>
      </c>
      <c r="C14" s="22">
        <v>2.5000000000000001E-2</v>
      </c>
      <c r="D14" s="23">
        <v>0.05</v>
      </c>
    </row>
    <row r="15" spans="1:4" ht="15.5" x14ac:dyDescent="0.35">
      <c r="A15" s="21">
        <v>36</v>
      </c>
      <c r="B15" s="2">
        <v>47</v>
      </c>
      <c r="C15" s="22">
        <v>0.05</v>
      </c>
      <c r="D15" s="23">
        <v>0.08</v>
      </c>
    </row>
    <row r="16" spans="1:4" ht="16" thickBot="1" x14ac:dyDescent="0.4">
      <c r="A16" s="24">
        <v>48</v>
      </c>
      <c r="B16" s="25" t="s">
        <v>50</v>
      </c>
      <c r="C16" s="26">
        <v>0.08</v>
      </c>
      <c r="D16" s="27">
        <v>0.1</v>
      </c>
    </row>
    <row r="17" spans="1:13" ht="15.5" x14ac:dyDescent="0.35">
      <c r="A17" s="2"/>
      <c r="B17" s="33"/>
      <c r="C17" s="22"/>
      <c r="D17" s="22"/>
    </row>
    <row r="18" spans="1:13" ht="15" thickBot="1" x14ac:dyDescent="0.4"/>
    <row r="19" spans="1:13" ht="31.5" thickBot="1" x14ac:dyDescent="0.4">
      <c r="A19" s="34" t="s">
        <v>83</v>
      </c>
      <c r="B19" s="35" t="s">
        <v>51</v>
      </c>
      <c r="H19" s="73" t="s">
        <v>47</v>
      </c>
      <c r="I19" s="74"/>
      <c r="J19" s="39" t="s">
        <v>86</v>
      </c>
      <c r="K19" s="39" t="s">
        <v>87</v>
      </c>
      <c r="L19" s="39" t="s">
        <v>85</v>
      </c>
      <c r="M19" s="40" t="s">
        <v>88</v>
      </c>
    </row>
    <row r="20" spans="1:13" ht="16" thickBot="1" x14ac:dyDescent="0.4">
      <c r="A20" s="29" t="s">
        <v>86</v>
      </c>
      <c r="B20" s="30">
        <v>1.4999999999999999E-2</v>
      </c>
      <c r="H20" s="21">
        <v>0</v>
      </c>
      <c r="I20" s="37">
        <v>5</v>
      </c>
      <c r="J20" s="22">
        <v>0</v>
      </c>
      <c r="K20" s="22">
        <v>0</v>
      </c>
      <c r="L20" s="22">
        <v>0</v>
      </c>
      <c r="M20" s="23">
        <v>0</v>
      </c>
    </row>
    <row r="21" spans="1:13" ht="16" thickBot="1" x14ac:dyDescent="0.4">
      <c r="A21" s="29" t="s">
        <v>87</v>
      </c>
      <c r="B21" s="30">
        <v>0.02</v>
      </c>
      <c r="H21" s="21">
        <v>6</v>
      </c>
      <c r="I21" s="37">
        <v>11</v>
      </c>
      <c r="J21" s="22">
        <v>0</v>
      </c>
      <c r="K21" s="22">
        <v>1.4999999999999999E-2</v>
      </c>
      <c r="L21" s="22">
        <v>3.2000000000000001E-2</v>
      </c>
      <c r="M21" s="23">
        <v>0</v>
      </c>
    </row>
    <row r="22" spans="1:13" ht="16" thickBot="1" x14ac:dyDescent="0.4">
      <c r="A22" s="29" t="s">
        <v>85</v>
      </c>
      <c r="B22" s="30">
        <v>2.5000000000000001E-2</v>
      </c>
      <c r="H22" s="21">
        <v>12</v>
      </c>
      <c r="I22" s="37">
        <v>23</v>
      </c>
      <c r="J22" s="22">
        <v>0</v>
      </c>
      <c r="K22" s="22">
        <v>2.5000000000000001E-2</v>
      </c>
      <c r="L22" s="22">
        <v>5.5E-2</v>
      </c>
      <c r="M22" s="23">
        <v>3.5000000000000003E-2</v>
      </c>
    </row>
    <row r="23" spans="1:13" ht="16" thickBot="1" x14ac:dyDescent="0.4">
      <c r="A23" s="29" t="s">
        <v>88</v>
      </c>
      <c r="B23" s="30">
        <v>6.2E-2</v>
      </c>
      <c r="H23" s="21">
        <v>24</v>
      </c>
      <c r="I23" s="37">
        <v>35</v>
      </c>
      <c r="J23" s="22">
        <v>0</v>
      </c>
      <c r="K23" s="22">
        <v>3.5000000000000003E-2</v>
      </c>
      <c r="L23" s="22">
        <v>2.5000000000000001E-2</v>
      </c>
      <c r="M23" s="23">
        <v>0.05</v>
      </c>
    </row>
    <row r="24" spans="1:13" ht="15.5" x14ac:dyDescent="0.35">
      <c r="A24" s="31"/>
      <c r="B24" s="32"/>
      <c r="H24" s="21">
        <v>36</v>
      </c>
      <c r="I24" s="37">
        <v>47</v>
      </c>
      <c r="J24" s="22">
        <v>2.5000000000000001E-2</v>
      </c>
      <c r="K24" s="22">
        <v>3.7999999999999999E-2</v>
      </c>
      <c r="L24" s="22">
        <v>0.02</v>
      </c>
      <c r="M24" s="23">
        <v>0.08</v>
      </c>
    </row>
    <row r="25" spans="1:13" ht="16" thickBot="1" x14ac:dyDescent="0.4">
      <c r="H25" s="24">
        <v>48</v>
      </c>
      <c r="I25" s="38" t="s">
        <v>50</v>
      </c>
      <c r="J25" s="26">
        <v>3.2000000000000001E-2</v>
      </c>
      <c r="K25" s="26">
        <v>4.2000000000000003E-2</v>
      </c>
      <c r="L25" s="26">
        <v>1.4999999999999999E-2</v>
      </c>
      <c r="M25" s="27">
        <v>0.1</v>
      </c>
    </row>
    <row r="26" spans="1:13" ht="31.5" thickBot="1" x14ac:dyDescent="0.4">
      <c r="A26" s="34" t="s">
        <v>83</v>
      </c>
      <c r="B26" s="19" t="s">
        <v>26</v>
      </c>
      <c r="C26" s="20" t="s">
        <v>13</v>
      </c>
    </row>
    <row r="27" spans="1:13" ht="16" thickBot="1" x14ac:dyDescent="0.4">
      <c r="A27" s="29" t="s">
        <v>86</v>
      </c>
      <c r="B27" s="22">
        <v>1.4999999999999999E-2</v>
      </c>
      <c r="C27" s="23">
        <v>0.01</v>
      </c>
    </row>
    <row r="28" spans="1:13" ht="16" thickBot="1" x14ac:dyDescent="0.4">
      <c r="A28" s="29" t="s">
        <v>87</v>
      </c>
      <c r="B28" s="22">
        <v>2.5000000000000001E-2</v>
      </c>
      <c r="C28" s="23">
        <v>0.02</v>
      </c>
    </row>
    <row r="29" spans="1:13" ht="16" thickBot="1" x14ac:dyDescent="0.4">
      <c r="A29" s="29" t="s">
        <v>85</v>
      </c>
      <c r="B29" s="22">
        <v>5.1999999999999998E-2</v>
      </c>
      <c r="C29" s="23">
        <v>3.5000000000000003E-2</v>
      </c>
    </row>
    <row r="30" spans="1:13" ht="16" thickBot="1" x14ac:dyDescent="0.4">
      <c r="A30" s="29" t="s">
        <v>88</v>
      </c>
      <c r="B30" s="28">
        <v>3.1E-2</v>
      </c>
      <c r="C30" s="27">
        <v>6.8000000000000005E-2</v>
      </c>
    </row>
    <row r="31" spans="1:13" ht="15.5" x14ac:dyDescent="0.35">
      <c r="B31" s="22"/>
      <c r="C31" s="22"/>
    </row>
    <row r="33" spans="1:1" x14ac:dyDescent="0.35">
      <c r="A33" s="36"/>
    </row>
    <row r="35" spans="1:1" x14ac:dyDescent="0.35">
      <c r="A35" s="7"/>
    </row>
    <row r="36" spans="1:1" x14ac:dyDescent="0.35">
      <c r="A36" s="7"/>
    </row>
  </sheetData>
  <mergeCells count="3">
    <mergeCell ref="A10:B10"/>
    <mergeCell ref="H19:I19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EmployeeInfo</vt:lpstr>
      <vt:lpstr>EmployeeTable</vt:lpstr>
      <vt:lpstr>EmployeeSummary</vt:lpstr>
      <vt:lpstr>LookUpData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Edberg</dc:creator>
  <cp:lastModifiedBy>Sidney Rood</cp:lastModifiedBy>
  <dcterms:created xsi:type="dcterms:W3CDTF">2012-11-06T07:37:59Z</dcterms:created>
  <dcterms:modified xsi:type="dcterms:W3CDTF">2022-12-01T21:16:42Z</dcterms:modified>
</cp:coreProperties>
</file>