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Google Drive\Teaching\ISB Forecasting\2015 Slides and Files\"/>
    </mc:Choice>
  </mc:AlternateContent>
  <bookViews>
    <workbookView xWindow="0" yWindow="0" windowWidth="15470" windowHeight="7100"/>
  </bookViews>
  <sheets>
    <sheet name="Data" sheetId="1" r:id="rId1"/>
    <sheet name="LR_Output2" sheetId="16" r:id="rId2"/>
    <sheet name="LR_ValidationScore2" sheetId="15" r:id="rId3"/>
    <sheet name="LR_Stored2" sheetId="14" r:id="rId4"/>
    <sheet name="LR_Output1" sheetId="13" r:id="rId5"/>
    <sheet name="LR_ValidationScore1" sheetId="12" r:id="rId6"/>
    <sheet name="LR_Stored1" sheetId="11" r:id="rId7"/>
    <sheet name="LR_Output" sheetId="10" r:id="rId8"/>
    <sheet name="LR_ValidationScore" sheetId="9" r:id="rId9"/>
    <sheet name="LR_Stored" sheetId="8" r:id="rId10"/>
  </sheets>
  <definedNames>
    <definedName name="xlm_603_1" localSheetId="0">"{""wkbk"":""PowderyMildewEpidemicNewXLM.xlsx"",""wksheet"":""Data"",""data_range"":""$A$1:$G$13"",""has_header"":true,""cat_cols"":[],""firstRow"":1,""rows"":12,""train_rows"":10,""validation_rows"":2,""test_rows"":0,""isPartitionSheet"":false,""numOutputClasses"":2,""useSuccessCl"</definedName>
    <definedName name="xlm_603_2" localSheetId="0">"ass"":true,""successClass"":""Yes"",""successCutoffProb"":0.5,""partitionData"":true,""usePartitionVar"":true,""partitionVar"":{""varId"":6,""varName"":""partition3""},""newDataDatabase"":false,""newDataWorksheet"":false,""varSelectionOnly"":false,""forceConstTermToZero"":fals"</definedName>
    <definedName name="xlm_603_3" localSheetId="0">"e,""setOddsConfidenceLevel"":false,""maxNumIterations"":50,""initialMarquardtFactor"":1,""performCollinearityDiags"":false,""perfBestSubsetSel"":false,""outputTrainDataCovarMatrixOfCoeffs"":false,""outputTrainDataResiduals"":false,""trainDetailRpt"":false,""trainSumm"</definedName>
    <definedName name="xlm_603_4" localSheetId="0">"aryRpt"":true,""trainLiftChart"":false,""trainROCCurve"":true,""validationDetailRpt"":true,""validationSummaryRpt"":true,""validationLiftChart"":false,""validROCCurve"":false,""testDetailRpt"":false,""testSummaryRpt"":false,""testLiftChart"":false,""testROCCurve"":false}"</definedName>
    <definedName name="xlm_clnc_1" localSheetId="0">"{""input_cols"":[{""varName"":""Max temp""},{""varName"":""Rel humidity""}],""output_var"":{""varName"":""Outbreak""}}"</definedName>
    <definedName name="XLMFullModelDefinition" localSheetId="9" hidden="1">"A2:G12"</definedName>
    <definedName name="XLMFullModelDefinition" localSheetId="6" hidden="1">"A2:G12"</definedName>
    <definedName name="XLMFullModelDefinition" localSheetId="3" hidden="1">"A2:G12"</definedName>
    <definedName name="XLMModelDefinition" localSheetId="9" hidden="1">"A2:B12"</definedName>
    <definedName name="XLMModelDefinition" localSheetId="6" hidden="1">"A2:B12"</definedName>
    <definedName name="XLMModelDefinition" localSheetId="3" hidden="1">"A2:B12"</definedName>
    <definedName name="XLMModelInputVars" localSheetId="9" hidden="1">"E5:F5"</definedName>
    <definedName name="XLMModelInputVars" localSheetId="6" hidden="1">"E5:F5"</definedName>
    <definedName name="XLMModelInputVars" localSheetId="3" hidden="1">"E5:F5"</definedName>
    <definedName name="XLMModelInputVarsRole" localSheetId="9" hidden="1">"E7:G7"</definedName>
    <definedName name="XLMModelInputVarsRole" localSheetId="6" hidden="1">"E7:G7"</definedName>
    <definedName name="XLMModelInputVarsRole" localSheetId="3" hidden="1">"E7:G7"</definedName>
    <definedName name="XLMModelInputVarsType" localSheetId="9" hidden="1">"E8:G8"</definedName>
    <definedName name="XLMModelInputVarsType" localSheetId="6" hidden="1">"E8:G8"</definedName>
    <definedName name="XLMModelInputVarsType" localSheetId="3" hidden="1">"E8:G8"</definedName>
    <definedName name="XLMModelTypeId" localSheetId="9" hidden="1">9</definedName>
    <definedName name="XLMModelTypeId" localSheetId="6" hidden="1">9</definedName>
    <definedName name="XLMModelTypeId" localSheetId="3" hidden="1">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0" i="16" l="1"/>
  <c r="BB9" i="16"/>
  <c r="BB8" i="16"/>
  <c r="BB7" i="16"/>
  <c r="BB6" i="16"/>
  <c r="BB5" i="16"/>
  <c r="BB4" i="16"/>
  <c r="BB3" i="16"/>
  <c r="BG2" i="16"/>
  <c r="BB2" i="16"/>
  <c r="BG1" i="16"/>
  <c r="BB1" i="16"/>
  <c r="BA1" i="16"/>
  <c r="BC1" i="16" s="1"/>
  <c r="BF1" i="16"/>
  <c r="BH1" i="16" s="1"/>
  <c r="BA2" i="16"/>
  <c r="BC2" i="16" s="1"/>
  <c r="BF2" i="16"/>
  <c r="BH2" i="16" s="1"/>
  <c r="BA3" i="16"/>
  <c r="BC3" i="16" s="1"/>
  <c r="BA4" i="16"/>
  <c r="BC4" i="16" s="1"/>
  <c r="BA5" i="16"/>
  <c r="BC5" i="16" s="1"/>
  <c r="BA6" i="16"/>
  <c r="BC6" i="16" s="1"/>
  <c r="BA7" i="16"/>
  <c r="BC7" i="16" s="1"/>
  <c r="BA8" i="16"/>
  <c r="BC8" i="16" s="1"/>
  <c r="BA9" i="16"/>
  <c r="BC9" i="16" s="1"/>
  <c r="BA10" i="16"/>
  <c r="BC10" i="16" s="1"/>
  <c r="BB9" i="13"/>
  <c r="BB8" i="13"/>
  <c r="BB7" i="13"/>
  <c r="BB6" i="13"/>
  <c r="BB5" i="13"/>
  <c r="BB4" i="13"/>
  <c r="BG3" i="13"/>
  <c r="BB3" i="13"/>
  <c r="BG2" i="13"/>
  <c r="BB2" i="13"/>
  <c r="BG1" i="13"/>
  <c r="BB1" i="13"/>
  <c r="BA1" i="13"/>
  <c r="BC1" i="13" s="1"/>
  <c r="BF1" i="13"/>
  <c r="BH1" i="13" s="1"/>
  <c r="BA2" i="13"/>
  <c r="BC2" i="13" s="1"/>
  <c r="BF2" i="13"/>
  <c r="BH2" i="13" s="1"/>
  <c r="BA3" i="13"/>
  <c r="BC3" i="13" s="1"/>
  <c r="BF3" i="13"/>
  <c r="BH3" i="13" s="1"/>
  <c r="BA4" i="13"/>
  <c r="BC4" i="13" s="1"/>
  <c r="BA5" i="13"/>
  <c r="BC5" i="13" s="1"/>
  <c r="BA6" i="13"/>
  <c r="BC6" i="13" s="1"/>
  <c r="BA7" i="13"/>
  <c r="BC7" i="13" s="1"/>
  <c r="BA8" i="13"/>
  <c r="BC8" i="13" s="1"/>
  <c r="BA9" i="13"/>
  <c r="BC9" i="13" s="1"/>
  <c r="BB8" i="10"/>
  <c r="BB7" i="10"/>
  <c r="BB6" i="10"/>
  <c r="BB5" i="10"/>
  <c r="BG4" i="10"/>
  <c r="BB4" i="10"/>
  <c r="BG3" i="10"/>
  <c r="BB3" i="10"/>
  <c r="BG2" i="10"/>
  <c r="BB2" i="10"/>
  <c r="BG1" i="10"/>
  <c r="BB1" i="10"/>
  <c r="BA1" i="10"/>
  <c r="BC1" i="10" s="1"/>
  <c r="BF1" i="10"/>
  <c r="BH1" i="10" s="1"/>
  <c r="BA2" i="10"/>
  <c r="BC2" i="10" s="1"/>
  <c r="BF2" i="10"/>
  <c r="BH2" i="10" s="1"/>
  <c r="BA3" i="10"/>
  <c r="BC3" i="10" s="1"/>
  <c r="BF3" i="10"/>
  <c r="BH3" i="10" s="1"/>
  <c r="BA4" i="10"/>
  <c r="BC4" i="10" s="1"/>
  <c r="BF4" i="10"/>
  <c r="BH4" i="10" s="1"/>
  <c r="BA5" i="10"/>
  <c r="BC5" i="10" s="1"/>
  <c r="BA6" i="10"/>
  <c r="BC6" i="10" s="1"/>
  <c r="BA7" i="10"/>
  <c r="BC7" i="10" s="1"/>
  <c r="BA8" i="10"/>
  <c r="BC8" i="10" s="1"/>
  <c r="D97" i="16" l="1"/>
  <c r="E97" i="16"/>
  <c r="D96" i="16"/>
  <c r="E96" i="16"/>
  <c r="D72" i="16"/>
  <c r="E72" i="16"/>
  <c r="D73" i="16"/>
  <c r="E73" i="16"/>
  <c r="D97" i="13"/>
  <c r="E97" i="13"/>
  <c r="D96" i="13"/>
  <c r="E96" i="13"/>
  <c r="D72" i="13"/>
  <c r="E72" i="13"/>
  <c r="D73" i="13"/>
  <c r="E73" i="13"/>
  <c r="D97" i="10"/>
  <c r="E97" i="10"/>
  <c r="D96" i="10"/>
  <c r="E96" i="10"/>
  <c r="D72" i="10"/>
  <c r="E72" i="10"/>
  <c r="D73" i="10"/>
  <c r="E73" i="10"/>
  <c r="E78" i="16" l="1"/>
  <c r="D78" i="16"/>
  <c r="F78" i="16" s="1"/>
  <c r="E85" i="16"/>
  <c r="E77" i="16"/>
  <c r="E79" i="16" s="1"/>
  <c r="D77" i="16"/>
  <c r="E83" i="16"/>
  <c r="E84" i="16"/>
  <c r="E101" i="16"/>
  <c r="D101" i="16"/>
  <c r="E107" i="16"/>
  <c r="E108" i="16"/>
  <c r="E102" i="16"/>
  <c r="D102" i="16"/>
  <c r="F102" i="16" s="1"/>
  <c r="E109" i="16"/>
  <c r="E78" i="13"/>
  <c r="D78" i="13"/>
  <c r="F78" i="13" s="1"/>
  <c r="E85" i="13"/>
  <c r="E77" i="13"/>
  <c r="E79" i="13" s="1"/>
  <c r="D77" i="13"/>
  <c r="E83" i="13"/>
  <c r="E84" i="13"/>
  <c r="E101" i="13"/>
  <c r="D101" i="13"/>
  <c r="E107" i="13"/>
  <c r="E108" i="13"/>
  <c r="E102" i="13"/>
  <c r="D102" i="13"/>
  <c r="F102" i="13" s="1"/>
  <c r="E109" i="13"/>
  <c r="E78" i="10"/>
  <c r="D78" i="10"/>
  <c r="F78" i="10" s="1"/>
  <c r="E85" i="10"/>
  <c r="E77" i="10"/>
  <c r="E79" i="10" s="1"/>
  <c r="D77" i="10"/>
  <c r="E83" i="10"/>
  <c r="E84" i="10"/>
  <c r="E101" i="10"/>
  <c r="D101" i="10"/>
  <c r="E107" i="10"/>
  <c r="E108" i="10"/>
  <c r="E102" i="10"/>
  <c r="D102" i="10"/>
  <c r="F102" i="10" s="1"/>
  <c r="E109" i="10"/>
  <c r="E110" i="16" l="1"/>
  <c r="D103" i="16"/>
  <c r="F101" i="16"/>
  <c r="E103" i="16"/>
  <c r="E86" i="16"/>
  <c r="D79" i="16"/>
  <c r="F79" i="16" s="1"/>
  <c r="F77" i="16"/>
  <c r="E110" i="13"/>
  <c r="D103" i="13"/>
  <c r="F101" i="13"/>
  <c r="E103" i="13"/>
  <c r="E86" i="13"/>
  <c r="D79" i="13"/>
  <c r="F79" i="13" s="1"/>
  <c r="F77" i="13"/>
  <c r="E110" i="10"/>
  <c r="D103" i="10"/>
  <c r="F101" i="10"/>
  <c r="E103" i="10"/>
  <c r="E86" i="10"/>
  <c r="D79" i="10"/>
  <c r="F79" i="10" s="1"/>
  <c r="F77" i="10"/>
  <c r="F103" i="16" l="1"/>
  <c r="F103" i="13"/>
  <c r="F103" i="10"/>
</calcChain>
</file>

<file path=xl/sharedStrings.xml><?xml version="1.0" encoding="utf-8"?>
<sst xmlns="http://schemas.openxmlformats.org/spreadsheetml/2006/main" count="625" uniqueCount="117">
  <si>
    <t>Year</t>
  </si>
  <si>
    <t>Outbreak</t>
  </si>
  <si>
    <t>Max temp</t>
  </si>
  <si>
    <t>Rel humidity</t>
  </si>
  <si>
    <t>Yes</t>
  </si>
  <si>
    <t>No</t>
  </si>
  <si>
    <t>partition1</t>
  </si>
  <si>
    <t>partition2</t>
  </si>
  <si>
    <t>partition3</t>
  </si>
  <si>
    <t>t</t>
  </si>
  <si>
    <t>v</t>
  </si>
  <si>
    <t>Model</t>
  </si>
  <si>
    <t>Logistic Regression</t>
  </si>
  <si>
    <t>Constant term present</t>
  </si>
  <si>
    <t># Selected Variables</t>
  </si>
  <si>
    <t>Selected Variables</t>
  </si>
  <si>
    <t>E5:G5</t>
  </si>
  <si>
    <t>Variables Offsets</t>
  </si>
  <si>
    <t>E6:G6</t>
  </si>
  <si>
    <t>Variable Role</t>
  </si>
  <si>
    <t>E7:G7</t>
  </si>
  <si>
    <t>Input</t>
  </si>
  <si>
    <t>Output</t>
  </si>
  <si>
    <t>Variable Type</t>
  </si>
  <si>
    <t>E8:G8</t>
  </si>
  <si>
    <t>Scale</t>
  </si>
  <si>
    <t>Estimated Coefficients</t>
  </si>
  <si>
    <t>D10:F10</t>
  </si>
  <si>
    <t>Class Labels</t>
  </si>
  <si>
    <t>E11:F11</t>
  </si>
  <si>
    <t>Success Class Index</t>
  </si>
  <si>
    <t>Success Probability Threshold</t>
  </si>
  <si>
    <t>XLMiner : Logistic Regression</t>
  </si>
  <si>
    <t>Output Navigator</t>
  </si>
  <si>
    <t>Elapsed Times in Milliseconds</t>
  </si>
  <si>
    <t>Data Read Time</t>
  </si>
  <si>
    <t>LR Time</t>
  </si>
  <si>
    <t>Report Time</t>
  </si>
  <si>
    <t>Total</t>
  </si>
  <si>
    <t>Inputs</t>
  </si>
  <si>
    <t>Data</t>
  </si>
  <si>
    <t>Workbook</t>
  </si>
  <si>
    <t>PowderyMildewEpidemicNewXLM.xlsx</t>
  </si>
  <si>
    <t>Worksheet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</si>
  <si>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</si>
  <si>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</si>
  <si>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</si>
  <si>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</si>
  <si>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</si>
  <si>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</si>
  <si>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</si>
  <si>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</si>
  <si>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Confidence level for odds</t>
  </si>
  <si>
    <t>Maximum Iterations</t>
  </si>
  <si>
    <t>Perform Variable Selection</t>
  </si>
  <si>
    <t>Show covariance matrix of coefficients</t>
  </si>
  <si>
    <t>Show Residuals</t>
  </si>
  <si>
    <t>Output Options Chosen</t>
  </si>
  <si>
    <t>Summary report of scoring on training data</t>
  </si>
  <si>
    <t>Summary report of scoring on validation data</t>
  </si>
  <si>
    <t>Prior Class Probabilities</t>
  </si>
  <si>
    <t>According to relative occurrences in training data</t>
  </si>
  <si>
    <t>Class</t>
  </si>
  <si>
    <t>Prob.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</si>
  <si>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</si>
  <si>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</si>
  <si>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</si>
  <si>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</si>
  <si>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</si>
  <si>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</si>
  <si>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</si>
  <si>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</si>
  <si>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</si>
  <si>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</si>
  <si>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</si>
  <si>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Chi2-Statistic</t>
  </si>
  <si>
    <t>P-Value</t>
  </si>
  <si>
    <t>Odds</t>
  </si>
  <si>
    <t>CI Lower</t>
  </si>
  <si>
    <t>CI Upper</t>
  </si>
  <si>
    <t>Residual DF</t>
  </si>
  <si>
    <t>Residual Dev.</t>
  </si>
  <si>
    <t># Iterations Used</t>
  </si>
  <si>
    <t>Multiple R²</t>
  </si>
  <si>
    <t>Training Data Scoring - Summary Report</t>
  </si>
  <si>
    <t>Cutoff probability value for success (UPDATABLE)</t>
  </si>
  <si>
    <t>Updating the value here will NOT update value in detailed report</t>
  </si>
  <si>
    <t>Confusion Matrix</t>
  </si>
  <si>
    <t>Predicted Class</t>
  </si>
  <si>
    <t>Actual Class</t>
  </si>
  <si>
    <t>Error Report</t>
  </si>
  <si>
    <t># Cases</t>
  </si>
  <si>
    <t># Errors</t>
  </si>
  <si>
    <t>% Error</t>
  </si>
  <si>
    <t>Overall</t>
  </si>
  <si>
    <t>Performance</t>
  </si>
  <si>
    <t>Success Class</t>
  </si>
  <si>
    <t>Precision</t>
  </si>
  <si>
    <t>Recall (Sensitivity)</t>
  </si>
  <si>
    <t>Specificity</t>
  </si>
  <si>
    <t>F1-Score</t>
  </si>
  <si>
    <t>Validation Data Scoring - Summary Report</t>
  </si>
  <si>
    <t>Prior Class Prob.</t>
  </si>
  <si>
    <t>Predictors</t>
  </si>
  <si>
    <t>Regress. Model</t>
  </si>
  <si>
    <t>Train. Score Summary</t>
  </si>
  <si>
    <t>Valid. Score Summary</t>
  </si>
  <si>
    <t>Date: 03-Feb-2015 17:00:00</t>
  </si>
  <si>
    <t>XLMiner : Logistic Regression - Classification of Validation Data</t>
  </si>
  <si>
    <t>Predicted
Class</t>
  </si>
  <si>
    <t>Actual
Class</t>
  </si>
  <si>
    <t>Success
Probability</t>
  </si>
  <si>
    <t>Log Odds</t>
  </si>
  <si>
    <t>Valid. Score - Detailed Rep.</t>
  </si>
  <si>
    <t>Detailed report of scoring on validation data</t>
  </si>
  <si>
    <t>Date: 03-Feb-2015 17:06:09</t>
  </si>
  <si>
    <t>Date: 03-Feb-2015 17:07:45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</si>
</sst>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4" xfId="0" applyFont="1" applyFill="1" applyBorder="1"/>
    <xf numFmtId="0" fontId="0" fillId="0" borderId="3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2" xfId="1" applyFill="1" applyBorder="1"/>
    <xf numFmtId="0" fontId="0" fillId="5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0" sqref="H10"/>
    </sheetView>
  </sheetViews>
  <sheetFormatPr defaultRowHeight="14.5" x14ac:dyDescent="0.35"/>
  <cols>
    <col min="4" max="4" width="11.1796875" bestFit="1" customWidth="1"/>
  </cols>
  <sheetData>
    <row r="1" spans="1:7" x14ac:dyDescent="0.35">
      <c r="A1" t="s">
        <v>0</v>
      </c>
      <c r="B1" s="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35">
      <c r="A2">
        <v>1987</v>
      </c>
      <c r="B2" s="1" t="s">
        <v>4</v>
      </c>
      <c r="C2">
        <v>30.14</v>
      </c>
      <c r="D2">
        <v>82.86</v>
      </c>
      <c r="E2" t="s">
        <v>9</v>
      </c>
      <c r="F2" t="s">
        <v>9</v>
      </c>
      <c r="G2" t="s">
        <v>9</v>
      </c>
    </row>
    <row r="3" spans="1:7" x14ac:dyDescent="0.35">
      <c r="A3">
        <v>1988</v>
      </c>
      <c r="B3" s="1" t="s">
        <v>5</v>
      </c>
      <c r="C3">
        <v>30.66</v>
      </c>
      <c r="D3">
        <v>79.569999999999993</v>
      </c>
      <c r="E3" t="s">
        <v>9</v>
      </c>
      <c r="F3" t="s">
        <v>9</v>
      </c>
      <c r="G3" t="s">
        <v>9</v>
      </c>
    </row>
    <row r="4" spans="1:7" x14ac:dyDescent="0.35">
      <c r="A4">
        <v>1989</v>
      </c>
      <c r="B4" s="1" t="s">
        <v>5</v>
      </c>
      <c r="C4">
        <v>26.31</v>
      </c>
      <c r="D4">
        <v>89.14</v>
      </c>
      <c r="E4" t="s">
        <v>9</v>
      </c>
      <c r="F4" t="s">
        <v>9</v>
      </c>
      <c r="G4" t="s">
        <v>9</v>
      </c>
    </row>
    <row r="5" spans="1:7" x14ac:dyDescent="0.35">
      <c r="A5">
        <v>1990</v>
      </c>
      <c r="B5" s="1" t="s">
        <v>4</v>
      </c>
      <c r="C5">
        <v>28.43</v>
      </c>
      <c r="D5">
        <v>91</v>
      </c>
      <c r="E5" t="s">
        <v>9</v>
      </c>
      <c r="F5" t="s">
        <v>9</v>
      </c>
      <c r="G5" t="s">
        <v>9</v>
      </c>
    </row>
    <row r="6" spans="1:7" x14ac:dyDescent="0.35">
      <c r="A6">
        <v>1991</v>
      </c>
      <c r="B6" s="1" t="s">
        <v>5</v>
      </c>
      <c r="C6">
        <v>29.57</v>
      </c>
      <c r="D6">
        <v>80.569999999999993</v>
      </c>
      <c r="E6" t="s">
        <v>9</v>
      </c>
      <c r="F6" t="s">
        <v>9</v>
      </c>
      <c r="G6" t="s">
        <v>9</v>
      </c>
    </row>
    <row r="7" spans="1:7" x14ac:dyDescent="0.35">
      <c r="A7">
        <v>1992</v>
      </c>
      <c r="B7" s="1" t="s">
        <v>4</v>
      </c>
      <c r="C7">
        <v>31.25</v>
      </c>
      <c r="D7">
        <v>67.819999999999993</v>
      </c>
      <c r="E7" t="s">
        <v>9</v>
      </c>
      <c r="F7" t="s">
        <v>9</v>
      </c>
      <c r="G7" t="s">
        <v>9</v>
      </c>
    </row>
    <row r="8" spans="1:7" x14ac:dyDescent="0.35">
      <c r="A8">
        <v>1993</v>
      </c>
      <c r="B8" s="1" t="s">
        <v>5</v>
      </c>
      <c r="C8">
        <v>30.35</v>
      </c>
      <c r="D8">
        <v>61.76</v>
      </c>
      <c r="E8" t="s">
        <v>9</v>
      </c>
      <c r="F8" t="s">
        <v>9</v>
      </c>
      <c r="G8" t="s">
        <v>9</v>
      </c>
    </row>
    <row r="9" spans="1:7" x14ac:dyDescent="0.35">
      <c r="A9">
        <v>1994</v>
      </c>
      <c r="B9" s="1" t="s">
        <v>4</v>
      </c>
      <c r="C9">
        <v>30.71</v>
      </c>
      <c r="D9">
        <v>81.14</v>
      </c>
      <c r="E9" t="s">
        <v>9</v>
      </c>
      <c r="F9" t="s">
        <v>9</v>
      </c>
      <c r="G9" t="s">
        <v>9</v>
      </c>
    </row>
    <row r="10" spans="1:7" x14ac:dyDescent="0.35">
      <c r="A10">
        <v>1995</v>
      </c>
      <c r="B10" s="1" t="s">
        <v>5</v>
      </c>
      <c r="C10">
        <v>30.71</v>
      </c>
      <c r="D10">
        <v>61.57</v>
      </c>
      <c r="E10" t="s">
        <v>10</v>
      </c>
      <c r="F10" t="s">
        <v>9</v>
      </c>
      <c r="G10" t="s">
        <v>9</v>
      </c>
    </row>
    <row r="11" spans="1:7" x14ac:dyDescent="0.35">
      <c r="A11">
        <v>1996</v>
      </c>
      <c r="B11" s="1" t="s">
        <v>4</v>
      </c>
      <c r="C11">
        <v>33.07</v>
      </c>
      <c r="D11">
        <v>59.76</v>
      </c>
      <c r="E11" t="s">
        <v>10</v>
      </c>
      <c r="F11" t="s">
        <v>10</v>
      </c>
      <c r="G11" t="s">
        <v>9</v>
      </c>
    </row>
    <row r="12" spans="1:7" x14ac:dyDescent="0.35">
      <c r="A12">
        <v>1997</v>
      </c>
      <c r="B12" s="1" t="s">
        <v>5</v>
      </c>
      <c r="C12">
        <v>31.5</v>
      </c>
      <c r="D12">
        <v>68.290000000000006</v>
      </c>
      <c r="E12" t="s">
        <v>10</v>
      </c>
      <c r="F12" t="s">
        <v>10</v>
      </c>
      <c r="G12" t="s">
        <v>10</v>
      </c>
    </row>
    <row r="13" spans="1:7" x14ac:dyDescent="0.35">
      <c r="A13">
        <v>2000</v>
      </c>
      <c r="B13" s="1" t="s">
        <v>5</v>
      </c>
      <c r="C13">
        <v>29.5</v>
      </c>
      <c r="D13">
        <v>79.14</v>
      </c>
      <c r="E13" t="s">
        <v>10</v>
      </c>
      <c r="F13" t="s">
        <v>10</v>
      </c>
      <c r="G13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workbookViewId="0"/>
  </sheetViews>
  <sheetFormatPr defaultRowHeight="14.5" x14ac:dyDescent="0.35"/>
  <cols>
    <col min="1" max="1" width="23.6328125" bestFit="1" customWidth="1"/>
    <col min="2" max="2" width="16.36328125" bestFit="1" customWidth="1"/>
  </cols>
  <sheetData>
    <row r="1" spans="1:13" x14ac:dyDescent="0.35">
      <c r="M1" t="s">
        <v>107</v>
      </c>
    </row>
    <row r="2" spans="1:13" x14ac:dyDescent="0.35">
      <c r="A2" s="3" t="s">
        <v>11</v>
      </c>
      <c r="B2" s="2" t="s">
        <v>12</v>
      </c>
    </row>
    <row r="3" spans="1:13" x14ac:dyDescent="0.35">
      <c r="A3" s="3" t="s">
        <v>13</v>
      </c>
      <c r="B3" s="2" t="b">
        <v>1</v>
      </c>
    </row>
    <row r="4" spans="1:13" x14ac:dyDescent="0.35">
      <c r="A4" s="3" t="s">
        <v>14</v>
      </c>
      <c r="B4" s="2">
        <v>2</v>
      </c>
    </row>
    <row r="5" spans="1:13" x14ac:dyDescent="0.35">
      <c r="A5" s="3" t="s">
        <v>15</v>
      </c>
      <c r="B5" s="2" t="s">
        <v>16</v>
      </c>
      <c r="D5" s="2"/>
      <c r="E5" s="2" t="s">
        <v>2</v>
      </c>
      <c r="F5" s="2" t="s">
        <v>3</v>
      </c>
      <c r="G5" s="2" t="s">
        <v>1</v>
      </c>
    </row>
    <row r="6" spans="1:13" x14ac:dyDescent="0.35">
      <c r="A6" s="3" t="s">
        <v>17</v>
      </c>
      <c r="B6" s="2" t="s">
        <v>18</v>
      </c>
      <c r="D6" s="2"/>
      <c r="E6" s="2">
        <v>2</v>
      </c>
      <c r="F6" s="2">
        <v>3</v>
      </c>
      <c r="G6" s="2">
        <v>1</v>
      </c>
    </row>
    <row r="7" spans="1:13" x14ac:dyDescent="0.35">
      <c r="A7" s="3" t="s">
        <v>19</v>
      </c>
      <c r="B7" s="2" t="s">
        <v>20</v>
      </c>
      <c r="D7" s="2"/>
      <c r="E7" s="2" t="s">
        <v>21</v>
      </c>
      <c r="F7" s="2" t="s">
        <v>21</v>
      </c>
      <c r="G7" s="2" t="s">
        <v>22</v>
      </c>
    </row>
    <row r="8" spans="1:13" x14ac:dyDescent="0.35">
      <c r="A8" s="3" t="s">
        <v>23</v>
      </c>
      <c r="B8" s="2" t="s">
        <v>24</v>
      </c>
      <c r="D8" s="2"/>
      <c r="E8" s="2" t="s">
        <v>25</v>
      </c>
      <c r="F8" s="2" t="s">
        <v>25</v>
      </c>
      <c r="G8" s="2"/>
    </row>
    <row r="9" spans="1:13" x14ac:dyDescent="0.35">
      <c r="A9" s="3" t="s">
        <v>26</v>
      </c>
      <c r="B9" s="2" t="s">
        <v>27</v>
      </c>
      <c r="D9" s="2"/>
      <c r="E9" s="2" t="s">
        <v>2</v>
      </c>
      <c r="F9" s="2" t="s">
        <v>3</v>
      </c>
      <c r="G9" s="2"/>
    </row>
    <row r="10" spans="1:13" x14ac:dyDescent="0.35">
      <c r="A10" s="3" t="s">
        <v>28</v>
      </c>
      <c r="B10" s="2" t="s">
        <v>29</v>
      </c>
      <c r="D10" s="2">
        <v>-56.152205089844436</v>
      </c>
      <c r="E10" s="2">
        <v>1.3847982361298845</v>
      </c>
      <c r="F10" s="2">
        <v>0.18765722098417287</v>
      </c>
    </row>
    <row r="11" spans="1:13" x14ac:dyDescent="0.35">
      <c r="A11" s="3" t="s">
        <v>30</v>
      </c>
      <c r="B11" s="2">
        <v>1</v>
      </c>
      <c r="E11" s="2" t="s">
        <v>5</v>
      </c>
      <c r="F11" s="2" t="s">
        <v>4</v>
      </c>
    </row>
    <row r="12" spans="1:13" x14ac:dyDescent="0.35">
      <c r="A12" s="3" t="s">
        <v>31</v>
      </c>
      <c r="B12" s="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110"/>
  <sheetViews>
    <sheetView showGridLines="0" topLeftCell="A49" workbookViewId="0">
      <selection activeCell="K55" sqref="K55"/>
    </sheetView>
  </sheetViews>
  <sheetFormatPr defaultRowHeight="14.5" x14ac:dyDescent="0.35"/>
  <cols>
    <col min="4" max="5" width="8.81640625" bestFit="1" customWidth="1"/>
    <col min="6" max="6" width="11.90625" bestFit="1" customWidth="1"/>
    <col min="7" max="9" width="8.81640625" bestFit="1" customWidth="1"/>
    <col min="10" max="10" width="11.81640625" bestFit="1" customWidth="1"/>
    <col min="12" max="12" width="13" bestFit="1" customWidth="1"/>
  </cols>
  <sheetData>
    <row r="1" spans="2:60" ht="18.5" x14ac:dyDescent="0.45">
      <c r="B1" s="4" t="s">
        <v>32</v>
      </c>
      <c r="N1" t="s">
        <v>116</v>
      </c>
      <c r="AZ1" s="2">
        <v>0.7968533036348967</v>
      </c>
      <c r="BA1" s="2" t="str">
        <f>"Yes"</f>
        <v>Yes</v>
      </c>
      <c r="BB1" t="str">
        <f ca="1">IF((OFFSET($A$1, 1 - 1, 52 - 1)) &gt;= (OFFSET($A$1, 67 - 1, 7 - 1)), "Yes","No")</f>
        <v>Yes</v>
      </c>
      <c r="BC1">
        <f ca="1" xml:space="preserve"> IF( AND( OFFSET($A$1, 1 - 1, 53 - 1) = "Yes", OFFSET($A$1, 1 - 1, 54 - 1) = "Yes" ), 1, IF( AND( OFFSET($A$1, 1 - 1, 53 - 1) = "Yes", OFFSET($A$1, 1 - 1, 54 - 1) = "No" ), 2, IF( AND( OFFSET($A$1, 1 - 1, 53 - 1) = "No", OFFSET($A$1, 1 - 1, 54 - 1) = "Yes" ), 3, 4 ) ) )</f>
        <v>1</v>
      </c>
      <c r="BE1" s="2">
        <v>0.66235304021768315</v>
      </c>
      <c r="BF1" s="2" t="str">
        <f>"No"</f>
        <v>No</v>
      </c>
      <c r="BG1" t="str">
        <f ca="1">IF((OFFSET($A$1, 1 - 1, 57 - 1)) &gt;= (OFFSET($A$1, 91 - 1, 7 - 1)), "Yes","No")</f>
        <v>Yes</v>
      </c>
      <c r="BH1">
        <f ca="1" xml:space="preserve"> IF( AND( OFFSET($A$1, 1 - 1, 58 - 1) = "Yes", OFFSET($A$1, 1 - 1, 59 - 1) = "Yes" ), 1, IF( AND( OFFSET($A$1, 1 - 1, 58 - 1) = "Yes", OFFSET($A$1, 1 - 1, 59 - 1) = "No" ), 2, IF( AND( OFFSET($A$1, 1 - 1, 58 - 1) = "No", OFFSET($A$1, 1 - 1, 59 - 1) = "Yes" ), 3, 4 ) ) )</f>
        <v>3</v>
      </c>
    </row>
    <row r="2" spans="2:60" x14ac:dyDescent="0.35">
      <c r="AZ2" s="2">
        <v>0.83246177884505157</v>
      </c>
      <c r="BA2" s="2" t="str">
        <f>"No"</f>
        <v>No</v>
      </c>
      <c r="BB2" t="str">
        <f ca="1">IF((OFFSET($A$1, 2 - 1, 52 - 1)) &gt;= (OFFSET($A$1, 67 - 1, 7 - 1)), "Yes","No")</f>
        <v>Yes</v>
      </c>
      <c r="BC2">
        <f ca="1" xml:space="preserve"> IF( AND( OFFSET($A$1, 2 - 1, 53 - 1) = "Yes", OFFSET($A$1, 2 - 1, 54 - 1) = "Yes" ), 1, IF( AND( OFFSET($A$1, 2 - 1, 53 - 1) = "Yes", OFFSET($A$1, 2 - 1, 54 - 1) = "No" ), 2, IF( AND( OFFSET($A$1, 2 - 1, 53 - 1) = "No", OFFSET($A$1, 2 - 1, 54 - 1) = "Yes" ), 3, 4 ) ) )</f>
        <v>3</v>
      </c>
      <c r="BE2" s="2">
        <v>0.34703839522313917</v>
      </c>
      <c r="BF2" s="2" t="str">
        <f>"No"</f>
        <v>No</v>
      </c>
      <c r="BG2" t="str">
        <f ca="1">IF((OFFSET($A$1, 2 - 1, 57 - 1)) &gt;= (OFFSET($A$1, 91 - 1, 7 - 1)), "Yes","No")</f>
        <v>No</v>
      </c>
      <c r="BH2">
        <f ca="1" xml:space="preserve"> IF( AND( OFFSET($A$1, 2 - 1, 58 - 1) = "Yes", OFFSET($A$1, 2 - 1, 59 - 1) = "Yes" ), 1, IF( AND( OFFSET($A$1, 2 - 1, 58 - 1) = "Yes", OFFSET($A$1, 2 - 1, 59 - 1) = "No" ), 2, IF( AND( OFFSET($A$1, 2 - 1, 58 - 1) = "No", OFFSET($A$1, 2 - 1, 59 - 1) = "Yes" ), 3, 4 ) ) )</f>
        <v>4</v>
      </c>
    </row>
    <row r="3" spans="2:60" ht="15.5" x14ac:dyDescent="0.35">
      <c r="B3" s="12" t="s">
        <v>33</v>
      </c>
      <c r="C3" s="13"/>
      <c r="D3" s="13"/>
      <c r="E3" s="13"/>
      <c r="F3" s="13"/>
      <c r="G3" s="13"/>
      <c r="H3" s="13"/>
      <c r="I3" s="14"/>
      <c r="L3" s="12" t="s">
        <v>34</v>
      </c>
      <c r="M3" s="13"/>
      <c r="N3" s="13"/>
      <c r="O3" s="14"/>
      <c r="AZ3" s="2">
        <v>1.3113529606887896E-2</v>
      </c>
      <c r="BA3" s="2" t="str">
        <f>"No"</f>
        <v>No</v>
      </c>
      <c r="BB3" t="str">
        <f ca="1">IF((OFFSET($A$1, 3 - 1, 52 - 1)) &gt;= (OFFSET($A$1, 67 - 1, 7 - 1)), "Yes","No")</f>
        <v>No</v>
      </c>
      <c r="BC3">
        <f ca="1" xml:space="preserve"> IF( AND( OFFSET($A$1, 3 - 1, 53 - 1) = "Yes", OFFSET($A$1, 3 - 1, 54 - 1) = "Yes" ), 1, IF( AND( OFFSET($A$1, 3 - 1, 53 - 1) = "Yes", OFFSET($A$1, 3 - 1, 54 - 1) = "No" ), 2, IF( AND( OFFSET($A$1, 3 - 1, 53 - 1) = "No", OFFSET($A$1, 3 - 1, 54 - 1) = "Yes" ), 3, 4 ) ) )</f>
        <v>4</v>
      </c>
    </row>
    <row r="4" spans="2:60" x14ac:dyDescent="0.35">
      <c r="B4" s="34" t="s">
        <v>39</v>
      </c>
      <c r="C4" s="22"/>
      <c r="D4" s="34" t="s">
        <v>102</v>
      </c>
      <c r="E4" s="22"/>
      <c r="F4" s="34" t="s">
        <v>103</v>
      </c>
      <c r="G4" s="22"/>
      <c r="H4" s="34" t="s">
        <v>104</v>
      </c>
      <c r="I4" s="22"/>
      <c r="L4" s="7" t="s">
        <v>35</v>
      </c>
      <c r="M4" s="7" t="s">
        <v>36</v>
      </c>
      <c r="N4" s="7" t="s">
        <v>37</v>
      </c>
      <c r="O4" s="7" t="s">
        <v>38</v>
      </c>
      <c r="AZ4" s="2">
        <v>0.50008353558010654</v>
      </c>
      <c r="BA4" s="2" t="str">
        <f>"Yes"</f>
        <v>Yes</v>
      </c>
      <c r="BB4" t="str">
        <f ca="1">IF((OFFSET($A$1, 4 - 1, 52 - 1)) &gt;= (OFFSET($A$1, 67 - 1, 7 - 1)), "Yes","No")</f>
        <v>Yes</v>
      </c>
      <c r="BC4">
        <f ca="1" xml:space="preserve"> IF( AND( OFFSET($A$1, 4 - 1, 53 - 1) = "Yes", OFFSET($A$1, 4 - 1, 54 - 1) = "Yes" ), 1, IF( AND( OFFSET($A$1, 4 - 1, 53 - 1) = "Yes", OFFSET($A$1, 4 - 1, 54 - 1) = "No" ), 2, IF( AND( OFFSET($A$1, 4 - 1, 53 - 1) = "No", OFFSET($A$1, 4 - 1, 54 - 1) = "Yes" ), 3, 4 ) ) )</f>
        <v>1</v>
      </c>
    </row>
    <row r="5" spans="2:60" x14ac:dyDescent="0.35">
      <c r="B5" s="34" t="s">
        <v>105</v>
      </c>
      <c r="C5" s="22"/>
      <c r="D5" s="34" t="s">
        <v>106</v>
      </c>
      <c r="E5" s="22"/>
      <c r="F5" s="34" t="s">
        <v>113</v>
      </c>
      <c r="G5" s="22"/>
      <c r="H5" s="21"/>
      <c r="I5" s="22"/>
      <c r="L5" s="2">
        <v>0</v>
      </c>
      <c r="M5" s="2">
        <v>0</v>
      </c>
      <c r="N5" s="2">
        <v>15</v>
      </c>
      <c r="O5" s="2">
        <v>15</v>
      </c>
      <c r="AZ5" s="2">
        <v>0.45299957988278</v>
      </c>
      <c r="BA5" s="2" t="str">
        <f>"No"</f>
        <v>No</v>
      </c>
      <c r="BB5" t="str">
        <f ca="1">IF((OFFSET($A$1, 5 - 1, 52 - 1)) &gt;= (OFFSET($A$1, 67 - 1, 7 - 1)), "Yes","No")</f>
        <v>No</v>
      </c>
      <c r="BC5">
        <f ca="1" xml:space="preserve"> IF( AND( OFFSET($A$1, 5 - 1, 53 - 1) = "Yes", OFFSET($A$1, 5 - 1, 54 - 1) = "Yes" ), 1, IF( AND( OFFSET($A$1, 5 - 1, 53 - 1) = "Yes", OFFSET($A$1, 5 - 1, 54 - 1) = "No" ), 2, IF( AND( OFFSET($A$1, 5 - 1, 53 - 1) = "No", OFFSET($A$1, 5 - 1, 54 - 1) = "Yes" ), 3, 4 ) ) )</f>
        <v>4</v>
      </c>
    </row>
    <row r="6" spans="2:60" x14ac:dyDescent="0.35">
      <c r="AZ6" s="2">
        <v>0.52725222230087332</v>
      </c>
      <c r="BA6" s="2" t="str">
        <f>"Yes"</f>
        <v>Yes</v>
      </c>
      <c r="BB6" t="str">
        <f ca="1">IF((OFFSET($A$1, 6 - 1, 52 - 1)) &gt;= (OFFSET($A$1, 67 - 1, 7 - 1)), "Yes","No")</f>
        <v>Yes</v>
      </c>
      <c r="BC6">
        <f ca="1" xml:space="preserve"> IF( AND( OFFSET($A$1, 6 - 1, 53 - 1) = "Yes", OFFSET($A$1, 6 - 1, 54 - 1) = "Yes" ), 1, IF( AND( OFFSET($A$1, 6 - 1, 53 - 1) = "Yes", OFFSET($A$1, 6 - 1, 54 - 1) = "No" ), 2, IF( AND( OFFSET($A$1, 6 - 1, 53 - 1) = "No", OFFSET($A$1, 6 - 1, 54 - 1) = "Yes" ), 3, 4 ) ) )</f>
        <v>1</v>
      </c>
    </row>
    <row r="7" spans="2:60" x14ac:dyDescent="0.35">
      <c r="AZ7" s="2">
        <v>5.2954884624674958E-2</v>
      </c>
      <c r="BA7" s="2" t="str">
        <f>"No"</f>
        <v>No</v>
      </c>
      <c r="BB7" t="str">
        <f ca="1">IF((OFFSET($A$1, 7 - 1, 52 - 1)) &gt;= (OFFSET($A$1, 67 - 1, 7 - 1)), "Yes","No")</f>
        <v>No</v>
      </c>
      <c r="BC7">
        <f ca="1" xml:space="preserve"> IF( AND( OFFSET($A$1, 7 - 1, 53 - 1) = "Yes", OFFSET($A$1, 7 - 1, 54 - 1) = "Yes" ), 1, IF( AND( OFFSET($A$1, 7 - 1, 53 - 1) = "Yes", OFFSET($A$1, 7 - 1, 54 - 1) = "No" ), 2, IF( AND( OFFSET($A$1, 7 - 1, 53 - 1) = "No", OFFSET($A$1, 7 - 1, 54 - 1) = "Yes" ), 3, 4 ) ) )</f>
        <v>4</v>
      </c>
    </row>
    <row r="8" spans="2:60" x14ac:dyDescent="0.35">
      <c r="AZ8" s="2">
        <v>0.88499087339117877</v>
      </c>
      <c r="BA8" s="2" t="str">
        <f>"Yes"</f>
        <v>Yes</v>
      </c>
      <c r="BB8" t="str">
        <f ca="1">IF((OFFSET($A$1, 8 - 1, 52 - 1)) &gt;= (OFFSET($A$1, 67 - 1, 7 - 1)), "Yes","No")</f>
        <v>Yes</v>
      </c>
      <c r="BC8">
        <f ca="1" xml:space="preserve"> IF( AND( OFFSET($A$1, 8 - 1, 53 - 1) = "Yes", OFFSET($A$1, 8 - 1, 54 - 1) = "Yes" ), 1, IF( AND( OFFSET($A$1, 8 - 1, 53 - 1) = "Yes", OFFSET($A$1, 8 - 1, 54 - 1) = "No" ), 2, IF( AND( OFFSET($A$1, 8 - 1, 53 - 1) = "No", OFFSET($A$1, 8 - 1, 54 - 1) = "Yes" ), 3, 4 ) ) )</f>
        <v>1</v>
      </c>
    </row>
    <row r="9" spans="2:60" x14ac:dyDescent="0.35">
      <c r="AZ9" s="2">
        <v>9.4378706324042508E-2</v>
      </c>
      <c r="BA9" s="2" t="str">
        <f>"No"</f>
        <v>No</v>
      </c>
      <c r="BB9" t="str">
        <f ca="1">IF((OFFSET($A$1, 9 - 1, 52 - 1)) &gt;= (OFFSET($A$1, 67 - 1, 7 - 1)), "Yes","No")</f>
        <v>No</v>
      </c>
      <c r="BC9">
        <f ca="1" xml:space="preserve"> IF( AND( OFFSET($A$1, 9 - 1, 53 - 1) = "Yes", OFFSET($A$1, 9 - 1, 54 - 1) = "Yes" ), 1, IF( AND( OFFSET($A$1, 9 - 1, 53 - 1) = "Yes", OFFSET($A$1, 9 - 1, 54 - 1) = "No" ), 2, IF( AND( OFFSET($A$1, 9 - 1, 53 - 1) = "No", OFFSET($A$1, 9 - 1, 54 - 1) = "Yes" ), 3, 4 ) ) )</f>
        <v>4</v>
      </c>
    </row>
    <row r="10" spans="2:60" ht="18.5" x14ac:dyDescent="0.45">
      <c r="B10" s="5" t="s">
        <v>39</v>
      </c>
      <c r="AZ10" s="2">
        <v>0.84502619863039108</v>
      </c>
      <c r="BA10" s="2" t="str">
        <f>"Yes"</f>
        <v>Yes</v>
      </c>
      <c r="BB10" t="str">
        <f ca="1">IF((OFFSET($A$1, 10 - 1, 52 - 1)) &gt;= (OFFSET($A$1, 67 - 1, 7 - 1)), "Yes","No")</f>
        <v>Yes</v>
      </c>
      <c r="BC10">
        <f ca="1" xml:space="preserve"> IF( AND( OFFSET($A$1, 10 - 1, 53 - 1) = "Yes", OFFSET($A$1, 10 - 1, 54 - 1) = "Yes" ), 1, IF( AND( OFFSET($A$1, 10 - 1, 53 - 1) = "Yes", OFFSET($A$1, 10 - 1, 54 - 1) = "No" ), 2, IF( AND( OFFSET($A$1, 10 - 1, 53 - 1) = "No", OFFSET($A$1, 10 - 1, 54 - 1) = "Yes" ), 3, 4 ) ) )</f>
        <v>1</v>
      </c>
    </row>
    <row r="12" spans="2:60" ht="15.5" x14ac:dyDescent="0.35">
      <c r="C12" s="12" t="s">
        <v>40</v>
      </c>
      <c r="D12" s="13"/>
      <c r="E12" s="13"/>
      <c r="F12" s="13"/>
      <c r="G12" s="13"/>
      <c r="H12" s="13"/>
      <c r="I12" s="13"/>
      <c r="J12" s="13"/>
      <c r="K12" s="14"/>
    </row>
    <row r="13" spans="2:60" x14ac:dyDescent="0.35">
      <c r="C13" s="15" t="s">
        <v>41</v>
      </c>
      <c r="D13" s="16"/>
      <c r="E13" s="16"/>
      <c r="F13" s="17"/>
      <c r="G13" s="18" t="s">
        <v>42</v>
      </c>
      <c r="H13" s="19"/>
      <c r="I13" s="19"/>
      <c r="J13" s="19"/>
      <c r="K13" s="20"/>
    </row>
    <row r="14" spans="2:60" x14ac:dyDescent="0.35">
      <c r="C14" s="15" t="s">
        <v>43</v>
      </c>
      <c r="D14" s="16"/>
      <c r="E14" s="16"/>
      <c r="F14" s="17"/>
      <c r="G14" s="18" t="s">
        <v>40</v>
      </c>
      <c r="H14" s="19"/>
      <c r="I14" s="19"/>
      <c r="J14" s="19"/>
      <c r="K14" s="20"/>
    </row>
    <row r="15" spans="2:60" x14ac:dyDescent="0.35">
      <c r="C15" s="15" t="s">
        <v>44</v>
      </c>
      <c r="D15" s="16"/>
      <c r="E15" s="16"/>
      <c r="F15" s="17"/>
      <c r="G15" s="18">
        <v>10</v>
      </c>
      <c r="H15" s="19"/>
      <c r="I15" s="19"/>
      <c r="J15" s="19"/>
      <c r="K15" s="20"/>
    </row>
    <row r="16" spans="2:60" x14ac:dyDescent="0.35">
      <c r="C16" s="15" t="s">
        <v>45</v>
      </c>
      <c r="D16" s="16"/>
      <c r="E16" s="16"/>
      <c r="F16" s="17"/>
      <c r="G16" s="18">
        <v>2</v>
      </c>
      <c r="H16" s="19"/>
      <c r="I16" s="19"/>
      <c r="J16" s="19"/>
      <c r="K16" s="20"/>
    </row>
    <row r="18" spans="3:10" ht="15.5" x14ac:dyDescent="0.35">
      <c r="C18" s="12" t="s">
        <v>46</v>
      </c>
      <c r="D18" s="13"/>
      <c r="E18" s="13"/>
      <c r="F18" s="14"/>
    </row>
    <row r="19" spans="3:10" x14ac:dyDescent="0.35">
      <c r="C19" s="15" t="s">
        <v>47</v>
      </c>
      <c r="D19" s="17"/>
      <c r="E19" s="18">
        <v>2</v>
      </c>
      <c r="F19" s="20"/>
    </row>
    <row r="20" spans="3:10" x14ac:dyDescent="0.35">
      <c r="C20" s="15" t="s">
        <v>48</v>
      </c>
      <c r="D20" s="17"/>
      <c r="E20" s="2" t="s">
        <v>2</v>
      </c>
      <c r="F20" s="2" t="s">
        <v>3</v>
      </c>
    </row>
    <row r="21" spans="3:10" x14ac:dyDescent="0.35">
      <c r="C21" s="15" t="s">
        <v>49</v>
      </c>
      <c r="D21" s="17"/>
      <c r="E21" s="21" t="s">
        <v>1</v>
      </c>
      <c r="F21" s="22"/>
    </row>
    <row r="23" spans="3:10" ht="15.5" x14ac:dyDescent="0.35">
      <c r="C23" s="12" t="s">
        <v>50</v>
      </c>
      <c r="D23" s="13"/>
      <c r="E23" s="13"/>
      <c r="F23" s="13"/>
      <c r="G23" s="13"/>
      <c r="H23" s="13"/>
      <c r="I23" s="13"/>
      <c r="J23" s="14"/>
    </row>
    <row r="24" spans="3:10" x14ac:dyDescent="0.35">
      <c r="C24" s="15" t="s">
        <v>51</v>
      </c>
      <c r="D24" s="16"/>
      <c r="E24" s="16"/>
      <c r="F24" s="17"/>
      <c r="G24" s="18" t="s">
        <v>5</v>
      </c>
      <c r="H24" s="19"/>
      <c r="I24" s="19"/>
      <c r="J24" s="20"/>
    </row>
    <row r="25" spans="3:10" x14ac:dyDescent="0.35">
      <c r="C25" s="15" t="s">
        <v>52</v>
      </c>
      <c r="D25" s="16"/>
      <c r="E25" s="16"/>
      <c r="F25" s="17"/>
      <c r="G25" s="18">
        <v>95</v>
      </c>
      <c r="H25" s="19"/>
      <c r="I25" s="19"/>
      <c r="J25" s="20"/>
    </row>
    <row r="26" spans="3:10" x14ac:dyDescent="0.35">
      <c r="C26" s="15" t="s">
        <v>53</v>
      </c>
      <c r="D26" s="16"/>
      <c r="E26" s="16"/>
      <c r="F26" s="17"/>
      <c r="G26" s="18">
        <v>50</v>
      </c>
      <c r="H26" s="19"/>
      <c r="I26" s="19"/>
      <c r="J26" s="20"/>
    </row>
    <row r="27" spans="3:10" x14ac:dyDescent="0.35">
      <c r="C27" s="15" t="s">
        <v>54</v>
      </c>
      <c r="D27" s="16"/>
      <c r="E27" s="16"/>
      <c r="F27" s="17"/>
      <c r="G27" s="18" t="s">
        <v>5</v>
      </c>
      <c r="H27" s="19"/>
      <c r="I27" s="19"/>
      <c r="J27" s="20"/>
    </row>
    <row r="28" spans="3:10" x14ac:dyDescent="0.35">
      <c r="C28" s="15" t="s">
        <v>55</v>
      </c>
      <c r="D28" s="16"/>
      <c r="E28" s="16"/>
      <c r="F28" s="17"/>
      <c r="G28" s="18" t="s">
        <v>5</v>
      </c>
      <c r="H28" s="19"/>
      <c r="I28" s="19"/>
      <c r="J28" s="20"/>
    </row>
    <row r="29" spans="3:10" x14ac:dyDescent="0.35">
      <c r="C29" s="15" t="s">
        <v>56</v>
      </c>
      <c r="D29" s="16"/>
      <c r="E29" s="16"/>
      <c r="F29" s="17"/>
      <c r="G29" s="18" t="s">
        <v>5</v>
      </c>
      <c r="H29" s="19"/>
      <c r="I29" s="19"/>
      <c r="J29" s="20"/>
    </row>
    <row r="31" spans="3:10" ht="15.5" x14ac:dyDescent="0.35">
      <c r="C31" s="12" t="s">
        <v>57</v>
      </c>
      <c r="D31" s="13"/>
      <c r="E31" s="13"/>
      <c r="F31" s="13"/>
      <c r="G31" s="14"/>
    </row>
    <row r="32" spans="3:10" x14ac:dyDescent="0.35">
      <c r="C32" s="21" t="s">
        <v>58</v>
      </c>
      <c r="D32" s="23"/>
      <c r="E32" s="23"/>
      <c r="F32" s="23"/>
      <c r="G32" s="22"/>
    </row>
    <row r="33" spans="2:7" x14ac:dyDescent="0.35">
      <c r="C33" s="21" t="s">
        <v>59</v>
      </c>
      <c r="D33" s="23"/>
      <c r="E33" s="23"/>
      <c r="F33" s="23"/>
      <c r="G33" s="22"/>
    </row>
    <row r="34" spans="2:7" x14ac:dyDescent="0.35">
      <c r="C34" s="21" t="s">
        <v>114</v>
      </c>
      <c r="D34" s="23"/>
      <c r="E34" s="23"/>
      <c r="F34" s="23"/>
      <c r="G34" s="22"/>
    </row>
    <row r="37" spans="2:7" ht="18.5" x14ac:dyDescent="0.45">
      <c r="B37" s="5" t="s">
        <v>60</v>
      </c>
    </row>
    <row r="39" spans="2:7" x14ac:dyDescent="0.35">
      <c r="C39" s="21" t="s">
        <v>61</v>
      </c>
      <c r="D39" s="23"/>
      <c r="E39" s="23"/>
      <c r="F39" s="23"/>
      <c r="G39" s="22"/>
    </row>
    <row r="41" spans="2:7" x14ac:dyDescent="0.35">
      <c r="C41" s="7" t="s">
        <v>62</v>
      </c>
      <c r="D41" s="7" t="s">
        <v>63</v>
      </c>
    </row>
    <row r="42" spans="2:7" x14ac:dyDescent="0.35">
      <c r="C42" s="3" t="s">
        <v>5</v>
      </c>
      <c r="D42" s="2">
        <v>0.5</v>
      </c>
    </row>
    <row r="43" spans="2:7" x14ac:dyDescent="0.35">
      <c r="C43" s="3" t="s">
        <v>4</v>
      </c>
      <c r="D43" s="2">
        <v>0.5</v>
      </c>
    </row>
    <row r="46" spans="2:7" ht="18.5" x14ac:dyDescent="0.45">
      <c r="B46" s="5" t="s">
        <v>64</v>
      </c>
    </row>
    <row r="48" spans="2:7" x14ac:dyDescent="0.35">
      <c r="C48" s="24" t="s">
        <v>65</v>
      </c>
      <c r="D48" s="25"/>
      <c r="E48" s="26"/>
      <c r="F48" s="2">
        <v>5.3601072769119241E-13</v>
      </c>
    </row>
    <row r="50" spans="2:13" ht="15.5" x14ac:dyDescent="0.35">
      <c r="C50" s="27" t="s">
        <v>66</v>
      </c>
      <c r="D50" s="28"/>
      <c r="E50" s="27" t="s">
        <v>67</v>
      </c>
      <c r="F50" s="28"/>
    </row>
    <row r="51" spans="2:13" x14ac:dyDescent="0.35">
      <c r="C51" s="9" t="s">
        <v>68</v>
      </c>
      <c r="D51" s="9" t="s">
        <v>69</v>
      </c>
      <c r="E51" s="9" t="s">
        <v>68</v>
      </c>
      <c r="F51" s="9" t="s">
        <v>69</v>
      </c>
    </row>
    <row r="52" spans="2:13" x14ac:dyDescent="0.35">
      <c r="C52" s="3" t="s">
        <v>70</v>
      </c>
      <c r="D52" s="2">
        <v>8.9703672970751686E-2</v>
      </c>
    </row>
    <row r="53" spans="2:13" x14ac:dyDescent="0.35">
      <c r="C53" s="3" t="s">
        <v>2</v>
      </c>
      <c r="D53" s="2">
        <v>18.240125338455606</v>
      </c>
    </row>
    <row r="54" spans="2:13" x14ac:dyDescent="0.35">
      <c r="C54" s="3" t="s">
        <v>3</v>
      </c>
      <c r="D54" s="2">
        <v>241.40277773878239</v>
      </c>
    </row>
    <row r="57" spans="2:13" ht="18.5" x14ac:dyDescent="0.45">
      <c r="B57" s="5" t="s">
        <v>71</v>
      </c>
    </row>
    <row r="59" spans="2:13" ht="26" x14ac:dyDescent="0.35">
      <c r="C59" s="10" t="s">
        <v>72</v>
      </c>
      <c r="D59" s="8" t="s">
        <v>73</v>
      </c>
      <c r="E59" s="8" t="s">
        <v>74</v>
      </c>
      <c r="F59" s="8" t="s">
        <v>75</v>
      </c>
      <c r="G59" s="8" t="s">
        <v>76</v>
      </c>
      <c r="H59" s="8" t="s">
        <v>77</v>
      </c>
      <c r="I59" s="8" t="s">
        <v>78</v>
      </c>
      <c r="J59" s="8" t="s">
        <v>79</v>
      </c>
      <c r="L59" s="3" t="s">
        <v>80</v>
      </c>
      <c r="M59" s="2">
        <v>7</v>
      </c>
    </row>
    <row r="60" spans="2:13" x14ac:dyDescent="0.35">
      <c r="C60" s="3" t="s">
        <v>70</v>
      </c>
      <c r="D60" s="2">
        <v>-72.46975114443066</v>
      </c>
      <c r="E60" s="2">
        <v>46.819752530951277</v>
      </c>
      <c r="F60" s="2">
        <v>2.3958262127772012</v>
      </c>
      <c r="G60" s="2">
        <v>0.12165945827919963</v>
      </c>
      <c r="H60" s="2">
        <v>3.363465466770548E-32</v>
      </c>
      <c r="I60" s="2">
        <v>0</v>
      </c>
      <c r="J60" s="2">
        <v>239790835.1999886</v>
      </c>
      <c r="L60" s="3" t="s">
        <v>81</v>
      </c>
      <c r="M60" s="2">
        <v>8.8145979855228092</v>
      </c>
    </row>
    <row r="61" spans="2:13" x14ac:dyDescent="0.35">
      <c r="C61" s="3" t="s">
        <v>2</v>
      </c>
      <c r="D61" s="2">
        <v>1.8454622693671354</v>
      </c>
      <c r="E61" s="2">
        <v>1.2019783131825561</v>
      </c>
      <c r="F61" s="2">
        <v>2.3573120542787995</v>
      </c>
      <c r="G61" s="2">
        <v>0.12469688455004299</v>
      </c>
      <c r="H61" s="2">
        <v>6.3310257533267587</v>
      </c>
      <c r="I61" s="2">
        <v>0.60027227521774529</v>
      </c>
      <c r="J61" s="2">
        <v>66.772844164337243</v>
      </c>
      <c r="L61" s="3" t="s">
        <v>82</v>
      </c>
      <c r="M61" s="2">
        <v>3</v>
      </c>
    </row>
    <row r="62" spans="2:13" x14ac:dyDescent="0.35">
      <c r="C62" s="3" t="s">
        <v>3</v>
      </c>
      <c r="D62" s="2">
        <v>0.21981970295215972</v>
      </c>
      <c r="E62" s="2">
        <v>0.15295813012474249</v>
      </c>
      <c r="F62" s="2">
        <v>2.0653235715502141</v>
      </c>
      <c r="G62" s="2">
        <v>0.15068294276364125</v>
      </c>
      <c r="H62" s="2">
        <v>1.2458520868833802</v>
      </c>
      <c r="I62" s="2">
        <v>0.92314152635776414</v>
      </c>
      <c r="J62" s="2">
        <v>1.6813753666955482</v>
      </c>
      <c r="L62" s="3" t="s">
        <v>83</v>
      </c>
      <c r="M62" s="2">
        <v>0.36416115994281983</v>
      </c>
    </row>
    <row r="65" spans="2:13" ht="18.5" x14ac:dyDescent="0.45">
      <c r="B65" s="5" t="s">
        <v>84</v>
      </c>
    </row>
    <row r="67" spans="2:13" x14ac:dyDescent="0.35">
      <c r="C67" s="29" t="s">
        <v>85</v>
      </c>
      <c r="D67" s="30"/>
      <c r="E67" s="30"/>
      <c r="F67" s="31"/>
      <c r="G67" s="11">
        <v>0.5</v>
      </c>
      <c r="H67" s="29" t="s">
        <v>86</v>
      </c>
      <c r="I67" s="30"/>
      <c r="J67" s="30"/>
      <c r="K67" s="30"/>
      <c r="L67" s="30"/>
      <c r="M67" s="31"/>
    </row>
    <row r="69" spans="2:13" ht="15.5" x14ac:dyDescent="0.35">
      <c r="C69" s="12" t="s">
        <v>87</v>
      </c>
      <c r="D69" s="13"/>
      <c r="E69" s="14"/>
    </row>
    <row r="70" spans="2:13" x14ac:dyDescent="0.35">
      <c r="C70" s="7"/>
      <c r="D70" s="32" t="s">
        <v>88</v>
      </c>
      <c r="E70" s="33"/>
    </row>
    <row r="71" spans="2:13" x14ac:dyDescent="0.35">
      <c r="C71" s="3" t="s">
        <v>89</v>
      </c>
      <c r="D71" s="7" t="s">
        <v>4</v>
      </c>
      <c r="E71" s="7" t="s">
        <v>5</v>
      </c>
    </row>
    <row r="72" spans="2:13" x14ac:dyDescent="0.35">
      <c r="C72" s="3" t="s">
        <v>4</v>
      </c>
      <c r="D72" s="2">
        <f ca="1" xml:space="preserve"> COUNTIF( OFFSET($A$1, 1 - 1, 55 - 1, 11, 1), 1 )</f>
        <v>5</v>
      </c>
      <c r="E72" s="2">
        <f ca="1" xml:space="preserve"> COUNTIF( OFFSET($A$1, 1 - 1, 55 - 1, 11, 1), 2 )</f>
        <v>0</v>
      </c>
    </row>
    <row r="73" spans="2:13" x14ac:dyDescent="0.35">
      <c r="C73" s="3" t="s">
        <v>5</v>
      </c>
      <c r="D73" s="2">
        <f ca="1" xml:space="preserve"> COUNTIF( OFFSET($A$1, 1 - 1, 55 - 1, 11, 1), 3 )</f>
        <v>1</v>
      </c>
      <c r="E73" s="2">
        <f ca="1" xml:space="preserve"> COUNTIF( OFFSET($A$1, 1 - 1, 55 - 1, 11, 1), 4 )</f>
        <v>4</v>
      </c>
    </row>
    <row r="75" spans="2:13" ht="15.5" x14ac:dyDescent="0.35">
      <c r="C75" s="12" t="s">
        <v>90</v>
      </c>
      <c r="D75" s="13"/>
      <c r="E75" s="13"/>
      <c r="F75" s="14"/>
    </row>
    <row r="76" spans="2:13" x14ac:dyDescent="0.35">
      <c r="C76" s="7" t="s">
        <v>62</v>
      </c>
      <c r="D76" s="7" t="s">
        <v>91</v>
      </c>
      <c r="E76" s="7" t="s">
        <v>92</v>
      </c>
      <c r="F76" s="7" t="s">
        <v>93</v>
      </c>
    </row>
    <row r="77" spans="2:13" x14ac:dyDescent="0.35">
      <c r="C77" s="3" t="s">
        <v>4</v>
      </c>
      <c r="D77" s="2">
        <f ca="1">SUM(OFFSET($A$1, 72 - 1, 4 - 1, 1, 2))</f>
        <v>5</v>
      </c>
      <c r="E77" s="2">
        <f ca="1">SUM(OFFSET($A$1, 72 - 1, 4 - 1, 1, 2)) - OFFSET($A$1, 72 - 1, 4 - 1)</f>
        <v>0</v>
      </c>
      <c r="F77" s="2">
        <f ca="1">IF(OFFSET($A$1, 77 - 1, 4 - 1)=0,"Undefined",((OFFSET($A$1, 77 - 1, 5 - 1))*100) / (OFFSET($A$1, 77 - 1, 4 - 1)))</f>
        <v>0</v>
      </c>
    </row>
    <row r="78" spans="2:13" x14ac:dyDescent="0.35">
      <c r="C78" s="3" t="s">
        <v>5</v>
      </c>
      <c r="D78" s="2">
        <f ca="1">SUM(OFFSET($A$1, 73 - 1, 4 - 1, 1, 2))</f>
        <v>5</v>
      </c>
      <c r="E78" s="2">
        <f ca="1">SUM(OFFSET($A$1, 73 - 1, 4 - 1, 1, 2)) - OFFSET($A$1, 73 - 1, 5 - 1)</f>
        <v>1</v>
      </c>
      <c r="F78" s="2">
        <f ca="1">IF(OFFSET($A$1, 78 - 1, 4 - 1)=0,"Undefined",((OFFSET($A$1, 78 - 1, 5 - 1))*100) / (OFFSET($A$1, 78 - 1, 4 - 1)))</f>
        <v>20</v>
      </c>
    </row>
    <row r="79" spans="2:13" x14ac:dyDescent="0.35">
      <c r="C79" s="3" t="s">
        <v>94</v>
      </c>
      <c r="D79" s="2">
        <f ca="1">SUM(OFFSET($A$1, 77 - 1, 4 - 1, 2, 1))</f>
        <v>10</v>
      </c>
      <c r="E79" s="2">
        <f ca="1">SUM(OFFSET($A$1, 77 - 1, 5 - 1, 2, 1))</f>
        <v>1</v>
      </c>
      <c r="F79" s="2">
        <f ca="1">IF(OFFSET($A$1, 79 - 1, 4 - 1)=0,"Undefined",((OFFSET($A$1, 79 - 1, 5 - 1))*100) / (OFFSET($A$1, 79 - 1, 4 - 1)))</f>
        <v>10</v>
      </c>
    </row>
    <row r="81" spans="2:13" ht="15.5" x14ac:dyDescent="0.35">
      <c r="C81" s="12" t="s">
        <v>95</v>
      </c>
      <c r="D81" s="13"/>
      <c r="E81" s="14"/>
    </row>
    <row r="82" spans="2:13" x14ac:dyDescent="0.35">
      <c r="C82" s="15" t="s">
        <v>96</v>
      </c>
      <c r="D82" s="17"/>
      <c r="E82" s="6" t="s">
        <v>4</v>
      </c>
    </row>
    <row r="83" spans="2:13" x14ac:dyDescent="0.35">
      <c r="C83" s="15" t="s">
        <v>97</v>
      </c>
      <c r="D83" s="17"/>
      <c r="E83" s="6">
        <f ca="1">IF((OFFSET($A$1, 72 - 1, 4 - 1) + OFFSET($A$1, 73 - 1, 4 - 1)) = 0,"Undefined",OFFSET($A$1, 72 - 1, 4 - 1)/(OFFSET($A$1, 72 - 1, 4 - 1) + OFFSET($A$1, 73 - 1, 4 - 1)))</f>
        <v>0.83333333333333337</v>
      </c>
    </row>
    <row r="84" spans="2:13" x14ac:dyDescent="0.35">
      <c r="C84" s="15" t="s">
        <v>98</v>
      </c>
      <c r="D84" s="17"/>
      <c r="E84" s="6">
        <f ca="1">IF((OFFSET($A$1, 72 - 1, 4 - 1) + OFFSET($A$1, 72 - 1, 5 - 1)) = 0,"Undefined",OFFSET($A$1, 72 - 1, 4 - 1)/(OFFSET($A$1, 72 - 1, 4 - 1) + OFFSET($A$1, 72 - 1, 5 - 1)))</f>
        <v>1</v>
      </c>
    </row>
    <row r="85" spans="2:13" x14ac:dyDescent="0.35">
      <c r="C85" s="15" t="s">
        <v>99</v>
      </c>
      <c r="D85" s="17"/>
      <c r="E85" s="6">
        <f ca="1">IF((OFFSET($A$1, 73 - 1, 4 - 1) + OFFSET($A$1, 73 - 1, 5 - 1)) = 0,"Undefined",OFFSET($A$1, 73 - 1, 5 - 1)/(OFFSET($A$1, 73 - 1, 4 - 1) + OFFSET($A$1, 73 - 1, 5 - 1)))</f>
        <v>0.8</v>
      </c>
    </row>
    <row r="86" spans="2:13" x14ac:dyDescent="0.35">
      <c r="C86" s="15" t="s">
        <v>100</v>
      </c>
      <c r="D86" s="17"/>
      <c r="E86" s="6">
        <f ca="1">IF(OR(OFFSET($A$1, 83 - 1, 5 - 1)="Undefined",OFFSET($A$1, 84 - 1, 5 - 1)="Undefined"),"Undefined",IF((OFFSET($A$1, 83 - 1, 5 - 1) + OFFSET($A$1, 84 - 1, 5 - 1))=0,"Undefined",2*OFFSET($A$1, 83 - 1, 5 - 1)*OFFSET($A$1, 84 - 1, 5 - 1)/(OFFSET($A$1, 83 - 1, 5 - 1)+OFFSET($A$1, 84 - 1, 5 - 1))))</f>
        <v>0.90909090909090906</v>
      </c>
    </row>
    <row r="89" spans="2:13" ht="18.5" x14ac:dyDescent="0.45">
      <c r="B89" s="5" t="s">
        <v>101</v>
      </c>
    </row>
    <row r="91" spans="2:13" x14ac:dyDescent="0.35">
      <c r="C91" s="29" t="s">
        <v>85</v>
      </c>
      <c r="D91" s="30"/>
      <c r="E91" s="30"/>
      <c r="F91" s="31"/>
      <c r="G91" s="11">
        <v>0.5</v>
      </c>
      <c r="H91" s="29" t="s">
        <v>86</v>
      </c>
      <c r="I91" s="30"/>
      <c r="J91" s="30"/>
      <c r="K91" s="30"/>
      <c r="L91" s="30"/>
      <c r="M91" s="31"/>
    </row>
    <row r="93" spans="2:13" ht="15.5" x14ac:dyDescent="0.35">
      <c r="C93" s="12" t="s">
        <v>87</v>
      </c>
      <c r="D93" s="13"/>
      <c r="E93" s="14"/>
    </row>
    <row r="94" spans="2:13" x14ac:dyDescent="0.35">
      <c r="C94" s="7"/>
      <c r="D94" s="32" t="s">
        <v>88</v>
      </c>
      <c r="E94" s="33"/>
    </row>
    <row r="95" spans="2:13" x14ac:dyDescent="0.35">
      <c r="C95" s="3" t="s">
        <v>89</v>
      </c>
      <c r="D95" s="7" t="s">
        <v>4</v>
      </c>
      <c r="E95" s="7" t="s">
        <v>5</v>
      </c>
    </row>
    <row r="96" spans="2:13" x14ac:dyDescent="0.35">
      <c r="C96" s="3" t="s">
        <v>4</v>
      </c>
      <c r="D96" s="2">
        <f ca="1" xml:space="preserve"> COUNTIF( OFFSET($A$1, 1 - 1, 60 - 1, 3, 1), 1 )</f>
        <v>0</v>
      </c>
      <c r="E96" s="2">
        <f ca="1" xml:space="preserve"> COUNTIF( OFFSET($A$1, 1 - 1, 60 - 1, 3, 1), 2 )</f>
        <v>0</v>
      </c>
    </row>
    <row r="97" spans="3:6" x14ac:dyDescent="0.35">
      <c r="C97" s="3" t="s">
        <v>5</v>
      </c>
      <c r="D97" s="2">
        <f ca="1" xml:space="preserve"> COUNTIF( OFFSET($A$1, 1 - 1, 60 - 1, 3, 1), 3 )</f>
        <v>1</v>
      </c>
      <c r="E97" s="2">
        <f ca="1" xml:space="preserve"> COUNTIF( OFFSET($A$1, 1 - 1, 60 - 1, 3, 1), 4 )</f>
        <v>1</v>
      </c>
    </row>
    <row r="99" spans="3:6" ht="15.5" x14ac:dyDescent="0.35">
      <c r="C99" s="12" t="s">
        <v>90</v>
      </c>
      <c r="D99" s="13"/>
      <c r="E99" s="13"/>
      <c r="F99" s="14"/>
    </row>
    <row r="100" spans="3:6" x14ac:dyDescent="0.35">
      <c r="C100" s="7" t="s">
        <v>62</v>
      </c>
      <c r="D100" s="7" t="s">
        <v>91</v>
      </c>
      <c r="E100" s="7" t="s">
        <v>92</v>
      </c>
      <c r="F100" s="7" t="s">
        <v>93</v>
      </c>
    </row>
    <row r="101" spans="3:6" x14ac:dyDescent="0.35">
      <c r="C101" s="3" t="s">
        <v>4</v>
      </c>
      <c r="D101" s="2">
        <f ca="1">SUM(OFFSET($A$1, 96 - 1, 4 - 1, 1, 2))</f>
        <v>0</v>
      </c>
      <c r="E101" s="2">
        <f ca="1">SUM(OFFSET($A$1, 96 - 1, 4 - 1, 1, 2)) - OFFSET($A$1, 96 - 1, 4 - 1)</f>
        <v>0</v>
      </c>
      <c r="F101" s="2" t="str">
        <f ca="1">IF(OFFSET($A$1, 101 - 1, 4 - 1)=0,"Undefined",((OFFSET($A$1, 101 - 1, 5 - 1))*100) / (OFFSET($A$1, 101 - 1, 4 - 1)))</f>
        <v>Undefined</v>
      </c>
    </row>
    <row r="102" spans="3:6" x14ac:dyDescent="0.35">
      <c r="C102" s="3" t="s">
        <v>5</v>
      </c>
      <c r="D102" s="2">
        <f ca="1">SUM(OFFSET($A$1, 97 - 1, 4 - 1, 1, 2))</f>
        <v>2</v>
      </c>
      <c r="E102" s="2">
        <f ca="1">SUM(OFFSET($A$1, 97 - 1, 4 - 1, 1, 2)) - OFFSET($A$1, 97 - 1, 5 - 1)</f>
        <v>1</v>
      </c>
      <c r="F102" s="2">
        <f ca="1">IF(OFFSET($A$1, 102 - 1, 4 - 1)=0,"Undefined",((OFFSET($A$1, 102 - 1, 5 - 1))*100) / (OFFSET($A$1, 102 - 1, 4 - 1)))</f>
        <v>50</v>
      </c>
    </row>
    <row r="103" spans="3:6" x14ac:dyDescent="0.35">
      <c r="C103" s="3" t="s">
        <v>94</v>
      </c>
      <c r="D103" s="2">
        <f ca="1">SUM(OFFSET($A$1, 101 - 1, 4 - 1, 2, 1))</f>
        <v>2</v>
      </c>
      <c r="E103" s="2">
        <f ca="1">SUM(OFFSET($A$1, 101 - 1, 5 - 1, 2, 1))</f>
        <v>1</v>
      </c>
      <c r="F103" s="2">
        <f ca="1">IF(OFFSET($A$1, 103 - 1, 4 - 1)=0,"Undefined",((OFFSET($A$1, 103 - 1, 5 - 1))*100) / (OFFSET($A$1, 103 - 1, 4 - 1)))</f>
        <v>50</v>
      </c>
    </row>
    <row r="105" spans="3:6" ht="15.5" x14ac:dyDescent="0.35">
      <c r="C105" s="12" t="s">
        <v>95</v>
      </c>
      <c r="D105" s="13"/>
      <c r="E105" s="14"/>
    </row>
    <row r="106" spans="3:6" x14ac:dyDescent="0.35">
      <c r="C106" s="15" t="s">
        <v>96</v>
      </c>
      <c r="D106" s="17"/>
      <c r="E106" s="6" t="s">
        <v>4</v>
      </c>
    </row>
    <row r="107" spans="3:6" x14ac:dyDescent="0.35">
      <c r="C107" s="15" t="s">
        <v>97</v>
      </c>
      <c r="D107" s="17"/>
      <c r="E107" s="6">
        <f ca="1">IF((OFFSET($A$1, 96 - 1, 4 - 1) + OFFSET($A$1, 97 - 1, 4 - 1)) = 0,"Undefined",OFFSET($A$1, 96 - 1, 4 - 1)/(OFFSET($A$1, 96 - 1, 4 - 1) + OFFSET($A$1, 97 - 1, 4 - 1)))</f>
        <v>0</v>
      </c>
    </row>
    <row r="108" spans="3:6" x14ac:dyDescent="0.35">
      <c r="C108" s="15" t="s">
        <v>98</v>
      </c>
      <c r="D108" s="17"/>
      <c r="E108" s="6" t="str">
        <f ca="1">IF((OFFSET($A$1, 96 - 1, 4 - 1) + OFFSET($A$1, 96 - 1, 5 - 1)) = 0,"Undefined",OFFSET($A$1, 96 - 1, 4 - 1)/(OFFSET($A$1, 96 - 1, 4 - 1) + OFFSET($A$1, 96 - 1, 5 - 1)))</f>
        <v>Undefined</v>
      </c>
    </row>
    <row r="109" spans="3:6" x14ac:dyDescent="0.35">
      <c r="C109" s="15" t="s">
        <v>99</v>
      </c>
      <c r="D109" s="17"/>
      <c r="E109" s="6">
        <f ca="1">IF((OFFSET($A$1, 97 - 1, 4 - 1) + OFFSET($A$1, 97 - 1, 5 - 1)) = 0,"Undefined",OFFSET($A$1, 97 - 1, 5 - 1)/(OFFSET($A$1, 97 - 1, 4 - 1) + OFFSET($A$1, 97 - 1, 5 - 1)))</f>
        <v>0.5</v>
      </c>
    </row>
    <row r="110" spans="3:6" x14ac:dyDescent="0.35">
      <c r="C110" s="15" t="s">
        <v>100</v>
      </c>
      <c r="D110" s="17"/>
      <c r="E110" s="6" t="str">
        <f ca="1">IF(OR(OFFSET($A$1, 107 - 1, 5 - 1)="Undefined",OFFSET($A$1, 108 - 1, 5 - 1)="Undefined"),"Undefined",IF((OFFSET($A$1, 107 - 1, 5 - 1) + OFFSET($A$1, 108 - 1, 5 - 1))=0,"Undefined",2*OFFSET($A$1, 107 - 1, 5 - 1)*OFFSET($A$1, 108 - 1, 5 - 1)/(OFFSET($A$1, 107 - 1, 5 - 1)+OFFSET($A$1, 108 - 1, 5 - 1))))</f>
        <v>Undefined</v>
      </c>
    </row>
  </sheetData>
  <mergeCells count="68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105:E105"/>
    <mergeCell ref="C106:D106"/>
    <mergeCell ref="C107:D107"/>
    <mergeCell ref="C108:D108"/>
    <mergeCell ref="C109:D109"/>
    <mergeCell ref="C110:D110"/>
    <mergeCell ref="C86:D86"/>
    <mergeCell ref="C91:F91"/>
    <mergeCell ref="H91:M91"/>
    <mergeCell ref="C93:E93"/>
    <mergeCell ref="D94:E94"/>
    <mergeCell ref="C99:F99"/>
    <mergeCell ref="C75:F75"/>
    <mergeCell ref="C81:E81"/>
    <mergeCell ref="C82:D82"/>
    <mergeCell ref="C83:D83"/>
    <mergeCell ref="C84:D84"/>
    <mergeCell ref="C85:D85"/>
    <mergeCell ref="C50:D50"/>
    <mergeCell ref="E50:F50"/>
    <mergeCell ref="C67:F67"/>
    <mergeCell ref="H67:M67"/>
    <mergeCell ref="C69:E69"/>
    <mergeCell ref="D70:E70"/>
    <mergeCell ref="C31:G31"/>
    <mergeCell ref="C32:G32"/>
    <mergeCell ref="C33:G33"/>
    <mergeCell ref="C34:G34"/>
    <mergeCell ref="C39:G39"/>
    <mergeCell ref="C48:E48"/>
    <mergeCell ref="C29:F29"/>
    <mergeCell ref="G24:J24"/>
    <mergeCell ref="G25:J25"/>
    <mergeCell ref="G26:J26"/>
    <mergeCell ref="G27:J27"/>
    <mergeCell ref="G28:J28"/>
    <mergeCell ref="G29:J29"/>
    <mergeCell ref="C23:J23"/>
    <mergeCell ref="C24:F24"/>
    <mergeCell ref="C25:F25"/>
    <mergeCell ref="C26:F26"/>
    <mergeCell ref="C27:F27"/>
    <mergeCell ref="C28:F28"/>
    <mergeCell ref="C18:F18"/>
    <mergeCell ref="C19:D19"/>
    <mergeCell ref="C20:D20"/>
    <mergeCell ref="C21:D21"/>
    <mergeCell ref="E19:F19"/>
    <mergeCell ref="E21:F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R_Output2'!$B$10:$B$10" display="Inputs"/>
    <hyperlink ref="D4" location="'LR_Output2'!$B$37:$B$37" display="Prior Class Prob."/>
    <hyperlink ref="F4" location="'LR_Output2'!$B$46:$B$46" display="Predictors"/>
    <hyperlink ref="H4" location="'LR_Output2'!$B$57:$B$57" display="Regress. Model"/>
    <hyperlink ref="B5" location="'LR_Output2'!$B$65:$B$65" display="Train. Score Summary"/>
    <hyperlink ref="D5" location="'LR_Output2'!$B$89:$B$89" display="Valid. Score Summary"/>
    <hyperlink ref="F5" location="'LR_ValidationScore2'!$B$10:$B$10" display="Valid. Score - Detailed Rep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showGridLines="0" workbookViewId="0">
      <selection activeCell="B14" sqref="B14:G15"/>
    </sheetView>
  </sheetViews>
  <sheetFormatPr defaultRowHeight="14.5" x14ac:dyDescent="0.35"/>
  <cols>
    <col min="4" max="4" width="11.81640625" bestFit="1" customWidth="1"/>
    <col min="7" max="7" width="10.453125" bestFit="1" customWidth="1"/>
    <col min="12" max="12" width="13" bestFit="1" customWidth="1"/>
  </cols>
  <sheetData>
    <row r="1" spans="2:15" ht="18.5" x14ac:dyDescent="0.45">
      <c r="B1" s="4" t="s">
        <v>108</v>
      </c>
      <c r="N1" t="s">
        <v>116</v>
      </c>
    </row>
    <row r="3" spans="2:15" ht="15.5" x14ac:dyDescent="0.35">
      <c r="B3" s="12" t="s">
        <v>33</v>
      </c>
      <c r="C3" s="13"/>
      <c r="D3" s="13"/>
      <c r="E3" s="13"/>
      <c r="F3" s="13"/>
      <c r="G3" s="13"/>
      <c r="H3" s="13"/>
      <c r="I3" s="14"/>
      <c r="L3" s="12" t="s">
        <v>34</v>
      </c>
      <c r="M3" s="13"/>
      <c r="N3" s="13"/>
      <c r="O3" s="14"/>
    </row>
    <row r="4" spans="2:15" x14ac:dyDescent="0.35">
      <c r="B4" s="34" t="s">
        <v>39</v>
      </c>
      <c r="C4" s="22"/>
      <c r="D4" s="34" t="s">
        <v>102</v>
      </c>
      <c r="E4" s="22"/>
      <c r="F4" s="34" t="s">
        <v>103</v>
      </c>
      <c r="G4" s="22"/>
      <c r="H4" s="34" t="s">
        <v>104</v>
      </c>
      <c r="I4" s="22"/>
      <c r="L4" s="7" t="s">
        <v>35</v>
      </c>
      <c r="M4" s="7" t="s">
        <v>36</v>
      </c>
      <c r="N4" s="7" t="s">
        <v>37</v>
      </c>
      <c r="O4" s="7" t="s">
        <v>38</v>
      </c>
    </row>
    <row r="5" spans="2:15" x14ac:dyDescent="0.35">
      <c r="B5" s="34" t="s">
        <v>105</v>
      </c>
      <c r="C5" s="22"/>
      <c r="D5" s="34" t="s">
        <v>106</v>
      </c>
      <c r="E5" s="22"/>
      <c r="F5" s="34" t="s">
        <v>113</v>
      </c>
      <c r="G5" s="22"/>
      <c r="H5" s="21"/>
      <c r="I5" s="22"/>
      <c r="L5" s="2">
        <v>0</v>
      </c>
      <c r="M5" s="2">
        <v>0</v>
      </c>
      <c r="N5" s="2">
        <v>15</v>
      </c>
      <c r="O5" s="2">
        <v>15</v>
      </c>
    </row>
    <row r="10" spans="2:15" x14ac:dyDescent="0.35">
      <c r="B10" s="3" t="s">
        <v>41</v>
      </c>
      <c r="C10" s="21" t="s">
        <v>42</v>
      </c>
      <c r="D10" s="23"/>
      <c r="E10" s="23"/>
      <c r="F10" s="22"/>
    </row>
    <row r="11" spans="2:15" x14ac:dyDescent="0.35">
      <c r="B11" s="3" t="s">
        <v>43</v>
      </c>
      <c r="C11" s="21" t="s">
        <v>40</v>
      </c>
      <c r="D11" s="23"/>
      <c r="E11" s="23"/>
      <c r="F11" s="22"/>
    </row>
    <row r="14" spans="2:15" ht="39" x14ac:dyDescent="0.35">
      <c r="B14" s="10" t="s">
        <v>109</v>
      </c>
      <c r="C14" s="10" t="s">
        <v>110</v>
      </c>
      <c r="D14" s="10" t="s">
        <v>111</v>
      </c>
      <c r="E14" s="8" t="s">
        <v>112</v>
      </c>
      <c r="F14" s="8" t="s">
        <v>2</v>
      </c>
      <c r="G14" s="8" t="s">
        <v>3</v>
      </c>
    </row>
    <row r="15" spans="2:15" x14ac:dyDescent="0.35">
      <c r="B15" s="35" t="s">
        <v>4</v>
      </c>
      <c r="C15" s="35" t="s">
        <v>5</v>
      </c>
      <c r="D15" s="35">
        <v>0.66235304021768315</v>
      </c>
      <c r="E15" s="35">
        <v>0.67379999999999995</v>
      </c>
      <c r="F15" s="35">
        <v>31.5</v>
      </c>
      <c r="G15" s="35">
        <v>68.290000000000006</v>
      </c>
    </row>
    <row r="16" spans="2:15" x14ac:dyDescent="0.35">
      <c r="B16" s="2" t="s">
        <v>5</v>
      </c>
      <c r="C16" s="2" t="s">
        <v>5</v>
      </c>
      <c r="D16" s="2">
        <v>0.34703839522313917</v>
      </c>
      <c r="E16" s="2">
        <v>-0.6321</v>
      </c>
      <c r="F16" s="2">
        <v>29.5</v>
      </c>
      <c r="G16" s="2">
        <v>79.14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LR_Output2'!$B$10:$B$10" display="Inputs"/>
    <hyperlink ref="D4" location="'LR_Output2'!$B$37:$B$37" display="Prior Class Prob."/>
    <hyperlink ref="F4" location="'LR_Output2'!$B$46:$B$46" display="Predictors"/>
    <hyperlink ref="H4" location="'LR_Output2'!$B$57:$B$57" display="Regress. Model"/>
    <hyperlink ref="B5" location="'LR_Output2'!$B$65:$B$65" display="Train. Score Summary"/>
    <hyperlink ref="D5" location="'LR_Output2'!$B$89:$B$89" display="Valid. Score Summary"/>
    <hyperlink ref="F5" location="'LR_ValidationScore2'!$B$10:$B$10" display="Valid. Score - Detailed Rep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workbookViewId="0"/>
  </sheetViews>
  <sheetFormatPr defaultRowHeight="14.5" x14ac:dyDescent="0.35"/>
  <cols>
    <col min="1" max="1" width="23.6328125" bestFit="1" customWidth="1"/>
    <col min="2" max="2" width="16.36328125" bestFit="1" customWidth="1"/>
  </cols>
  <sheetData>
    <row r="1" spans="1:13" x14ac:dyDescent="0.35">
      <c r="M1" t="s">
        <v>116</v>
      </c>
    </row>
    <row r="2" spans="1:13" x14ac:dyDescent="0.35">
      <c r="A2" s="3" t="s">
        <v>11</v>
      </c>
      <c r="B2" s="2" t="s">
        <v>12</v>
      </c>
    </row>
    <row r="3" spans="1:13" x14ac:dyDescent="0.35">
      <c r="A3" s="3" t="s">
        <v>13</v>
      </c>
      <c r="B3" s="2" t="b">
        <v>1</v>
      </c>
    </row>
    <row r="4" spans="1:13" x14ac:dyDescent="0.35">
      <c r="A4" s="3" t="s">
        <v>14</v>
      </c>
      <c r="B4" s="2">
        <v>2</v>
      </c>
    </row>
    <row r="5" spans="1:13" x14ac:dyDescent="0.35">
      <c r="A5" s="3" t="s">
        <v>15</v>
      </c>
      <c r="B5" s="2" t="s">
        <v>16</v>
      </c>
      <c r="D5" s="2"/>
      <c r="E5" s="2" t="s">
        <v>2</v>
      </c>
      <c r="F5" s="2" t="s">
        <v>3</v>
      </c>
      <c r="G5" s="2" t="s">
        <v>1</v>
      </c>
    </row>
    <row r="6" spans="1:13" x14ac:dyDescent="0.35">
      <c r="A6" s="3" t="s">
        <v>17</v>
      </c>
      <c r="B6" s="2" t="s">
        <v>18</v>
      </c>
      <c r="D6" s="2"/>
      <c r="E6" s="2">
        <v>2</v>
      </c>
      <c r="F6" s="2">
        <v>3</v>
      </c>
      <c r="G6" s="2">
        <v>1</v>
      </c>
    </row>
    <row r="7" spans="1:13" x14ac:dyDescent="0.35">
      <c r="A7" s="3" t="s">
        <v>19</v>
      </c>
      <c r="B7" s="2" t="s">
        <v>20</v>
      </c>
      <c r="D7" s="2"/>
      <c r="E7" s="2" t="s">
        <v>21</v>
      </c>
      <c r="F7" s="2" t="s">
        <v>21</v>
      </c>
      <c r="G7" s="2" t="s">
        <v>22</v>
      </c>
    </row>
    <row r="8" spans="1:13" x14ac:dyDescent="0.35">
      <c r="A8" s="3" t="s">
        <v>23</v>
      </c>
      <c r="B8" s="2" t="s">
        <v>24</v>
      </c>
      <c r="D8" s="2"/>
      <c r="E8" s="2" t="s">
        <v>25</v>
      </c>
      <c r="F8" s="2" t="s">
        <v>25</v>
      </c>
      <c r="G8" s="2"/>
    </row>
    <row r="9" spans="1:13" x14ac:dyDescent="0.35">
      <c r="A9" s="3" t="s">
        <v>26</v>
      </c>
      <c r="B9" s="2" t="s">
        <v>27</v>
      </c>
      <c r="D9" s="2"/>
      <c r="E9" s="2" t="s">
        <v>2</v>
      </c>
      <c r="F9" s="2" t="s">
        <v>3</v>
      </c>
      <c r="G9" s="2"/>
    </row>
    <row r="10" spans="1:13" x14ac:dyDescent="0.35">
      <c r="A10" s="3" t="s">
        <v>28</v>
      </c>
      <c r="B10" s="2" t="s">
        <v>29</v>
      </c>
      <c r="D10" s="2">
        <v>-72.46975114443066</v>
      </c>
      <c r="E10" s="2">
        <v>1.8454622693671354</v>
      </c>
      <c r="F10" s="2">
        <v>0.21981970295215972</v>
      </c>
    </row>
    <row r="11" spans="1:13" x14ac:dyDescent="0.35">
      <c r="A11" s="3" t="s">
        <v>30</v>
      </c>
      <c r="B11" s="2">
        <v>1</v>
      </c>
      <c r="E11" s="2" t="s">
        <v>5</v>
      </c>
      <c r="F11" s="2" t="s">
        <v>4</v>
      </c>
    </row>
    <row r="12" spans="1:13" x14ac:dyDescent="0.35">
      <c r="A12" s="3" t="s">
        <v>31</v>
      </c>
      <c r="B12" s="2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110"/>
  <sheetViews>
    <sheetView showGridLines="0" topLeftCell="A46" workbookViewId="0">
      <selection activeCell="B57" sqref="B57:H62"/>
    </sheetView>
  </sheetViews>
  <sheetFormatPr defaultRowHeight="14.5" x14ac:dyDescent="0.35"/>
  <cols>
    <col min="4" max="5" width="8.81640625" bestFit="1" customWidth="1"/>
    <col min="6" max="6" width="11.90625" bestFit="1" customWidth="1"/>
    <col min="7" max="9" width="8.81640625" bestFit="1" customWidth="1"/>
    <col min="10" max="10" width="11.81640625" bestFit="1" customWidth="1"/>
    <col min="12" max="12" width="13" bestFit="1" customWidth="1"/>
  </cols>
  <sheetData>
    <row r="1" spans="2:60" ht="18.5" x14ac:dyDescent="0.45">
      <c r="B1" s="4" t="s">
        <v>32</v>
      </c>
      <c r="N1" t="s">
        <v>115</v>
      </c>
      <c r="AZ1" s="2">
        <v>0.76666898021353991</v>
      </c>
      <c r="BA1" s="2" t="str">
        <f>"Yes"</f>
        <v>Yes</v>
      </c>
      <c r="BB1" t="str">
        <f ca="1">IF((OFFSET($A$1, 1 - 1, 52 - 1)) &gt;= (OFFSET($A$1, 67 - 1, 7 - 1)), "Yes","No")</f>
        <v>Yes</v>
      </c>
      <c r="BC1">
        <f ca="1" xml:space="preserve"> IF( AND( OFFSET($A$1, 1 - 1, 53 - 1) = "Yes", OFFSET($A$1, 1 - 1, 54 - 1) = "Yes" ), 1, IF( AND( OFFSET($A$1, 1 - 1, 53 - 1) = "Yes", OFFSET($A$1, 1 - 1, 54 - 1) = "No" ), 2, IF( AND( OFFSET($A$1, 1 - 1, 53 - 1) = "No", OFFSET($A$1, 1 - 1, 54 - 1) = "Yes" ), 3, 4 ) ) )</f>
        <v>1</v>
      </c>
      <c r="BE1" s="2">
        <v>0.65100636727131111</v>
      </c>
      <c r="BF1" s="2" t="str">
        <f>"Yes"</f>
        <v>Yes</v>
      </c>
      <c r="BG1" t="str">
        <f ca="1">IF((OFFSET($A$1, 1 - 1, 57 - 1)) &gt;= (OFFSET($A$1, 91 - 1, 7 - 1)), "Yes","No")</f>
        <v>Yes</v>
      </c>
      <c r="BH1">
        <f ca="1" xml:space="preserve"> IF( AND( OFFSET($A$1, 1 - 1, 58 - 1) = "Yes", OFFSET($A$1, 1 - 1, 59 - 1) = "Yes" ), 1, IF( AND( OFFSET($A$1, 1 - 1, 58 - 1) = "Yes", OFFSET($A$1, 1 - 1, 59 - 1) = "No" ), 2, IF( AND( OFFSET($A$1, 1 - 1, 58 - 1) = "No", OFFSET($A$1, 1 - 1, 59 - 1) = "Yes" ), 3, 4 ) ) )</f>
        <v>1</v>
      </c>
    </row>
    <row r="2" spans="2:60" x14ac:dyDescent="0.35">
      <c r="AZ2" s="2">
        <v>0.77969837921706053</v>
      </c>
      <c r="BA2" s="2" t="str">
        <f>"No"</f>
        <v>No</v>
      </c>
      <c r="BB2" t="str">
        <f ca="1">IF((OFFSET($A$1, 2 - 1, 52 - 1)) &gt;= (OFFSET($A$1, 67 - 1, 7 - 1)), "Yes","No")</f>
        <v>Yes</v>
      </c>
      <c r="BC2">
        <f ca="1" xml:space="preserve"> IF( AND( OFFSET($A$1, 2 - 1, 53 - 1) = "Yes", OFFSET($A$1, 2 - 1, 54 - 1) = "Yes" ), 1, IF( AND( OFFSET($A$1, 2 - 1, 53 - 1) = "Yes", OFFSET($A$1, 2 - 1, 54 - 1) = "No" ), 2, IF( AND( OFFSET($A$1, 2 - 1, 53 - 1) = "No", OFFSET($A$1, 2 - 1, 54 - 1) = "Yes" ), 3, 4 ) ) )</f>
        <v>3</v>
      </c>
      <c r="BE2" s="2">
        <v>0.52402300955029302</v>
      </c>
      <c r="BF2" s="2" t="str">
        <f>"No"</f>
        <v>No</v>
      </c>
      <c r="BG2" t="str">
        <f ca="1">IF((OFFSET($A$1, 2 - 1, 57 - 1)) &gt;= (OFFSET($A$1, 91 - 1, 7 - 1)), "Yes","No")</f>
        <v>Yes</v>
      </c>
      <c r="BH2">
        <f ca="1" xml:space="preserve"> IF( AND( OFFSET($A$1, 2 - 1, 58 - 1) = "Yes", OFFSET($A$1, 2 - 1, 59 - 1) = "Yes" ), 1, IF( AND( OFFSET($A$1, 2 - 1, 58 - 1) = "Yes", OFFSET($A$1, 2 - 1, 59 - 1) = "No" ), 2, IF( AND( OFFSET($A$1, 2 - 1, 58 - 1) = "No", OFFSET($A$1, 2 - 1, 59 - 1) = "Yes" ), 3, 4 ) ) )</f>
        <v>3</v>
      </c>
    </row>
    <row r="3" spans="2:60" ht="15.5" x14ac:dyDescent="0.35">
      <c r="B3" s="12" t="s">
        <v>33</v>
      </c>
      <c r="C3" s="13"/>
      <c r="D3" s="13"/>
      <c r="E3" s="13"/>
      <c r="F3" s="13"/>
      <c r="G3" s="13"/>
      <c r="H3" s="13"/>
      <c r="I3" s="14"/>
      <c r="L3" s="12" t="s">
        <v>34</v>
      </c>
      <c r="M3" s="13"/>
      <c r="N3" s="13"/>
      <c r="O3" s="14"/>
      <c r="AZ3" s="2">
        <v>3.7935847886970284E-2</v>
      </c>
      <c r="BA3" s="2" t="str">
        <f>"No"</f>
        <v>No</v>
      </c>
      <c r="BB3" t="str">
        <f ca="1">IF((OFFSET($A$1, 3 - 1, 52 - 1)) &gt;= (OFFSET($A$1, 67 - 1, 7 - 1)), "Yes","No")</f>
        <v>No</v>
      </c>
      <c r="BC3">
        <f ca="1" xml:space="preserve"> IF( AND( OFFSET($A$1, 3 - 1, 53 - 1) = "Yes", OFFSET($A$1, 3 - 1, 54 - 1) = "Yes" ), 1, IF( AND( OFFSET($A$1, 3 - 1, 53 - 1) = "Yes", OFFSET($A$1, 3 - 1, 54 - 1) = "No" ), 2, IF( AND( OFFSET($A$1, 3 - 1, 53 - 1) = "No", OFFSET($A$1, 3 - 1, 54 - 1) = "Yes" ), 3, 4 ) ) )</f>
        <v>4</v>
      </c>
      <c r="BE3" s="2">
        <v>0.35914902865418652</v>
      </c>
      <c r="BF3" s="2" t="str">
        <f>"No"</f>
        <v>No</v>
      </c>
      <c r="BG3" t="str">
        <f ca="1">IF((OFFSET($A$1, 3 - 1, 57 - 1)) &gt;= (OFFSET($A$1, 91 - 1, 7 - 1)), "Yes","No")</f>
        <v>No</v>
      </c>
      <c r="BH3">
        <f ca="1" xml:space="preserve"> IF( AND( OFFSET($A$1, 3 - 1, 58 - 1) = "Yes", OFFSET($A$1, 3 - 1, 59 - 1) = "Yes" ), 1, IF( AND( OFFSET($A$1, 3 - 1, 58 - 1) = "Yes", OFFSET($A$1, 3 - 1, 59 - 1) = "No" ), 2, IF( AND( OFFSET($A$1, 3 - 1, 58 - 1) = "No", OFFSET($A$1, 3 - 1, 59 - 1) = "Yes" ), 3, 4 ) ) )</f>
        <v>4</v>
      </c>
    </row>
    <row r="4" spans="2:60" x14ac:dyDescent="0.35">
      <c r="B4" s="34" t="s">
        <v>39</v>
      </c>
      <c r="C4" s="22"/>
      <c r="D4" s="34" t="s">
        <v>102</v>
      </c>
      <c r="E4" s="22"/>
      <c r="F4" s="34" t="s">
        <v>103</v>
      </c>
      <c r="G4" s="22"/>
      <c r="H4" s="34" t="s">
        <v>104</v>
      </c>
      <c r="I4" s="22"/>
      <c r="L4" s="7" t="s">
        <v>35</v>
      </c>
      <c r="M4" s="7" t="s">
        <v>36</v>
      </c>
      <c r="N4" s="7" t="s">
        <v>37</v>
      </c>
      <c r="O4" s="7" t="s">
        <v>38</v>
      </c>
      <c r="AZ4" s="2">
        <v>0.59070520566387852</v>
      </c>
      <c r="BA4" s="2" t="str">
        <f>"Yes"</f>
        <v>Yes</v>
      </c>
      <c r="BB4" t="str">
        <f ca="1">IF((OFFSET($A$1, 4 - 1, 52 - 1)) &gt;= (OFFSET($A$1, 67 - 1, 7 - 1)), "Yes","No")</f>
        <v>Yes</v>
      </c>
      <c r="BC4">
        <f ca="1" xml:space="preserve"> IF( AND( OFFSET($A$1, 4 - 1, 53 - 1) = "Yes", OFFSET($A$1, 4 - 1, 54 - 1) = "Yes" ), 1, IF( AND( OFFSET($A$1, 4 - 1, 53 - 1) = "Yes", OFFSET($A$1, 4 - 1, 54 - 1) = "No" ), 2, IF( AND( OFFSET($A$1, 4 - 1, 53 - 1) = "No", OFFSET($A$1, 4 - 1, 54 - 1) = "Yes" ), 3, 4 ) ) )</f>
        <v>1</v>
      </c>
    </row>
    <row r="5" spans="2:60" x14ac:dyDescent="0.35">
      <c r="B5" s="34" t="s">
        <v>105</v>
      </c>
      <c r="C5" s="22"/>
      <c r="D5" s="34" t="s">
        <v>106</v>
      </c>
      <c r="E5" s="22"/>
      <c r="F5" s="34" t="s">
        <v>113</v>
      </c>
      <c r="G5" s="22"/>
      <c r="H5" s="21"/>
      <c r="I5" s="22"/>
      <c r="L5" s="2">
        <v>0</v>
      </c>
      <c r="M5" s="2">
        <v>0</v>
      </c>
      <c r="N5" s="2">
        <v>15</v>
      </c>
      <c r="O5" s="2">
        <v>15</v>
      </c>
      <c r="AZ5" s="2">
        <v>0.45890690237808418</v>
      </c>
      <c r="BA5" s="2" t="str">
        <f>"No"</f>
        <v>No</v>
      </c>
      <c r="BB5" t="str">
        <f ca="1">IF((OFFSET($A$1, 5 - 1, 52 - 1)) &gt;= (OFFSET($A$1, 67 - 1, 7 - 1)), "Yes","No")</f>
        <v>No</v>
      </c>
      <c r="BC5">
        <f ca="1" xml:space="preserve"> IF( AND( OFFSET($A$1, 5 - 1, 53 - 1) = "Yes", OFFSET($A$1, 5 - 1, 54 - 1) = "Yes" ), 1, IF( AND( OFFSET($A$1, 5 - 1, 53 - 1) = "Yes", OFFSET($A$1, 5 - 1, 54 - 1) = "No" ), 2, IF( AND( OFFSET($A$1, 5 - 1, 53 - 1) = "No", OFFSET($A$1, 5 - 1, 54 - 1) = "Yes" ), 3, 4 ) ) )</f>
        <v>4</v>
      </c>
    </row>
    <row r="6" spans="2:60" x14ac:dyDescent="0.35">
      <c r="AZ6" s="2">
        <v>0.40552847807476872</v>
      </c>
      <c r="BA6" s="2" t="str">
        <f>"Yes"</f>
        <v>Yes</v>
      </c>
      <c r="BB6" t="str">
        <f ca="1">IF((OFFSET($A$1, 6 - 1, 52 - 1)) &gt;= (OFFSET($A$1, 67 - 1, 7 - 1)), "Yes","No")</f>
        <v>No</v>
      </c>
      <c r="BC6">
        <f ca="1" xml:space="preserve"> IF( AND( OFFSET($A$1, 6 - 1, 53 - 1) = "Yes", OFFSET($A$1, 6 - 1, 54 - 1) = "Yes" ), 1, IF( AND( OFFSET($A$1, 6 - 1, 53 - 1) = "Yes", OFFSET($A$1, 6 - 1, 54 - 1) = "No" ), 2, IF( AND( OFFSET($A$1, 6 - 1, 53 - 1) = "No", OFFSET($A$1, 6 - 1, 54 - 1) = "Yes" ), 3, 4 ) ) )</f>
        <v>2</v>
      </c>
    </row>
    <row r="7" spans="2:60" x14ac:dyDescent="0.35">
      <c r="AZ7" s="2">
        <v>4.5279568895886364E-2</v>
      </c>
      <c r="BA7" s="2" t="str">
        <f>"No"</f>
        <v>No</v>
      </c>
      <c r="BB7" t="str">
        <f ca="1">IF((OFFSET($A$1, 7 - 1, 52 - 1)) &gt;= (OFFSET($A$1, 67 - 1, 7 - 1)), "Yes","No")</f>
        <v>No</v>
      </c>
      <c r="BC7">
        <f ca="1" xml:space="preserve"> IF( AND( OFFSET($A$1, 7 - 1, 53 - 1) = "Yes", OFFSET($A$1, 7 - 1, 54 - 1) = "Yes" ), 1, IF( AND( OFFSET($A$1, 7 - 1, 53 - 1) = "Yes", OFFSET($A$1, 7 - 1, 54 - 1) = "No" ), 2, IF( AND( OFFSET($A$1, 7 - 1, 53 - 1) = "No", OFFSET($A$1, 7 - 1, 54 - 1) = "Yes" ), 3, 4 ) ) )</f>
        <v>4</v>
      </c>
    </row>
    <row r="8" spans="2:60" x14ac:dyDescent="0.35">
      <c r="AZ8" s="2">
        <v>0.8426757021655561</v>
      </c>
      <c r="BA8" s="2" t="str">
        <f>"Yes"</f>
        <v>Yes</v>
      </c>
      <c r="BB8" t="str">
        <f ca="1">IF((OFFSET($A$1, 8 - 1, 52 - 1)) &gt;= (OFFSET($A$1, 67 - 1, 7 - 1)), "Yes","No")</f>
        <v>Yes</v>
      </c>
      <c r="BC8">
        <f ca="1" xml:space="preserve"> IF( AND( OFFSET($A$1, 8 - 1, 53 - 1) = "Yes", OFFSET($A$1, 8 - 1, 54 - 1) = "Yes" ), 1, IF( AND( OFFSET($A$1, 8 - 1, 53 - 1) = "Yes", OFFSET($A$1, 8 - 1, 54 - 1) = "No" ), 2, IF( AND( OFFSET($A$1, 8 - 1, 53 - 1) = "No", OFFSET($A$1, 8 - 1, 54 - 1) = "Yes" ), 3, 4 ) ) )</f>
        <v>1</v>
      </c>
    </row>
    <row r="9" spans="2:60" x14ac:dyDescent="0.35">
      <c r="AZ9" s="2">
        <v>7.2666577346376549E-2</v>
      </c>
      <c r="BA9" s="2" t="str">
        <f>"No"</f>
        <v>No</v>
      </c>
      <c r="BB9" t="str">
        <f ca="1">IF((OFFSET($A$1, 9 - 1, 52 - 1)) &gt;= (OFFSET($A$1, 67 - 1, 7 - 1)), "Yes","No")</f>
        <v>No</v>
      </c>
      <c r="BC9">
        <f ca="1" xml:space="preserve"> IF( AND( OFFSET($A$1, 9 - 1, 53 - 1) = "Yes", OFFSET($A$1, 9 - 1, 54 - 1) = "Yes" ), 1, IF( AND( OFFSET($A$1, 9 - 1, 53 - 1) = "Yes", OFFSET($A$1, 9 - 1, 54 - 1) = "No" ), 2, IF( AND( OFFSET($A$1, 9 - 1, 53 - 1) = "No", OFFSET($A$1, 9 - 1, 54 - 1) = "Yes" ), 3, 4 ) ) )</f>
        <v>4</v>
      </c>
    </row>
    <row r="10" spans="2:60" ht="18.5" x14ac:dyDescent="0.45">
      <c r="B10" s="5" t="s">
        <v>39</v>
      </c>
    </row>
    <row r="12" spans="2:60" ht="15.5" x14ac:dyDescent="0.35">
      <c r="C12" s="12" t="s">
        <v>40</v>
      </c>
      <c r="D12" s="13"/>
      <c r="E12" s="13"/>
      <c r="F12" s="13"/>
      <c r="G12" s="13"/>
      <c r="H12" s="13"/>
      <c r="I12" s="13"/>
      <c r="J12" s="13"/>
      <c r="K12" s="14"/>
    </row>
    <row r="13" spans="2:60" x14ac:dyDescent="0.35">
      <c r="C13" s="15" t="s">
        <v>41</v>
      </c>
      <c r="D13" s="16"/>
      <c r="E13" s="16"/>
      <c r="F13" s="17"/>
      <c r="G13" s="18" t="s">
        <v>42</v>
      </c>
      <c r="H13" s="19"/>
      <c r="I13" s="19"/>
      <c r="J13" s="19"/>
      <c r="K13" s="20"/>
    </row>
    <row r="14" spans="2:60" x14ac:dyDescent="0.35">
      <c r="C14" s="15" t="s">
        <v>43</v>
      </c>
      <c r="D14" s="16"/>
      <c r="E14" s="16"/>
      <c r="F14" s="17"/>
      <c r="G14" s="18" t="s">
        <v>40</v>
      </c>
      <c r="H14" s="19"/>
      <c r="I14" s="19"/>
      <c r="J14" s="19"/>
      <c r="K14" s="20"/>
    </row>
    <row r="15" spans="2:60" x14ac:dyDescent="0.35">
      <c r="C15" s="15" t="s">
        <v>44</v>
      </c>
      <c r="D15" s="16"/>
      <c r="E15" s="16"/>
      <c r="F15" s="17"/>
      <c r="G15" s="18">
        <v>9</v>
      </c>
      <c r="H15" s="19"/>
      <c r="I15" s="19"/>
      <c r="J15" s="19"/>
      <c r="K15" s="20"/>
    </row>
    <row r="16" spans="2:60" x14ac:dyDescent="0.35">
      <c r="C16" s="15" t="s">
        <v>45</v>
      </c>
      <c r="D16" s="16"/>
      <c r="E16" s="16"/>
      <c r="F16" s="17"/>
      <c r="G16" s="18">
        <v>3</v>
      </c>
      <c r="H16" s="19"/>
      <c r="I16" s="19"/>
      <c r="J16" s="19"/>
      <c r="K16" s="20"/>
    </row>
    <row r="18" spans="3:10" ht="15.5" x14ac:dyDescent="0.35">
      <c r="C18" s="12" t="s">
        <v>46</v>
      </c>
      <c r="D18" s="13"/>
      <c r="E18" s="13"/>
      <c r="F18" s="14"/>
    </row>
    <row r="19" spans="3:10" x14ac:dyDescent="0.35">
      <c r="C19" s="15" t="s">
        <v>47</v>
      </c>
      <c r="D19" s="17"/>
      <c r="E19" s="18">
        <v>2</v>
      </c>
      <c r="F19" s="20"/>
    </row>
    <row r="20" spans="3:10" x14ac:dyDescent="0.35">
      <c r="C20" s="15" t="s">
        <v>48</v>
      </c>
      <c r="D20" s="17"/>
      <c r="E20" s="2" t="s">
        <v>2</v>
      </c>
      <c r="F20" s="2" t="s">
        <v>3</v>
      </c>
    </row>
    <row r="21" spans="3:10" x14ac:dyDescent="0.35">
      <c r="C21" s="15" t="s">
        <v>49</v>
      </c>
      <c r="D21" s="17"/>
      <c r="E21" s="21" t="s">
        <v>1</v>
      </c>
      <c r="F21" s="22"/>
    </row>
    <row r="23" spans="3:10" ht="15.5" x14ac:dyDescent="0.35">
      <c r="C23" s="12" t="s">
        <v>50</v>
      </c>
      <c r="D23" s="13"/>
      <c r="E23" s="13"/>
      <c r="F23" s="13"/>
      <c r="G23" s="13"/>
      <c r="H23" s="13"/>
      <c r="I23" s="13"/>
      <c r="J23" s="14"/>
    </row>
    <row r="24" spans="3:10" x14ac:dyDescent="0.35">
      <c r="C24" s="15" t="s">
        <v>51</v>
      </c>
      <c r="D24" s="16"/>
      <c r="E24" s="16"/>
      <c r="F24" s="17"/>
      <c r="G24" s="18" t="s">
        <v>5</v>
      </c>
      <c r="H24" s="19"/>
      <c r="I24" s="19"/>
      <c r="J24" s="20"/>
    </row>
    <row r="25" spans="3:10" x14ac:dyDescent="0.35">
      <c r="C25" s="15" t="s">
        <v>52</v>
      </c>
      <c r="D25" s="16"/>
      <c r="E25" s="16"/>
      <c r="F25" s="17"/>
      <c r="G25" s="18">
        <v>95</v>
      </c>
      <c r="H25" s="19"/>
      <c r="I25" s="19"/>
      <c r="J25" s="20"/>
    </row>
    <row r="26" spans="3:10" x14ac:dyDescent="0.35">
      <c r="C26" s="15" t="s">
        <v>53</v>
      </c>
      <c r="D26" s="16"/>
      <c r="E26" s="16"/>
      <c r="F26" s="17"/>
      <c r="G26" s="18">
        <v>50</v>
      </c>
      <c r="H26" s="19"/>
      <c r="I26" s="19"/>
      <c r="J26" s="20"/>
    </row>
    <row r="27" spans="3:10" x14ac:dyDescent="0.35">
      <c r="C27" s="15" t="s">
        <v>54</v>
      </c>
      <c r="D27" s="16"/>
      <c r="E27" s="16"/>
      <c r="F27" s="17"/>
      <c r="G27" s="18" t="s">
        <v>5</v>
      </c>
      <c r="H27" s="19"/>
      <c r="I27" s="19"/>
      <c r="J27" s="20"/>
    </row>
    <row r="28" spans="3:10" x14ac:dyDescent="0.35">
      <c r="C28" s="15" t="s">
        <v>55</v>
      </c>
      <c r="D28" s="16"/>
      <c r="E28" s="16"/>
      <c r="F28" s="17"/>
      <c r="G28" s="18" t="s">
        <v>5</v>
      </c>
      <c r="H28" s="19"/>
      <c r="I28" s="19"/>
      <c r="J28" s="20"/>
    </row>
    <row r="29" spans="3:10" x14ac:dyDescent="0.35">
      <c r="C29" s="15" t="s">
        <v>56</v>
      </c>
      <c r="D29" s="16"/>
      <c r="E29" s="16"/>
      <c r="F29" s="17"/>
      <c r="G29" s="18" t="s">
        <v>5</v>
      </c>
      <c r="H29" s="19"/>
      <c r="I29" s="19"/>
      <c r="J29" s="20"/>
    </row>
    <row r="31" spans="3:10" ht="15.5" x14ac:dyDescent="0.35">
      <c r="C31" s="12" t="s">
        <v>57</v>
      </c>
      <c r="D31" s="13"/>
      <c r="E31" s="13"/>
      <c r="F31" s="13"/>
      <c r="G31" s="14"/>
    </row>
    <row r="32" spans="3:10" x14ac:dyDescent="0.35">
      <c r="C32" s="21" t="s">
        <v>58</v>
      </c>
      <c r="D32" s="23"/>
      <c r="E32" s="23"/>
      <c r="F32" s="23"/>
      <c r="G32" s="22"/>
    </row>
    <row r="33" spans="2:7" x14ac:dyDescent="0.35">
      <c r="C33" s="21" t="s">
        <v>59</v>
      </c>
      <c r="D33" s="23"/>
      <c r="E33" s="23"/>
      <c r="F33" s="23"/>
      <c r="G33" s="22"/>
    </row>
    <row r="34" spans="2:7" x14ac:dyDescent="0.35">
      <c r="C34" s="21" t="s">
        <v>114</v>
      </c>
      <c r="D34" s="23"/>
      <c r="E34" s="23"/>
      <c r="F34" s="23"/>
      <c r="G34" s="22"/>
    </row>
    <row r="37" spans="2:7" ht="18.5" x14ac:dyDescent="0.45">
      <c r="B37" s="5" t="s">
        <v>60</v>
      </c>
    </row>
    <row r="39" spans="2:7" x14ac:dyDescent="0.35">
      <c r="C39" s="21" t="s">
        <v>61</v>
      </c>
      <c r="D39" s="23"/>
      <c r="E39" s="23"/>
      <c r="F39" s="23"/>
      <c r="G39" s="22"/>
    </row>
    <row r="41" spans="2:7" x14ac:dyDescent="0.35">
      <c r="C41" s="7" t="s">
        <v>62</v>
      </c>
      <c r="D41" s="7" t="s">
        <v>63</v>
      </c>
    </row>
    <row r="42" spans="2:7" x14ac:dyDescent="0.35">
      <c r="C42" s="3" t="s">
        <v>5</v>
      </c>
      <c r="D42" s="2">
        <v>0.55555555555555558</v>
      </c>
    </row>
    <row r="43" spans="2:7" x14ac:dyDescent="0.35">
      <c r="C43" s="3" t="s">
        <v>4</v>
      </c>
      <c r="D43" s="2">
        <v>0.44444444444444442</v>
      </c>
    </row>
    <row r="46" spans="2:7" ht="18.5" x14ac:dyDescent="0.45">
      <c r="B46" s="5" t="s">
        <v>64</v>
      </c>
    </row>
    <row r="48" spans="2:7" x14ac:dyDescent="0.35">
      <c r="C48" s="24" t="s">
        <v>65</v>
      </c>
      <c r="D48" s="25"/>
      <c r="E48" s="26"/>
      <c r="F48" s="2">
        <v>4.6739433309212826E-13</v>
      </c>
    </row>
    <row r="50" spans="2:13" ht="15.5" x14ac:dyDescent="0.35">
      <c r="C50" s="27" t="s">
        <v>66</v>
      </c>
      <c r="D50" s="28"/>
      <c r="E50" s="27" t="s">
        <v>67</v>
      </c>
      <c r="F50" s="28"/>
    </row>
    <row r="51" spans="2:13" x14ac:dyDescent="0.35">
      <c r="C51" s="9" t="s">
        <v>68</v>
      </c>
      <c r="D51" s="9" t="s">
        <v>69</v>
      </c>
      <c r="E51" s="9" t="s">
        <v>68</v>
      </c>
      <c r="F51" s="9" t="s">
        <v>69</v>
      </c>
    </row>
    <row r="52" spans="2:13" x14ac:dyDescent="0.35">
      <c r="C52" s="3" t="s">
        <v>70</v>
      </c>
      <c r="D52" s="2">
        <v>8.6111387248290705E-2</v>
      </c>
    </row>
    <row r="53" spans="2:13" x14ac:dyDescent="0.35">
      <c r="C53" s="3" t="s">
        <v>2</v>
      </c>
      <c r="D53" s="2">
        <v>15.116686338122145</v>
      </c>
    </row>
    <row r="54" spans="2:13" x14ac:dyDescent="0.35">
      <c r="C54" s="3" t="s">
        <v>3</v>
      </c>
      <c r="D54" s="2">
        <v>233.8889554895656</v>
      </c>
    </row>
    <row r="57" spans="2:13" ht="18.5" x14ac:dyDescent="0.45">
      <c r="B57" s="5" t="s">
        <v>71</v>
      </c>
    </row>
    <row r="59" spans="2:13" ht="26" x14ac:dyDescent="0.35">
      <c r="C59" s="10" t="s">
        <v>72</v>
      </c>
      <c r="D59" s="8" t="s">
        <v>73</v>
      </c>
      <c r="E59" s="8" t="s">
        <v>74</v>
      </c>
      <c r="F59" s="8" t="s">
        <v>75</v>
      </c>
      <c r="G59" s="8" t="s">
        <v>76</v>
      </c>
      <c r="H59" s="8" t="s">
        <v>77</v>
      </c>
      <c r="I59" s="8" t="s">
        <v>78</v>
      </c>
      <c r="J59" s="8" t="s">
        <v>79</v>
      </c>
      <c r="L59" s="3" t="s">
        <v>80</v>
      </c>
      <c r="M59" s="2">
        <v>6</v>
      </c>
    </row>
    <row r="60" spans="2:13" x14ac:dyDescent="0.35">
      <c r="C60" s="3" t="s">
        <v>70</v>
      </c>
      <c r="D60" s="2">
        <v>-62.171456345100268</v>
      </c>
      <c r="E60" s="2">
        <v>44.966225047741744</v>
      </c>
      <c r="F60" s="2">
        <v>1.9116537009779533</v>
      </c>
      <c r="G60" s="2">
        <v>0.16677967854410503</v>
      </c>
      <c r="H60" s="2">
        <v>9.9834254084405652E-28</v>
      </c>
      <c r="I60" s="2">
        <v>0</v>
      </c>
      <c r="J60" s="2">
        <v>188191381596.91852</v>
      </c>
      <c r="L60" s="3" t="s">
        <v>81</v>
      </c>
      <c r="M60" s="2">
        <v>8.3065003477506192</v>
      </c>
    </row>
    <row r="61" spans="2:13" x14ac:dyDescent="0.35">
      <c r="C61" s="3" t="s">
        <v>2</v>
      </c>
      <c r="D61" s="2">
        <v>1.5087432117744208</v>
      </c>
      <c r="E61" s="2">
        <v>1.1785276091306007</v>
      </c>
      <c r="F61" s="2">
        <v>1.6388950215834086</v>
      </c>
      <c r="G61" s="2">
        <v>0.20047714299597247</v>
      </c>
      <c r="H61" s="2">
        <v>4.5210452258776952</v>
      </c>
      <c r="I61" s="2">
        <v>0.44882220172739051</v>
      </c>
      <c r="J61" s="2">
        <v>45.541084767563348</v>
      </c>
      <c r="L61" s="3" t="s">
        <v>82</v>
      </c>
      <c r="M61" s="2">
        <v>3</v>
      </c>
    </row>
    <row r="62" spans="2:13" x14ac:dyDescent="0.35">
      <c r="C62" s="3" t="s">
        <v>3</v>
      </c>
      <c r="D62" s="2">
        <v>0.21587657424581685</v>
      </c>
      <c r="E62" s="2">
        <v>0.14926027080956139</v>
      </c>
      <c r="F62" s="2">
        <v>2.0918116853169106</v>
      </c>
      <c r="G62" s="2">
        <v>0.14809036240948287</v>
      </c>
      <c r="H62" s="2">
        <v>1.2409492044565613</v>
      </c>
      <c r="I62" s="2">
        <v>0.92619713255580183</v>
      </c>
      <c r="J62" s="2">
        <v>1.6626643226501165</v>
      </c>
      <c r="L62" s="3" t="s">
        <v>83</v>
      </c>
      <c r="M62" s="2">
        <v>0.32824155343960015</v>
      </c>
    </row>
    <row r="65" spans="2:13" ht="18.5" x14ac:dyDescent="0.45">
      <c r="B65" s="5" t="s">
        <v>84</v>
      </c>
    </row>
    <row r="67" spans="2:13" x14ac:dyDescent="0.35">
      <c r="C67" s="29" t="s">
        <v>85</v>
      </c>
      <c r="D67" s="30"/>
      <c r="E67" s="30"/>
      <c r="F67" s="31"/>
      <c r="G67" s="11">
        <v>0.5</v>
      </c>
      <c r="H67" s="29" t="s">
        <v>86</v>
      </c>
      <c r="I67" s="30"/>
      <c r="J67" s="30"/>
      <c r="K67" s="30"/>
      <c r="L67" s="30"/>
      <c r="M67" s="31"/>
    </row>
    <row r="69" spans="2:13" ht="15.5" x14ac:dyDescent="0.35">
      <c r="C69" s="12" t="s">
        <v>87</v>
      </c>
      <c r="D69" s="13"/>
      <c r="E69" s="14"/>
    </row>
    <row r="70" spans="2:13" x14ac:dyDescent="0.35">
      <c r="C70" s="7"/>
      <c r="D70" s="32" t="s">
        <v>88</v>
      </c>
      <c r="E70" s="33"/>
    </row>
    <row r="71" spans="2:13" x14ac:dyDescent="0.35">
      <c r="C71" s="3" t="s">
        <v>89</v>
      </c>
      <c r="D71" s="7" t="s">
        <v>4</v>
      </c>
      <c r="E71" s="7" t="s">
        <v>5</v>
      </c>
    </row>
    <row r="72" spans="2:13" x14ac:dyDescent="0.35">
      <c r="C72" s="3" t="s">
        <v>4</v>
      </c>
      <c r="D72" s="2">
        <f ca="1" xml:space="preserve"> COUNTIF( OFFSET($A$1, 1 - 1, 55 - 1, 10, 1), 1 )</f>
        <v>3</v>
      </c>
      <c r="E72" s="2">
        <f ca="1" xml:space="preserve"> COUNTIF( OFFSET($A$1, 1 - 1, 55 - 1, 10, 1), 2 )</f>
        <v>1</v>
      </c>
    </row>
    <row r="73" spans="2:13" x14ac:dyDescent="0.35">
      <c r="C73" s="3" t="s">
        <v>5</v>
      </c>
      <c r="D73" s="2">
        <f ca="1" xml:space="preserve"> COUNTIF( OFFSET($A$1, 1 - 1, 55 - 1, 10, 1), 3 )</f>
        <v>1</v>
      </c>
      <c r="E73" s="2">
        <f ca="1" xml:space="preserve"> COUNTIF( OFFSET($A$1, 1 - 1, 55 - 1, 10, 1), 4 )</f>
        <v>4</v>
      </c>
    </row>
    <row r="75" spans="2:13" ht="15.5" x14ac:dyDescent="0.35">
      <c r="C75" s="12" t="s">
        <v>90</v>
      </c>
      <c r="D75" s="13"/>
      <c r="E75" s="13"/>
      <c r="F75" s="14"/>
    </row>
    <row r="76" spans="2:13" x14ac:dyDescent="0.35">
      <c r="C76" s="7" t="s">
        <v>62</v>
      </c>
      <c r="D76" s="7" t="s">
        <v>91</v>
      </c>
      <c r="E76" s="7" t="s">
        <v>92</v>
      </c>
      <c r="F76" s="7" t="s">
        <v>93</v>
      </c>
    </row>
    <row r="77" spans="2:13" x14ac:dyDescent="0.35">
      <c r="C77" s="3" t="s">
        <v>4</v>
      </c>
      <c r="D77" s="2">
        <f ca="1">SUM(OFFSET($A$1, 72 - 1, 4 - 1, 1, 2))</f>
        <v>4</v>
      </c>
      <c r="E77" s="2">
        <f ca="1">SUM(OFFSET($A$1, 72 - 1, 4 - 1, 1, 2)) - OFFSET($A$1, 72 - 1, 4 - 1)</f>
        <v>1</v>
      </c>
      <c r="F77" s="2">
        <f ca="1">IF(OFFSET($A$1, 77 - 1, 4 - 1)=0,"Undefined",((OFFSET($A$1, 77 - 1, 5 - 1))*100) / (OFFSET($A$1, 77 - 1, 4 - 1)))</f>
        <v>25</v>
      </c>
    </row>
    <row r="78" spans="2:13" x14ac:dyDescent="0.35">
      <c r="C78" s="3" t="s">
        <v>5</v>
      </c>
      <c r="D78" s="2">
        <f ca="1">SUM(OFFSET($A$1, 73 - 1, 4 - 1, 1, 2))</f>
        <v>5</v>
      </c>
      <c r="E78" s="2">
        <f ca="1">SUM(OFFSET($A$1, 73 - 1, 4 - 1, 1, 2)) - OFFSET($A$1, 73 - 1, 5 - 1)</f>
        <v>1</v>
      </c>
      <c r="F78" s="2">
        <f ca="1">IF(OFFSET($A$1, 78 - 1, 4 - 1)=0,"Undefined",((OFFSET($A$1, 78 - 1, 5 - 1))*100) / (OFFSET($A$1, 78 - 1, 4 - 1)))</f>
        <v>20</v>
      </c>
    </row>
    <row r="79" spans="2:13" x14ac:dyDescent="0.35">
      <c r="C79" s="3" t="s">
        <v>94</v>
      </c>
      <c r="D79" s="2">
        <f ca="1">SUM(OFFSET($A$1, 77 - 1, 4 - 1, 2, 1))</f>
        <v>9</v>
      </c>
      <c r="E79" s="2">
        <f ca="1">SUM(OFFSET($A$1, 77 - 1, 5 - 1, 2, 1))</f>
        <v>2</v>
      </c>
      <c r="F79" s="2">
        <f ca="1">IF(OFFSET($A$1, 79 - 1, 4 - 1)=0,"Undefined",((OFFSET($A$1, 79 - 1, 5 - 1))*100) / (OFFSET($A$1, 79 - 1, 4 - 1)))</f>
        <v>22.222222222222221</v>
      </c>
    </row>
    <row r="81" spans="2:13" ht="15.5" x14ac:dyDescent="0.35">
      <c r="C81" s="12" t="s">
        <v>95</v>
      </c>
      <c r="D81" s="13"/>
      <c r="E81" s="14"/>
    </row>
    <row r="82" spans="2:13" x14ac:dyDescent="0.35">
      <c r="C82" s="15" t="s">
        <v>96</v>
      </c>
      <c r="D82" s="17"/>
      <c r="E82" s="6" t="s">
        <v>4</v>
      </c>
    </row>
    <row r="83" spans="2:13" x14ac:dyDescent="0.35">
      <c r="C83" s="15" t="s">
        <v>97</v>
      </c>
      <c r="D83" s="17"/>
      <c r="E83" s="6">
        <f ca="1">IF((OFFSET($A$1, 72 - 1, 4 - 1) + OFFSET($A$1, 73 - 1, 4 - 1)) = 0,"Undefined",OFFSET($A$1, 72 - 1, 4 - 1)/(OFFSET($A$1, 72 - 1, 4 - 1) + OFFSET($A$1, 73 - 1, 4 - 1)))</f>
        <v>0.75</v>
      </c>
    </row>
    <row r="84" spans="2:13" x14ac:dyDescent="0.35">
      <c r="C84" s="15" t="s">
        <v>98</v>
      </c>
      <c r="D84" s="17"/>
      <c r="E84" s="6">
        <f ca="1">IF((OFFSET($A$1, 72 - 1, 4 - 1) + OFFSET($A$1, 72 - 1, 5 - 1)) = 0,"Undefined",OFFSET($A$1, 72 - 1, 4 - 1)/(OFFSET($A$1, 72 - 1, 4 - 1) + OFFSET($A$1, 72 - 1, 5 - 1)))</f>
        <v>0.75</v>
      </c>
    </row>
    <row r="85" spans="2:13" x14ac:dyDescent="0.35">
      <c r="C85" s="15" t="s">
        <v>99</v>
      </c>
      <c r="D85" s="17"/>
      <c r="E85" s="6">
        <f ca="1">IF((OFFSET($A$1, 73 - 1, 4 - 1) + OFFSET($A$1, 73 - 1, 5 - 1)) = 0,"Undefined",OFFSET($A$1, 73 - 1, 5 - 1)/(OFFSET($A$1, 73 - 1, 4 - 1) + OFFSET($A$1, 73 - 1, 5 - 1)))</f>
        <v>0.8</v>
      </c>
    </row>
    <row r="86" spans="2:13" x14ac:dyDescent="0.35">
      <c r="C86" s="15" t="s">
        <v>100</v>
      </c>
      <c r="D86" s="17"/>
      <c r="E86" s="6">
        <f ca="1">IF(OR(OFFSET($A$1, 83 - 1, 5 - 1)="Undefined",OFFSET($A$1, 84 - 1, 5 - 1)="Undefined"),"Undefined",IF((OFFSET($A$1, 83 - 1, 5 - 1) + OFFSET($A$1, 84 - 1, 5 - 1))=0,"Undefined",2*OFFSET($A$1, 83 - 1, 5 - 1)*OFFSET($A$1, 84 - 1, 5 - 1)/(OFFSET($A$1, 83 - 1, 5 - 1)+OFFSET($A$1, 84 - 1, 5 - 1))))</f>
        <v>0.75</v>
      </c>
    </row>
    <row r="89" spans="2:13" ht="18.5" x14ac:dyDescent="0.45">
      <c r="B89" s="5" t="s">
        <v>101</v>
      </c>
    </row>
    <row r="91" spans="2:13" x14ac:dyDescent="0.35">
      <c r="C91" s="29" t="s">
        <v>85</v>
      </c>
      <c r="D91" s="30"/>
      <c r="E91" s="30"/>
      <c r="F91" s="31"/>
      <c r="G91" s="11">
        <v>0.5</v>
      </c>
      <c r="H91" s="29" t="s">
        <v>86</v>
      </c>
      <c r="I91" s="30"/>
      <c r="J91" s="30"/>
      <c r="K91" s="30"/>
      <c r="L91" s="30"/>
      <c r="M91" s="31"/>
    </row>
    <row r="93" spans="2:13" ht="15.5" x14ac:dyDescent="0.35">
      <c r="C93" s="12" t="s">
        <v>87</v>
      </c>
      <c r="D93" s="13"/>
      <c r="E93" s="14"/>
    </row>
    <row r="94" spans="2:13" x14ac:dyDescent="0.35">
      <c r="C94" s="7"/>
      <c r="D94" s="32" t="s">
        <v>88</v>
      </c>
      <c r="E94" s="33"/>
    </row>
    <row r="95" spans="2:13" x14ac:dyDescent="0.35">
      <c r="C95" s="3" t="s">
        <v>89</v>
      </c>
      <c r="D95" s="7" t="s">
        <v>4</v>
      </c>
      <c r="E95" s="7" t="s">
        <v>5</v>
      </c>
    </row>
    <row r="96" spans="2:13" x14ac:dyDescent="0.35">
      <c r="C96" s="3" t="s">
        <v>4</v>
      </c>
      <c r="D96" s="2">
        <f ca="1" xml:space="preserve"> COUNTIF( OFFSET($A$1, 1 - 1, 60 - 1, 4, 1), 1 )</f>
        <v>1</v>
      </c>
      <c r="E96" s="2">
        <f ca="1" xml:space="preserve"> COUNTIF( OFFSET($A$1, 1 - 1, 60 - 1, 4, 1), 2 )</f>
        <v>0</v>
      </c>
    </row>
    <row r="97" spans="3:6" x14ac:dyDescent="0.35">
      <c r="C97" s="3" t="s">
        <v>5</v>
      </c>
      <c r="D97" s="2">
        <f ca="1" xml:space="preserve"> COUNTIF( OFFSET($A$1, 1 - 1, 60 - 1, 4, 1), 3 )</f>
        <v>1</v>
      </c>
      <c r="E97" s="2">
        <f ca="1" xml:space="preserve"> COUNTIF( OFFSET($A$1, 1 - 1, 60 - 1, 4, 1), 4 )</f>
        <v>1</v>
      </c>
    </row>
    <row r="99" spans="3:6" ht="15.5" x14ac:dyDescent="0.35">
      <c r="C99" s="12" t="s">
        <v>90</v>
      </c>
      <c r="D99" s="13"/>
      <c r="E99" s="13"/>
      <c r="F99" s="14"/>
    </row>
    <row r="100" spans="3:6" x14ac:dyDescent="0.35">
      <c r="C100" s="7" t="s">
        <v>62</v>
      </c>
      <c r="D100" s="7" t="s">
        <v>91</v>
      </c>
      <c r="E100" s="7" t="s">
        <v>92</v>
      </c>
      <c r="F100" s="7" t="s">
        <v>93</v>
      </c>
    </row>
    <row r="101" spans="3:6" x14ac:dyDescent="0.35">
      <c r="C101" s="3" t="s">
        <v>4</v>
      </c>
      <c r="D101" s="2">
        <f ca="1">SUM(OFFSET($A$1, 96 - 1, 4 - 1, 1, 2))</f>
        <v>1</v>
      </c>
      <c r="E101" s="2">
        <f ca="1">SUM(OFFSET($A$1, 96 - 1, 4 - 1, 1, 2)) - OFFSET($A$1, 96 - 1, 4 - 1)</f>
        <v>0</v>
      </c>
      <c r="F101" s="2">
        <f ca="1">IF(OFFSET($A$1, 101 - 1, 4 - 1)=0,"Undefined",((OFFSET($A$1, 101 - 1, 5 - 1))*100) / (OFFSET($A$1, 101 - 1, 4 - 1)))</f>
        <v>0</v>
      </c>
    </row>
    <row r="102" spans="3:6" x14ac:dyDescent="0.35">
      <c r="C102" s="3" t="s">
        <v>5</v>
      </c>
      <c r="D102" s="2">
        <f ca="1">SUM(OFFSET($A$1, 97 - 1, 4 - 1, 1, 2))</f>
        <v>2</v>
      </c>
      <c r="E102" s="2">
        <f ca="1">SUM(OFFSET($A$1, 97 - 1, 4 - 1, 1, 2)) - OFFSET($A$1, 97 - 1, 5 - 1)</f>
        <v>1</v>
      </c>
      <c r="F102" s="2">
        <f ca="1">IF(OFFSET($A$1, 102 - 1, 4 - 1)=0,"Undefined",((OFFSET($A$1, 102 - 1, 5 - 1))*100) / (OFFSET($A$1, 102 - 1, 4 - 1)))</f>
        <v>50</v>
      </c>
    </row>
    <row r="103" spans="3:6" x14ac:dyDescent="0.35">
      <c r="C103" s="3" t="s">
        <v>94</v>
      </c>
      <c r="D103" s="2">
        <f ca="1">SUM(OFFSET($A$1, 101 - 1, 4 - 1, 2, 1))</f>
        <v>3</v>
      </c>
      <c r="E103" s="2">
        <f ca="1">SUM(OFFSET($A$1, 101 - 1, 5 - 1, 2, 1))</f>
        <v>1</v>
      </c>
      <c r="F103" s="2">
        <f ca="1">IF(OFFSET($A$1, 103 - 1, 4 - 1)=0,"Undefined",((OFFSET($A$1, 103 - 1, 5 - 1))*100) / (OFFSET($A$1, 103 - 1, 4 - 1)))</f>
        <v>33.333333333333336</v>
      </c>
    </row>
    <row r="105" spans="3:6" ht="15.5" x14ac:dyDescent="0.35">
      <c r="C105" s="12" t="s">
        <v>95</v>
      </c>
      <c r="D105" s="13"/>
      <c r="E105" s="14"/>
    </row>
    <row r="106" spans="3:6" x14ac:dyDescent="0.35">
      <c r="C106" s="15" t="s">
        <v>96</v>
      </c>
      <c r="D106" s="17"/>
      <c r="E106" s="6" t="s">
        <v>4</v>
      </c>
    </row>
    <row r="107" spans="3:6" x14ac:dyDescent="0.35">
      <c r="C107" s="15" t="s">
        <v>97</v>
      </c>
      <c r="D107" s="17"/>
      <c r="E107" s="6">
        <f ca="1">IF((OFFSET($A$1, 96 - 1, 4 - 1) + OFFSET($A$1, 97 - 1, 4 - 1)) = 0,"Undefined",OFFSET($A$1, 96 - 1, 4 - 1)/(OFFSET($A$1, 96 - 1, 4 - 1) + OFFSET($A$1, 97 - 1, 4 - 1)))</f>
        <v>0.5</v>
      </c>
    </row>
    <row r="108" spans="3:6" x14ac:dyDescent="0.35">
      <c r="C108" s="15" t="s">
        <v>98</v>
      </c>
      <c r="D108" s="17"/>
      <c r="E108" s="6">
        <f ca="1">IF((OFFSET($A$1, 96 - 1, 4 - 1) + OFFSET($A$1, 96 - 1, 5 - 1)) = 0,"Undefined",OFFSET($A$1, 96 - 1, 4 - 1)/(OFFSET($A$1, 96 - 1, 4 - 1) + OFFSET($A$1, 96 - 1, 5 - 1)))</f>
        <v>1</v>
      </c>
    </row>
    <row r="109" spans="3:6" x14ac:dyDescent="0.35">
      <c r="C109" s="15" t="s">
        <v>99</v>
      </c>
      <c r="D109" s="17"/>
      <c r="E109" s="6">
        <f ca="1">IF((OFFSET($A$1, 97 - 1, 4 - 1) + OFFSET($A$1, 97 - 1, 5 - 1)) = 0,"Undefined",OFFSET($A$1, 97 - 1, 5 - 1)/(OFFSET($A$1, 97 - 1, 4 - 1) + OFFSET($A$1, 97 - 1, 5 - 1)))</f>
        <v>0.5</v>
      </c>
    </row>
    <row r="110" spans="3:6" x14ac:dyDescent="0.35">
      <c r="C110" s="15" t="s">
        <v>100</v>
      </c>
      <c r="D110" s="17"/>
      <c r="E110" s="6">
        <f ca="1">IF(OR(OFFSET($A$1, 107 - 1, 5 - 1)="Undefined",OFFSET($A$1, 108 - 1, 5 - 1)="Undefined"),"Undefined",IF((OFFSET($A$1, 107 - 1, 5 - 1) + OFFSET($A$1, 108 - 1, 5 - 1))=0,"Undefined",2*OFFSET($A$1, 107 - 1, 5 - 1)*OFFSET($A$1, 108 - 1, 5 - 1)/(OFFSET($A$1, 107 - 1, 5 - 1)+OFFSET($A$1, 108 - 1, 5 - 1))))</f>
        <v>0.66666666666666663</v>
      </c>
    </row>
  </sheetData>
  <mergeCells count="68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105:E105"/>
    <mergeCell ref="C106:D106"/>
    <mergeCell ref="C107:D107"/>
    <mergeCell ref="C108:D108"/>
    <mergeCell ref="C109:D109"/>
    <mergeCell ref="C110:D110"/>
    <mergeCell ref="C86:D86"/>
    <mergeCell ref="C91:F91"/>
    <mergeCell ref="H91:M91"/>
    <mergeCell ref="C93:E93"/>
    <mergeCell ref="D94:E94"/>
    <mergeCell ref="C99:F99"/>
    <mergeCell ref="C75:F75"/>
    <mergeCell ref="C81:E81"/>
    <mergeCell ref="C82:D82"/>
    <mergeCell ref="C83:D83"/>
    <mergeCell ref="C84:D84"/>
    <mergeCell ref="C85:D85"/>
    <mergeCell ref="C50:D50"/>
    <mergeCell ref="E50:F50"/>
    <mergeCell ref="C67:F67"/>
    <mergeCell ref="H67:M67"/>
    <mergeCell ref="C69:E69"/>
    <mergeCell ref="D70:E70"/>
    <mergeCell ref="C31:G31"/>
    <mergeCell ref="C32:G32"/>
    <mergeCell ref="C33:G33"/>
    <mergeCell ref="C34:G34"/>
    <mergeCell ref="C39:G39"/>
    <mergeCell ref="C48:E48"/>
    <mergeCell ref="C29:F29"/>
    <mergeCell ref="G24:J24"/>
    <mergeCell ref="G25:J25"/>
    <mergeCell ref="G26:J26"/>
    <mergeCell ref="G27:J27"/>
    <mergeCell ref="G28:J28"/>
    <mergeCell ref="G29:J29"/>
    <mergeCell ref="C23:J23"/>
    <mergeCell ref="C24:F24"/>
    <mergeCell ref="C25:F25"/>
    <mergeCell ref="C26:F26"/>
    <mergeCell ref="C27:F27"/>
    <mergeCell ref="C28:F28"/>
    <mergeCell ref="C18:F18"/>
    <mergeCell ref="C19:D19"/>
    <mergeCell ref="C20:D20"/>
    <mergeCell ref="C21:D21"/>
    <mergeCell ref="E19:F19"/>
    <mergeCell ref="E21:F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R_Output1'!$B$10:$B$10" display="Inputs"/>
    <hyperlink ref="D4" location="'LR_Output1'!$B$37:$B$37" display="Prior Class Prob."/>
    <hyperlink ref="F4" location="'LR_Output1'!$B$46:$B$46" display="Predictors"/>
    <hyperlink ref="H4" location="'LR_Output1'!$B$57:$B$57" display="Regress. Model"/>
    <hyperlink ref="B5" location="'LR_Output1'!$B$65:$B$65" display="Train. Score Summary"/>
    <hyperlink ref="D5" location="'LR_Output1'!$B$89:$B$89" display="Valid. Score Summary"/>
    <hyperlink ref="F5" location="'LR_ValidationScore1'!$B$10:$B$10" display="Valid. Score - Detailed Rep.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14" sqref="B14:G15"/>
    </sheetView>
  </sheetViews>
  <sheetFormatPr defaultRowHeight="14.5" x14ac:dyDescent="0.35"/>
  <cols>
    <col min="4" max="4" width="11.81640625" bestFit="1" customWidth="1"/>
    <col min="7" max="7" width="10.453125" bestFit="1" customWidth="1"/>
    <col min="12" max="12" width="13" bestFit="1" customWidth="1"/>
  </cols>
  <sheetData>
    <row r="1" spans="2:15" ht="18.5" x14ac:dyDescent="0.45">
      <c r="B1" s="4" t="s">
        <v>108</v>
      </c>
      <c r="N1" t="s">
        <v>115</v>
      </c>
    </row>
    <row r="3" spans="2:15" ht="15.5" x14ac:dyDescent="0.35">
      <c r="B3" s="12" t="s">
        <v>33</v>
      </c>
      <c r="C3" s="13"/>
      <c r="D3" s="13"/>
      <c r="E3" s="13"/>
      <c r="F3" s="13"/>
      <c r="G3" s="13"/>
      <c r="H3" s="13"/>
      <c r="I3" s="14"/>
      <c r="L3" s="12" t="s">
        <v>34</v>
      </c>
      <c r="M3" s="13"/>
      <c r="N3" s="13"/>
      <c r="O3" s="14"/>
    </row>
    <row r="4" spans="2:15" x14ac:dyDescent="0.35">
      <c r="B4" s="34" t="s">
        <v>39</v>
      </c>
      <c r="C4" s="22"/>
      <c r="D4" s="34" t="s">
        <v>102</v>
      </c>
      <c r="E4" s="22"/>
      <c r="F4" s="34" t="s">
        <v>103</v>
      </c>
      <c r="G4" s="22"/>
      <c r="H4" s="34" t="s">
        <v>104</v>
      </c>
      <c r="I4" s="22"/>
      <c r="L4" s="7" t="s">
        <v>35</v>
      </c>
      <c r="M4" s="7" t="s">
        <v>36</v>
      </c>
      <c r="N4" s="7" t="s">
        <v>37</v>
      </c>
      <c r="O4" s="7" t="s">
        <v>38</v>
      </c>
    </row>
    <row r="5" spans="2:15" x14ac:dyDescent="0.35">
      <c r="B5" s="34" t="s">
        <v>105</v>
      </c>
      <c r="C5" s="22"/>
      <c r="D5" s="34" t="s">
        <v>106</v>
      </c>
      <c r="E5" s="22"/>
      <c r="F5" s="34" t="s">
        <v>113</v>
      </c>
      <c r="G5" s="22"/>
      <c r="H5" s="21"/>
      <c r="I5" s="22"/>
      <c r="L5" s="2">
        <v>0</v>
      </c>
      <c r="M5" s="2">
        <v>0</v>
      </c>
      <c r="N5" s="2">
        <v>15</v>
      </c>
      <c r="O5" s="2">
        <v>15</v>
      </c>
    </row>
    <row r="10" spans="2:15" x14ac:dyDescent="0.35">
      <c r="B10" s="3" t="s">
        <v>41</v>
      </c>
      <c r="C10" s="21" t="s">
        <v>42</v>
      </c>
      <c r="D10" s="23"/>
      <c r="E10" s="23"/>
      <c r="F10" s="22"/>
    </row>
    <row r="11" spans="2:15" x14ac:dyDescent="0.35">
      <c r="B11" s="3" t="s">
        <v>43</v>
      </c>
      <c r="C11" s="21" t="s">
        <v>40</v>
      </c>
      <c r="D11" s="23"/>
      <c r="E11" s="23"/>
      <c r="F11" s="22"/>
    </row>
    <row r="14" spans="2:15" ht="39" x14ac:dyDescent="0.35">
      <c r="B14" s="10" t="s">
        <v>109</v>
      </c>
      <c r="C14" s="10" t="s">
        <v>110</v>
      </c>
      <c r="D14" s="10" t="s">
        <v>111</v>
      </c>
      <c r="E14" s="8" t="s">
        <v>112</v>
      </c>
      <c r="F14" s="8" t="s">
        <v>2</v>
      </c>
      <c r="G14" s="8" t="s">
        <v>3</v>
      </c>
    </row>
    <row r="15" spans="2:15" x14ac:dyDescent="0.35">
      <c r="B15" s="2" t="s">
        <v>4</v>
      </c>
      <c r="C15" s="2" t="s">
        <v>4</v>
      </c>
      <c r="D15" s="2">
        <v>0.65100636727131111</v>
      </c>
      <c r="E15" s="2">
        <v>0.62350000000000005</v>
      </c>
      <c r="F15" s="2">
        <v>33.07</v>
      </c>
      <c r="G15" s="2">
        <v>59.76</v>
      </c>
    </row>
    <row r="16" spans="2:15" x14ac:dyDescent="0.35">
      <c r="B16" s="35" t="s">
        <v>4</v>
      </c>
      <c r="C16" s="35" t="s">
        <v>5</v>
      </c>
      <c r="D16" s="35">
        <v>0.52402300955029302</v>
      </c>
      <c r="E16" s="35">
        <v>9.6199999999999994E-2</v>
      </c>
      <c r="F16" s="35">
        <v>31.5</v>
      </c>
      <c r="G16" s="35">
        <v>68.290000000000006</v>
      </c>
    </row>
    <row r="17" spans="2:7" x14ac:dyDescent="0.35">
      <c r="B17" s="2" t="s">
        <v>5</v>
      </c>
      <c r="C17" s="2" t="s">
        <v>5</v>
      </c>
      <c r="D17" s="2">
        <v>0.35914902865418652</v>
      </c>
      <c r="E17" s="2">
        <v>-0.57909999999999995</v>
      </c>
      <c r="F17" s="2">
        <v>29.5</v>
      </c>
      <c r="G17" s="2">
        <v>79.14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LR_Output1'!$B$10:$B$10" display="Inputs"/>
    <hyperlink ref="D4" location="'LR_Output1'!$B$37:$B$37" display="Prior Class Prob."/>
    <hyperlink ref="F4" location="'LR_Output1'!$B$46:$B$46" display="Predictors"/>
    <hyperlink ref="H4" location="'LR_Output1'!$B$57:$B$57" display="Regress. Model"/>
    <hyperlink ref="B5" location="'LR_Output1'!$B$65:$B$65" display="Train. Score Summary"/>
    <hyperlink ref="D5" location="'LR_Output1'!$B$89:$B$89" display="Valid. Score Summary"/>
    <hyperlink ref="F5" location="'LR_ValidationScore1'!$B$10:$B$10" display="Valid. Score - Detailed Rep.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showGridLines="0" workbookViewId="0"/>
  </sheetViews>
  <sheetFormatPr defaultRowHeight="14.5" x14ac:dyDescent="0.35"/>
  <cols>
    <col min="1" max="1" width="23.6328125" bestFit="1" customWidth="1"/>
    <col min="2" max="2" width="16.36328125" bestFit="1" customWidth="1"/>
  </cols>
  <sheetData>
    <row r="1" spans="1:13" x14ac:dyDescent="0.35">
      <c r="M1" t="s">
        <v>115</v>
      </c>
    </row>
    <row r="2" spans="1:13" x14ac:dyDescent="0.35">
      <c r="A2" s="3" t="s">
        <v>11</v>
      </c>
      <c r="B2" s="2" t="s">
        <v>12</v>
      </c>
    </row>
    <row r="3" spans="1:13" x14ac:dyDescent="0.35">
      <c r="A3" s="3" t="s">
        <v>13</v>
      </c>
      <c r="B3" s="2" t="b">
        <v>1</v>
      </c>
    </row>
    <row r="4" spans="1:13" x14ac:dyDescent="0.35">
      <c r="A4" s="3" t="s">
        <v>14</v>
      </c>
      <c r="B4" s="2">
        <v>2</v>
      </c>
    </row>
    <row r="5" spans="1:13" x14ac:dyDescent="0.35">
      <c r="A5" s="3" t="s">
        <v>15</v>
      </c>
      <c r="B5" s="2" t="s">
        <v>16</v>
      </c>
      <c r="D5" s="2"/>
      <c r="E5" s="2" t="s">
        <v>2</v>
      </c>
      <c r="F5" s="2" t="s">
        <v>3</v>
      </c>
      <c r="G5" s="2" t="s">
        <v>1</v>
      </c>
    </row>
    <row r="6" spans="1:13" x14ac:dyDescent="0.35">
      <c r="A6" s="3" t="s">
        <v>17</v>
      </c>
      <c r="B6" s="2" t="s">
        <v>18</v>
      </c>
      <c r="D6" s="2"/>
      <c r="E6" s="2">
        <v>2</v>
      </c>
      <c r="F6" s="2">
        <v>3</v>
      </c>
      <c r="G6" s="2">
        <v>1</v>
      </c>
    </row>
    <row r="7" spans="1:13" x14ac:dyDescent="0.35">
      <c r="A7" s="3" t="s">
        <v>19</v>
      </c>
      <c r="B7" s="2" t="s">
        <v>20</v>
      </c>
      <c r="D7" s="2"/>
      <c r="E7" s="2" t="s">
        <v>21</v>
      </c>
      <c r="F7" s="2" t="s">
        <v>21</v>
      </c>
      <c r="G7" s="2" t="s">
        <v>22</v>
      </c>
    </row>
    <row r="8" spans="1:13" x14ac:dyDescent="0.35">
      <c r="A8" s="3" t="s">
        <v>23</v>
      </c>
      <c r="B8" s="2" t="s">
        <v>24</v>
      </c>
      <c r="D8" s="2"/>
      <c r="E8" s="2" t="s">
        <v>25</v>
      </c>
      <c r="F8" s="2" t="s">
        <v>25</v>
      </c>
      <c r="G8" s="2"/>
    </row>
    <row r="9" spans="1:13" x14ac:dyDescent="0.35">
      <c r="A9" s="3" t="s">
        <v>26</v>
      </c>
      <c r="B9" s="2" t="s">
        <v>27</v>
      </c>
      <c r="D9" s="2"/>
      <c r="E9" s="2" t="s">
        <v>2</v>
      </c>
      <c r="F9" s="2" t="s">
        <v>3</v>
      </c>
      <c r="G9" s="2"/>
    </row>
    <row r="10" spans="1:13" x14ac:dyDescent="0.35">
      <c r="A10" s="3" t="s">
        <v>28</v>
      </c>
      <c r="B10" s="2" t="s">
        <v>29</v>
      </c>
      <c r="D10" s="2">
        <v>-62.171456345100268</v>
      </c>
      <c r="E10" s="2">
        <v>1.5087432117744208</v>
      </c>
      <c r="F10" s="2">
        <v>0.21587657424581685</v>
      </c>
    </row>
    <row r="11" spans="1:13" x14ac:dyDescent="0.35">
      <c r="A11" s="3" t="s">
        <v>30</v>
      </c>
      <c r="B11" s="2">
        <v>1</v>
      </c>
      <c r="E11" s="2" t="s">
        <v>5</v>
      </c>
      <c r="F11" s="2" t="s">
        <v>4</v>
      </c>
    </row>
    <row r="12" spans="1:13" x14ac:dyDescent="0.35">
      <c r="A12" s="3" t="s">
        <v>31</v>
      </c>
      <c r="B12" s="2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110"/>
  <sheetViews>
    <sheetView showGridLines="0" topLeftCell="A69" workbookViewId="0">
      <selection activeCell="B65" sqref="B65:G79"/>
    </sheetView>
  </sheetViews>
  <sheetFormatPr defaultRowHeight="14.5" x14ac:dyDescent="0.35"/>
  <cols>
    <col min="4" max="5" width="8.81640625" bestFit="1" customWidth="1"/>
    <col min="6" max="6" width="11.90625" bestFit="1" customWidth="1"/>
    <col min="7" max="9" width="8.81640625" bestFit="1" customWidth="1"/>
    <col min="10" max="10" width="11.81640625" bestFit="1" customWidth="1"/>
    <col min="12" max="12" width="13" bestFit="1" customWidth="1"/>
  </cols>
  <sheetData>
    <row r="1" spans="2:60" ht="18.5" x14ac:dyDescent="0.45">
      <c r="B1" s="4" t="s">
        <v>32</v>
      </c>
      <c r="N1" t="s">
        <v>107</v>
      </c>
      <c r="AZ1" s="2">
        <v>0.75674040031714263</v>
      </c>
      <c r="BA1" s="2" t="str">
        <f>"Yes"</f>
        <v>Yes</v>
      </c>
      <c r="BB1" t="str">
        <f ca="1">IF((OFFSET($A$1, 1 - 1, 52 - 1)) &gt;= (OFFSET($A$1, 67 - 1, 7 - 1)), "Yes","No")</f>
        <v>Yes</v>
      </c>
      <c r="BC1">
        <f ca="1" xml:space="preserve"> IF( AND( OFFSET($A$1, 1 - 1, 53 - 1) = "Yes", OFFSET($A$1, 1 - 1, 54 - 1) = "Yes" ), 1, IF( AND( OFFSET($A$1, 1 - 1, 53 - 1) = "Yes", OFFSET($A$1, 1 - 1, 54 - 1) = "No" ), 2, IF( AND( OFFSET($A$1, 1 - 1, 53 - 1) = "No", OFFSET($A$1, 1 - 1, 54 - 1) = "Yes" ), 3, 4 ) ) )</f>
        <v>1</v>
      </c>
      <c r="BE1" s="2">
        <v>0.11194796617574579</v>
      </c>
      <c r="BF1" s="2" t="str">
        <f>"No"</f>
        <v>No</v>
      </c>
      <c r="BG1" t="str">
        <f ca="1">IF((OFFSET($A$1, 1 - 1, 57 - 1)) &gt;= (OFFSET($A$1, 91 - 1, 7 - 1)), "Yes","No")</f>
        <v>No</v>
      </c>
      <c r="BH1">
        <f ca="1" xml:space="preserve"> IF( AND( OFFSET($A$1, 1 - 1, 58 - 1) = "Yes", OFFSET($A$1, 1 - 1, 59 - 1) = "Yes" ), 1, IF( AND( OFFSET($A$1, 1 - 1, 58 - 1) = "Yes", OFFSET($A$1, 1 - 1, 59 - 1) = "No" ), 2, IF( AND( OFFSET($A$1, 1 - 1, 58 - 1) = "No", OFFSET($A$1, 1 - 1, 59 - 1) = "Yes" ), 3, 4 ) ) )</f>
        <v>4</v>
      </c>
    </row>
    <row r="2" spans="2:60" x14ac:dyDescent="0.35">
      <c r="AZ2" s="2">
        <v>0.77514492069526575</v>
      </c>
      <c r="BA2" s="2" t="str">
        <f>"No"</f>
        <v>No</v>
      </c>
      <c r="BB2" t="str">
        <f ca="1">IF((OFFSET($A$1, 2 - 1, 52 - 1)) &gt;= (OFFSET($A$1, 67 - 1, 7 - 1)), "Yes","No")</f>
        <v>Yes</v>
      </c>
      <c r="BC2">
        <f ca="1" xml:space="preserve"> IF( AND( OFFSET($A$1, 2 - 1, 53 - 1) = "Yes", OFFSET($A$1, 2 - 1, 54 - 1) = "Yes" ), 1, IF( AND( OFFSET($A$1, 2 - 1, 53 - 1) = "Yes", OFFSET($A$1, 2 - 1, 54 - 1) = "No" ), 2, IF( AND( OFFSET($A$1, 2 - 1, 53 - 1) = "No", OFFSET($A$1, 2 - 1, 54 - 1) = "Yes" ), 3, 4 ) ) )</f>
        <v>3</v>
      </c>
      <c r="BE2" s="2">
        <v>0.70213139762697208</v>
      </c>
      <c r="BF2" s="2" t="str">
        <f>"Yes"</f>
        <v>Yes</v>
      </c>
      <c r="BG2" t="str">
        <f ca="1">IF((OFFSET($A$1, 2 - 1, 57 - 1)) &gt;= (OFFSET($A$1, 91 - 1, 7 - 1)), "Yes","No")</f>
        <v>Yes</v>
      </c>
      <c r="BH2">
        <f ca="1" xml:space="preserve"> IF( AND( OFFSET($A$1, 2 - 1, 58 - 1) = "Yes", OFFSET($A$1, 2 - 1, 59 - 1) = "Yes" ), 1, IF( AND( OFFSET($A$1, 2 - 1, 58 - 1) = "Yes", OFFSET($A$1, 2 - 1, 59 - 1) = "No" ), 2, IF( AND( OFFSET($A$1, 2 - 1, 58 - 1) = "No", OFFSET($A$1, 2 - 1, 59 - 1) = "Yes" ), 3, 4 ) ) )</f>
        <v>1</v>
      </c>
    </row>
    <row r="3" spans="2:60" ht="15.5" x14ac:dyDescent="0.35">
      <c r="B3" s="12" t="s">
        <v>33</v>
      </c>
      <c r="C3" s="13"/>
      <c r="D3" s="13"/>
      <c r="E3" s="13"/>
      <c r="F3" s="13"/>
      <c r="G3" s="13"/>
      <c r="H3" s="13"/>
      <c r="I3" s="14"/>
      <c r="L3" s="12" t="s">
        <v>34</v>
      </c>
      <c r="M3" s="13"/>
      <c r="N3" s="13"/>
      <c r="O3" s="14"/>
      <c r="AZ3" s="2">
        <v>4.7861512088262143E-2</v>
      </c>
      <c r="BA3" s="2" t="str">
        <f>"No"</f>
        <v>No</v>
      </c>
      <c r="BB3" t="str">
        <f ca="1">IF((OFFSET($A$1, 3 - 1, 52 - 1)) &gt;= (OFFSET($A$1, 67 - 1, 7 - 1)), "Yes","No")</f>
        <v>No</v>
      </c>
      <c r="BC3">
        <f ca="1" xml:space="preserve"> IF( AND( OFFSET($A$1, 3 - 1, 53 - 1) = "Yes", OFFSET($A$1, 3 - 1, 54 - 1) = "Yes" ), 1, IF( AND( OFFSET($A$1, 3 - 1, 53 - 1) = "Yes", OFFSET($A$1, 3 - 1, 54 - 1) = "No" ), 2, IF( AND( OFFSET($A$1, 3 - 1, 53 - 1) = "No", OFFSET($A$1, 3 - 1, 54 - 1) = "Yes" ), 3, 4 ) ) )</f>
        <v>4</v>
      </c>
      <c r="BE3" s="2">
        <v>0.57053909194425678</v>
      </c>
      <c r="BF3" s="2" t="str">
        <f>"No"</f>
        <v>No</v>
      </c>
      <c r="BG3" t="str">
        <f ca="1">IF((OFFSET($A$1, 3 - 1, 57 - 1)) &gt;= (OFFSET($A$1, 91 - 1, 7 - 1)), "Yes","No")</f>
        <v>Yes</v>
      </c>
      <c r="BH3">
        <f ca="1" xml:space="preserve"> IF( AND( OFFSET($A$1, 3 - 1, 58 - 1) = "Yes", OFFSET($A$1, 3 - 1, 59 - 1) = "Yes" ), 1, IF( AND( OFFSET($A$1, 3 - 1, 58 - 1) = "Yes", OFFSET($A$1, 3 - 1, 59 - 1) = "No" ), 2, IF( AND( OFFSET($A$1, 3 - 1, 58 - 1) = "No", OFFSET($A$1, 3 - 1, 59 - 1) = "Yes" ), 3, 4 ) ) )</f>
        <v>3</v>
      </c>
    </row>
    <row r="4" spans="2:60" x14ac:dyDescent="0.35">
      <c r="B4" s="34" t="s">
        <v>39</v>
      </c>
      <c r="C4" s="22"/>
      <c r="D4" s="34" t="s">
        <v>102</v>
      </c>
      <c r="E4" s="22"/>
      <c r="F4" s="34" t="s">
        <v>103</v>
      </c>
      <c r="G4" s="22"/>
      <c r="H4" s="34" t="s">
        <v>104</v>
      </c>
      <c r="I4" s="22"/>
      <c r="L4" s="7" t="s">
        <v>35</v>
      </c>
      <c r="M4" s="7" t="s">
        <v>36</v>
      </c>
      <c r="N4" s="7" t="s">
        <v>37</v>
      </c>
      <c r="O4" s="7" t="s">
        <v>38</v>
      </c>
      <c r="AZ4" s="2">
        <v>0.57307686637819277</v>
      </c>
      <c r="BA4" s="2" t="str">
        <f>"Yes"</f>
        <v>Yes</v>
      </c>
      <c r="BB4" t="str">
        <f ca="1">IF((OFFSET($A$1, 4 - 1, 52 - 1)) &gt;= (OFFSET($A$1, 67 - 1, 7 - 1)), "Yes","No")</f>
        <v>Yes</v>
      </c>
      <c r="BC4">
        <f ca="1" xml:space="preserve"> IF( AND( OFFSET($A$1, 4 - 1, 53 - 1) = "Yes", OFFSET($A$1, 4 - 1, 54 - 1) = "Yes" ), 1, IF( AND( OFFSET($A$1, 4 - 1, 53 - 1) = "Yes", OFFSET($A$1, 4 - 1, 54 - 1) = "No" ), 2, IF( AND( OFFSET($A$1, 4 - 1, 53 - 1) = "No", OFFSET($A$1, 4 - 1, 54 - 1) = "Yes" ), 3, 4 ) ) )</f>
        <v>1</v>
      </c>
      <c r="BE4" s="2">
        <v>0.38948805658019786</v>
      </c>
      <c r="BF4" s="2" t="str">
        <f>"No"</f>
        <v>No</v>
      </c>
      <c r="BG4" t="str">
        <f ca="1">IF((OFFSET($A$1, 4 - 1, 57 - 1)) &gt;= (OFFSET($A$1, 91 - 1, 7 - 1)), "Yes","No")</f>
        <v>No</v>
      </c>
      <c r="BH4">
        <f ca="1" xml:space="preserve"> IF( AND( OFFSET($A$1, 4 - 1, 58 - 1) = "Yes", OFFSET($A$1, 4 - 1, 59 - 1) = "Yes" ), 1, IF( AND( OFFSET($A$1, 4 - 1, 58 - 1) = "Yes", OFFSET($A$1, 4 - 1, 59 - 1) = "No" ), 2, IF( AND( OFFSET($A$1, 4 - 1, 58 - 1) = "No", OFFSET($A$1, 4 - 1, 59 - 1) = "Yes" ), 3, 4 ) ) )</f>
        <v>4</v>
      </c>
    </row>
    <row r="5" spans="2:60" x14ac:dyDescent="0.35">
      <c r="B5" s="34" t="s">
        <v>105</v>
      </c>
      <c r="C5" s="22"/>
      <c r="D5" s="34" t="s">
        <v>106</v>
      </c>
      <c r="E5" s="22"/>
      <c r="F5" s="34" t="s">
        <v>113</v>
      </c>
      <c r="G5" s="22"/>
      <c r="H5" s="21"/>
      <c r="I5" s="22"/>
      <c r="L5" s="2">
        <v>0</v>
      </c>
      <c r="M5" s="2">
        <v>0</v>
      </c>
      <c r="N5" s="2">
        <v>15</v>
      </c>
      <c r="O5" s="2">
        <v>15</v>
      </c>
      <c r="AZ5" s="2">
        <v>0.4789676800895471</v>
      </c>
      <c r="BA5" s="2" t="str">
        <f>"No"</f>
        <v>No</v>
      </c>
      <c r="BB5" t="str">
        <f ca="1">IF((OFFSET($A$1, 5 - 1, 52 - 1)) &gt;= (OFFSET($A$1, 67 - 1, 7 - 1)), "Yes","No")</f>
        <v>No</v>
      </c>
      <c r="BC5">
        <f ca="1" xml:space="preserve"> IF( AND( OFFSET($A$1, 5 - 1, 53 - 1) = "Yes", OFFSET($A$1, 5 - 1, 54 - 1) = "Yes" ), 1, IF( AND( OFFSET($A$1, 5 - 1, 53 - 1) = "Yes", OFFSET($A$1, 5 - 1, 54 - 1) = "No" ), 2, IF( AND( OFFSET($A$1, 5 - 1, 53 - 1) = "No", OFFSET($A$1, 5 - 1, 54 - 1) = "Yes" ), 3, 4 ) ) )</f>
        <v>4</v>
      </c>
    </row>
    <row r="6" spans="2:60" x14ac:dyDescent="0.35">
      <c r="AZ6" s="2">
        <v>0.46248377169316152</v>
      </c>
      <c r="BA6" s="2" t="str">
        <f>"Yes"</f>
        <v>Yes</v>
      </c>
      <c r="BB6" t="str">
        <f ca="1">IF((OFFSET($A$1, 6 - 1, 52 - 1)) &gt;= (OFFSET($A$1, 67 - 1, 7 - 1)), "Yes","No")</f>
        <v>No</v>
      </c>
      <c r="BC6">
        <f ca="1" xml:space="preserve"> IF( AND( OFFSET($A$1, 6 - 1, 53 - 1) = "Yes", OFFSET($A$1, 6 - 1, 54 - 1) = "Yes" ), 1, IF( AND( OFFSET($A$1, 6 - 1, 53 - 1) = "Yes", OFFSET($A$1, 6 - 1, 54 - 1) = "No" ), 2, IF( AND( OFFSET($A$1, 6 - 1, 53 - 1) = "No", OFFSET($A$1, 6 - 1, 54 - 1) = "Yes" ), 3, 4 ) ) )</f>
        <v>2</v>
      </c>
    </row>
    <row r="7" spans="2:60" x14ac:dyDescent="0.35">
      <c r="AZ7" s="2">
        <v>7.3517706301382268E-2</v>
      </c>
      <c r="BA7" s="2" t="str">
        <f>"No"</f>
        <v>No</v>
      </c>
      <c r="BB7" t="str">
        <f ca="1">IF((OFFSET($A$1, 7 - 1, 52 - 1)) &gt;= (OFFSET($A$1, 67 - 1, 7 - 1)), "Yes","No")</f>
        <v>No</v>
      </c>
      <c r="BC7">
        <f ca="1" xml:space="preserve"> IF( AND( OFFSET($A$1, 7 - 1, 53 - 1) = "Yes", OFFSET($A$1, 7 - 1, 54 - 1) = "Yes" ), 1, IF( AND( OFFSET($A$1, 7 - 1, 53 - 1) = "Yes", OFFSET($A$1, 7 - 1, 54 - 1) = "No" ), 2, IF( AND( OFFSET($A$1, 7 - 1, 53 - 1) = "No", OFFSET($A$1, 7 - 1, 54 - 1) = "Yes" ), 3, 4 ) ) )</f>
        <v>4</v>
      </c>
    </row>
    <row r="8" spans="2:60" x14ac:dyDescent="0.35">
      <c r="AZ8" s="2">
        <v>0.83222173431226354</v>
      </c>
      <c r="BA8" s="2" t="str">
        <f>"Yes"</f>
        <v>Yes</v>
      </c>
      <c r="BB8" t="str">
        <f ca="1">IF((OFFSET($A$1, 8 - 1, 52 - 1)) &gt;= (OFFSET($A$1, 67 - 1, 7 - 1)), "Yes","No")</f>
        <v>Yes</v>
      </c>
      <c r="BC8">
        <f ca="1" xml:space="preserve"> IF( AND( OFFSET($A$1, 8 - 1, 53 - 1) = "Yes", OFFSET($A$1, 8 - 1, 54 - 1) = "Yes" ), 1, IF( AND( OFFSET($A$1, 8 - 1, 53 - 1) = "Yes", OFFSET($A$1, 8 - 1, 54 - 1) = "No" ), 2, IF( AND( OFFSET($A$1, 8 - 1, 53 - 1) = "No", OFFSET($A$1, 8 - 1, 54 - 1) = "Yes" ), 3, 4 ) ) )</f>
        <v>1</v>
      </c>
    </row>
    <row r="10" spans="2:60" ht="18.5" x14ac:dyDescent="0.45">
      <c r="B10" s="5" t="s">
        <v>39</v>
      </c>
    </row>
    <row r="12" spans="2:60" ht="15.5" x14ac:dyDescent="0.35">
      <c r="C12" s="12" t="s">
        <v>40</v>
      </c>
      <c r="D12" s="13"/>
      <c r="E12" s="13"/>
      <c r="F12" s="13"/>
      <c r="G12" s="13"/>
      <c r="H12" s="13"/>
      <c r="I12" s="13"/>
      <c r="J12" s="13"/>
      <c r="K12" s="14"/>
    </row>
    <row r="13" spans="2:60" x14ac:dyDescent="0.35">
      <c r="C13" s="15" t="s">
        <v>41</v>
      </c>
      <c r="D13" s="16"/>
      <c r="E13" s="16"/>
      <c r="F13" s="17"/>
      <c r="G13" s="18" t="s">
        <v>42</v>
      </c>
      <c r="H13" s="19"/>
      <c r="I13" s="19"/>
      <c r="J13" s="19"/>
      <c r="K13" s="20"/>
    </row>
    <row r="14" spans="2:60" x14ac:dyDescent="0.35">
      <c r="C14" s="15" t="s">
        <v>43</v>
      </c>
      <c r="D14" s="16"/>
      <c r="E14" s="16"/>
      <c r="F14" s="17"/>
      <c r="G14" s="18" t="s">
        <v>40</v>
      </c>
      <c r="H14" s="19"/>
      <c r="I14" s="19"/>
      <c r="J14" s="19"/>
      <c r="K14" s="20"/>
    </row>
    <row r="15" spans="2:60" x14ac:dyDescent="0.35">
      <c r="C15" s="15" t="s">
        <v>44</v>
      </c>
      <c r="D15" s="16"/>
      <c r="E15" s="16"/>
      <c r="F15" s="17"/>
      <c r="G15" s="18">
        <v>8</v>
      </c>
      <c r="H15" s="19"/>
      <c r="I15" s="19"/>
      <c r="J15" s="19"/>
      <c r="K15" s="20"/>
    </row>
    <row r="16" spans="2:60" x14ac:dyDescent="0.35">
      <c r="C16" s="15" t="s">
        <v>45</v>
      </c>
      <c r="D16" s="16"/>
      <c r="E16" s="16"/>
      <c r="F16" s="17"/>
      <c r="G16" s="18">
        <v>4</v>
      </c>
      <c r="H16" s="19"/>
      <c r="I16" s="19"/>
      <c r="J16" s="19"/>
      <c r="K16" s="20"/>
    </row>
    <row r="18" spans="3:10" ht="15.5" x14ac:dyDescent="0.35">
      <c r="C18" s="12" t="s">
        <v>46</v>
      </c>
      <c r="D18" s="13"/>
      <c r="E18" s="13"/>
      <c r="F18" s="14"/>
    </row>
    <row r="19" spans="3:10" x14ac:dyDescent="0.35">
      <c r="C19" s="15" t="s">
        <v>47</v>
      </c>
      <c r="D19" s="17"/>
      <c r="E19" s="18">
        <v>2</v>
      </c>
      <c r="F19" s="20"/>
    </row>
    <row r="20" spans="3:10" x14ac:dyDescent="0.35">
      <c r="C20" s="15" t="s">
        <v>48</v>
      </c>
      <c r="D20" s="17"/>
      <c r="E20" s="2" t="s">
        <v>2</v>
      </c>
      <c r="F20" s="2" t="s">
        <v>3</v>
      </c>
    </row>
    <row r="21" spans="3:10" x14ac:dyDescent="0.35">
      <c r="C21" s="15" t="s">
        <v>49</v>
      </c>
      <c r="D21" s="17"/>
      <c r="E21" s="21" t="s">
        <v>1</v>
      </c>
      <c r="F21" s="22"/>
    </row>
    <row r="23" spans="3:10" ht="15.5" x14ac:dyDescent="0.35">
      <c r="C23" s="12" t="s">
        <v>50</v>
      </c>
      <c r="D23" s="13"/>
      <c r="E23" s="13"/>
      <c r="F23" s="13"/>
      <c r="G23" s="13"/>
      <c r="H23" s="13"/>
      <c r="I23" s="13"/>
      <c r="J23" s="14"/>
    </row>
    <row r="24" spans="3:10" x14ac:dyDescent="0.35">
      <c r="C24" s="15" t="s">
        <v>51</v>
      </c>
      <c r="D24" s="16"/>
      <c r="E24" s="16"/>
      <c r="F24" s="17"/>
      <c r="G24" s="18" t="s">
        <v>5</v>
      </c>
      <c r="H24" s="19"/>
      <c r="I24" s="19"/>
      <c r="J24" s="20"/>
    </row>
    <row r="25" spans="3:10" x14ac:dyDescent="0.35">
      <c r="C25" s="15" t="s">
        <v>52</v>
      </c>
      <c r="D25" s="16"/>
      <c r="E25" s="16"/>
      <c r="F25" s="17"/>
      <c r="G25" s="18">
        <v>95</v>
      </c>
      <c r="H25" s="19"/>
      <c r="I25" s="19"/>
      <c r="J25" s="20"/>
    </row>
    <row r="26" spans="3:10" x14ac:dyDescent="0.35">
      <c r="C26" s="15" t="s">
        <v>53</v>
      </c>
      <c r="D26" s="16"/>
      <c r="E26" s="16"/>
      <c r="F26" s="17"/>
      <c r="G26" s="18">
        <v>50</v>
      </c>
      <c r="H26" s="19"/>
      <c r="I26" s="19"/>
      <c r="J26" s="20"/>
    </row>
    <row r="27" spans="3:10" x14ac:dyDescent="0.35">
      <c r="C27" s="15" t="s">
        <v>54</v>
      </c>
      <c r="D27" s="16"/>
      <c r="E27" s="16"/>
      <c r="F27" s="17"/>
      <c r="G27" s="18" t="s">
        <v>5</v>
      </c>
      <c r="H27" s="19"/>
      <c r="I27" s="19"/>
      <c r="J27" s="20"/>
    </row>
    <row r="28" spans="3:10" x14ac:dyDescent="0.35">
      <c r="C28" s="15" t="s">
        <v>55</v>
      </c>
      <c r="D28" s="16"/>
      <c r="E28" s="16"/>
      <c r="F28" s="17"/>
      <c r="G28" s="18" t="s">
        <v>5</v>
      </c>
      <c r="H28" s="19"/>
      <c r="I28" s="19"/>
      <c r="J28" s="20"/>
    </row>
    <row r="29" spans="3:10" x14ac:dyDescent="0.35">
      <c r="C29" s="15" t="s">
        <v>56</v>
      </c>
      <c r="D29" s="16"/>
      <c r="E29" s="16"/>
      <c r="F29" s="17"/>
      <c r="G29" s="18" t="s">
        <v>5</v>
      </c>
      <c r="H29" s="19"/>
      <c r="I29" s="19"/>
      <c r="J29" s="20"/>
    </row>
    <row r="31" spans="3:10" ht="15.5" x14ac:dyDescent="0.35">
      <c r="C31" s="12" t="s">
        <v>57</v>
      </c>
      <c r="D31" s="13"/>
      <c r="E31" s="13"/>
      <c r="F31" s="13"/>
      <c r="G31" s="14"/>
    </row>
    <row r="32" spans="3:10" x14ac:dyDescent="0.35">
      <c r="C32" s="21" t="s">
        <v>58</v>
      </c>
      <c r="D32" s="23"/>
      <c r="E32" s="23"/>
      <c r="F32" s="23"/>
      <c r="G32" s="22"/>
    </row>
    <row r="33" spans="2:7" x14ac:dyDescent="0.35">
      <c r="C33" s="21" t="s">
        <v>59</v>
      </c>
      <c r="D33" s="23"/>
      <c r="E33" s="23"/>
      <c r="F33" s="23"/>
      <c r="G33" s="22"/>
    </row>
    <row r="34" spans="2:7" x14ac:dyDescent="0.35">
      <c r="C34" s="21" t="s">
        <v>114</v>
      </c>
      <c r="D34" s="23"/>
      <c r="E34" s="23"/>
      <c r="F34" s="23"/>
      <c r="G34" s="22"/>
    </row>
    <row r="37" spans="2:7" ht="18.5" x14ac:dyDescent="0.45">
      <c r="B37" s="5" t="s">
        <v>60</v>
      </c>
    </row>
    <row r="39" spans="2:7" x14ac:dyDescent="0.35">
      <c r="C39" s="21" t="s">
        <v>61</v>
      </c>
      <c r="D39" s="23"/>
      <c r="E39" s="23"/>
      <c r="F39" s="23"/>
      <c r="G39" s="22"/>
    </row>
    <row r="41" spans="2:7" x14ac:dyDescent="0.35">
      <c r="C41" s="7" t="s">
        <v>62</v>
      </c>
      <c r="D41" s="7" t="s">
        <v>63</v>
      </c>
    </row>
    <row r="42" spans="2:7" x14ac:dyDescent="0.35">
      <c r="C42" s="3" t="s">
        <v>5</v>
      </c>
      <c r="D42" s="2">
        <v>0.5</v>
      </c>
    </row>
    <row r="43" spans="2:7" x14ac:dyDescent="0.35">
      <c r="C43" s="3" t="s">
        <v>4</v>
      </c>
      <c r="D43" s="2">
        <v>0.5</v>
      </c>
    </row>
    <row r="46" spans="2:7" ht="18.5" x14ac:dyDescent="0.45">
      <c r="B46" s="5" t="s">
        <v>64</v>
      </c>
    </row>
    <row r="48" spans="2:7" x14ac:dyDescent="0.35">
      <c r="C48" s="24" t="s">
        <v>65</v>
      </c>
      <c r="D48" s="25"/>
      <c r="E48" s="26"/>
      <c r="F48" s="2">
        <v>4.0080793554103568E-13</v>
      </c>
    </row>
    <row r="50" spans="2:13" ht="15.5" x14ac:dyDescent="0.35">
      <c r="C50" s="27" t="s">
        <v>66</v>
      </c>
      <c r="D50" s="28"/>
      <c r="E50" s="27" t="s">
        <v>67</v>
      </c>
      <c r="F50" s="28"/>
    </row>
    <row r="51" spans="2:13" x14ac:dyDescent="0.35">
      <c r="C51" s="9" t="s">
        <v>68</v>
      </c>
      <c r="D51" s="9" t="s">
        <v>69</v>
      </c>
      <c r="E51" s="9" t="s">
        <v>68</v>
      </c>
      <c r="F51" s="9" t="s">
        <v>69</v>
      </c>
    </row>
    <row r="52" spans="2:13" x14ac:dyDescent="0.35">
      <c r="C52" s="3" t="s">
        <v>70</v>
      </c>
      <c r="D52" s="2">
        <v>8.1026864264000839E-2</v>
      </c>
    </row>
    <row r="53" spans="2:13" x14ac:dyDescent="0.35">
      <c r="C53" s="3" t="s">
        <v>2</v>
      </c>
      <c r="D53" s="2">
        <v>12.968987547612224</v>
      </c>
    </row>
    <row r="54" spans="2:13" x14ac:dyDescent="0.35">
      <c r="C54" s="3" t="s">
        <v>3</v>
      </c>
      <c r="D54" s="2">
        <v>225.63948812209267</v>
      </c>
    </row>
    <row r="57" spans="2:13" ht="18.5" x14ac:dyDescent="0.45">
      <c r="B57" s="5" t="s">
        <v>71</v>
      </c>
    </row>
    <row r="59" spans="2:13" ht="26" x14ac:dyDescent="0.35">
      <c r="C59" s="10" t="s">
        <v>72</v>
      </c>
      <c r="D59" s="8" t="s">
        <v>73</v>
      </c>
      <c r="E59" s="8" t="s">
        <v>74</v>
      </c>
      <c r="F59" s="8" t="s">
        <v>75</v>
      </c>
      <c r="G59" s="8" t="s">
        <v>76</v>
      </c>
      <c r="H59" s="8" t="s">
        <v>77</v>
      </c>
      <c r="I59" s="8" t="s">
        <v>78</v>
      </c>
      <c r="J59" s="8" t="s">
        <v>79</v>
      </c>
      <c r="L59" s="3" t="s">
        <v>80</v>
      </c>
      <c r="M59" s="2">
        <v>5</v>
      </c>
    </row>
    <row r="60" spans="2:13" x14ac:dyDescent="0.35">
      <c r="C60" s="3" t="s">
        <v>70</v>
      </c>
      <c r="D60" s="2">
        <v>-56.152205089844436</v>
      </c>
      <c r="E60" s="2">
        <v>44.455586193851744</v>
      </c>
      <c r="F60" s="2">
        <v>1.5954417357723891</v>
      </c>
      <c r="G60" s="2">
        <v>0.20655038129093006</v>
      </c>
      <c r="H60" s="2">
        <v>4.105888796285217E-25</v>
      </c>
      <c r="I60" s="2">
        <v>0</v>
      </c>
      <c r="J60" s="2">
        <v>28449245664513.566</v>
      </c>
      <c r="L60" s="3" t="s">
        <v>81</v>
      </c>
      <c r="M60" s="2">
        <v>8.1198362545074758</v>
      </c>
    </row>
    <row r="61" spans="2:13" x14ac:dyDescent="0.35">
      <c r="C61" s="3" t="s">
        <v>2</v>
      </c>
      <c r="D61" s="2">
        <v>1.3847982361298845</v>
      </c>
      <c r="E61" s="2">
        <v>1.1405662162298951</v>
      </c>
      <c r="F61" s="2">
        <v>1.4741171412365111</v>
      </c>
      <c r="G61" s="2">
        <v>0.22469722336282819</v>
      </c>
      <c r="H61" s="2">
        <v>3.9940199745881744</v>
      </c>
      <c r="I61" s="2">
        <v>0.42712845924934445</v>
      </c>
      <c r="J61" s="2">
        <v>37.34753611464911</v>
      </c>
      <c r="L61" s="3" t="s">
        <v>82</v>
      </c>
      <c r="M61" s="2">
        <v>3</v>
      </c>
    </row>
    <row r="62" spans="2:13" x14ac:dyDescent="0.35">
      <c r="C62" s="3" t="s">
        <v>3</v>
      </c>
      <c r="D62" s="2">
        <v>0.18765722098417287</v>
      </c>
      <c r="E62" s="2">
        <v>0.15778877646247799</v>
      </c>
      <c r="F62" s="2">
        <v>1.4144198546882709</v>
      </c>
      <c r="G62" s="2">
        <v>0.23432405572080012</v>
      </c>
      <c r="H62" s="2">
        <v>1.2064199090367789</v>
      </c>
      <c r="I62" s="2">
        <v>0.8854997553472963</v>
      </c>
      <c r="J62" s="2">
        <v>1.6436469780270884</v>
      </c>
      <c r="L62" s="3" t="s">
        <v>83</v>
      </c>
      <c r="M62" s="2">
        <v>0.26784703142447808</v>
      </c>
    </row>
    <row r="65" spans="2:13" ht="18.5" x14ac:dyDescent="0.45">
      <c r="B65" s="5" t="s">
        <v>84</v>
      </c>
    </row>
    <row r="67" spans="2:13" x14ac:dyDescent="0.35">
      <c r="C67" s="29" t="s">
        <v>85</v>
      </c>
      <c r="D67" s="30"/>
      <c r="E67" s="30"/>
      <c r="F67" s="31"/>
      <c r="G67" s="11">
        <v>0.5</v>
      </c>
      <c r="H67" s="29" t="s">
        <v>86</v>
      </c>
      <c r="I67" s="30"/>
      <c r="J67" s="30"/>
      <c r="K67" s="30"/>
      <c r="L67" s="30"/>
      <c r="M67" s="31"/>
    </row>
    <row r="69" spans="2:13" ht="15.5" x14ac:dyDescent="0.35">
      <c r="C69" s="12" t="s">
        <v>87</v>
      </c>
      <c r="D69" s="13"/>
      <c r="E69" s="14"/>
    </row>
    <row r="70" spans="2:13" x14ac:dyDescent="0.35">
      <c r="C70" s="7"/>
      <c r="D70" s="32" t="s">
        <v>88</v>
      </c>
      <c r="E70" s="33"/>
    </row>
    <row r="71" spans="2:13" x14ac:dyDescent="0.35">
      <c r="C71" s="3" t="s">
        <v>89</v>
      </c>
      <c r="D71" s="7" t="s">
        <v>4</v>
      </c>
      <c r="E71" s="7" t="s">
        <v>5</v>
      </c>
    </row>
    <row r="72" spans="2:13" x14ac:dyDescent="0.35">
      <c r="C72" s="3" t="s">
        <v>4</v>
      </c>
      <c r="D72" s="2">
        <f ca="1" xml:space="preserve"> COUNTIF( OFFSET($A$1, 1 - 1, 55 - 1, 9, 1), 1 )</f>
        <v>3</v>
      </c>
      <c r="E72" s="2">
        <f ca="1" xml:space="preserve"> COUNTIF( OFFSET($A$1, 1 - 1, 55 - 1, 9, 1), 2 )</f>
        <v>1</v>
      </c>
    </row>
    <row r="73" spans="2:13" x14ac:dyDescent="0.35">
      <c r="C73" s="3" t="s">
        <v>5</v>
      </c>
      <c r="D73" s="2">
        <f ca="1" xml:space="preserve"> COUNTIF( OFFSET($A$1, 1 - 1, 55 - 1, 9, 1), 3 )</f>
        <v>1</v>
      </c>
      <c r="E73" s="2">
        <f ca="1" xml:space="preserve"> COUNTIF( OFFSET($A$1, 1 - 1, 55 - 1, 9, 1), 4 )</f>
        <v>3</v>
      </c>
    </row>
    <row r="75" spans="2:13" ht="15.5" x14ac:dyDescent="0.35">
      <c r="C75" s="12" t="s">
        <v>90</v>
      </c>
      <c r="D75" s="13"/>
      <c r="E75" s="13"/>
      <c r="F75" s="14"/>
    </row>
    <row r="76" spans="2:13" x14ac:dyDescent="0.35">
      <c r="C76" s="7" t="s">
        <v>62</v>
      </c>
      <c r="D76" s="7" t="s">
        <v>91</v>
      </c>
      <c r="E76" s="7" t="s">
        <v>92</v>
      </c>
      <c r="F76" s="7" t="s">
        <v>93</v>
      </c>
    </row>
    <row r="77" spans="2:13" x14ac:dyDescent="0.35">
      <c r="C77" s="3" t="s">
        <v>4</v>
      </c>
      <c r="D77" s="2">
        <f ca="1">SUM(OFFSET($A$1, 72 - 1, 4 - 1, 1, 2))</f>
        <v>4</v>
      </c>
      <c r="E77" s="2">
        <f ca="1">SUM(OFFSET($A$1, 72 - 1, 4 - 1, 1, 2)) - OFFSET($A$1, 72 - 1, 4 - 1)</f>
        <v>1</v>
      </c>
      <c r="F77" s="2">
        <f ca="1">IF(OFFSET($A$1, 77 - 1, 4 - 1)=0,"Undefined",((OFFSET($A$1, 77 - 1, 5 - 1))*100) / (OFFSET($A$1, 77 - 1, 4 - 1)))</f>
        <v>25</v>
      </c>
    </row>
    <row r="78" spans="2:13" x14ac:dyDescent="0.35">
      <c r="C78" s="3" t="s">
        <v>5</v>
      </c>
      <c r="D78" s="2">
        <f ca="1">SUM(OFFSET($A$1, 73 - 1, 4 - 1, 1, 2))</f>
        <v>4</v>
      </c>
      <c r="E78" s="2">
        <f ca="1">SUM(OFFSET($A$1, 73 - 1, 4 - 1, 1, 2)) - OFFSET($A$1, 73 - 1, 5 - 1)</f>
        <v>1</v>
      </c>
      <c r="F78" s="2">
        <f ca="1">IF(OFFSET($A$1, 78 - 1, 4 - 1)=0,"Undefined",((OFFSET($A$1, 78 - 1, 5 - 1))*100) / (OFFSET($A$1, 78 - 1, 4 - 1)))</f>
        <v>25</v>
      </c>
    </row>
    <row r="79" spans="2:13" x14ac:dyDescent="0.35">
      <c r="C79" s="3" t="s">
        <v>94</v>
      </c>
      <c r="D79" s="2">
        <f ca="1">SUM(OFFSET($A$1, 77 - 1, 4 - 1, 2, 1))</f>
        <v>8</v>
      </c>
      <c r="E79" s="2">
        <f ca="1">SUM(OFFSET($A$1, 77 - 1, 5 - 1, 2, 1))</f>
        <v>2</v>
      </c>
      <c r="F79" s="2">
        <f ca="1">IF(OFFSET($A$1, 79 - 1, 4 - 1)=0,"Undefined",((OFFSET($A$1, 79 - 1, 5 - 1))*100) / (OFFSET($A$1, 79 - 1, 4 - 1)))</f>
        <v>25</v>
      </c>
    </row>
    <row r="81" spans="2:13" ht="15.5" x14ac:dyDescent="0.35">
      <c r="C81" s="12" t="s">
        <v>95</v>
      </c>
      <c r="D81" s="13"/>
      <c r="E81" s="14"/>
    </row>
    <row r="82" spans="2:13" x14ac:dyDescent="0.35">
      <c r="C82" s="15" t="s">
        <v>96</v>
      </c>
      <c r="D82" s="17"/>
      <c r="E82" s="6" t="s">
        <v>4</v>
      </c>
    </row>
    <row r="83" spans="2:13" x14ac:dyDescent="0.35">
      <c r="C83" s="15" t="s">
        <v>97</v>
      </c>
      <c r="D83" s="17"/>
      <c r="E83" s="6">
        <f ca="1">IF((OFFSET($A$1, 72 - 1, 4 - 1) + OFFSET($A$1, 73 - 1, 4 - 1)) = 0,"Undefined",OFFSET($A$1, 72 - 1, 4 - 1)/(OFFSET($A$1, 72 - 1, 4 - 1) + OFFSET($A$1, 73 - 1, 4 - 1)))</f>
        <v>0.75</v>
      </c>
    </row>
    <row r="84" spans="2:13" x14ac:dyDescent="0.35">
      <c r="C84" s="15" t="s">
        <v>98</v>
      </c>
      <c r="D84" s="17"/>
      <c r="E84" s="6">
        <f ca="1">IF((OFFSET($A$1, 72 - 1, 4 - 1) + OFFSET($A$1, 72 - 1, 5 - 1)) = 0,"Undefined",OFFSET($A$1, 72 - 1, 4 - 1)/(OFFSET($A$1, 72 - 1, 4 - 1) + OFFSET($A$1, 72 - 1, 5 - 1)))</f>
        <v>0.75</v>
      </c>
    </row>
    <row r="85" spans="2:13" x14ac:dyDescent="0.35">
      <c r="C85" s="15" t="s">
        <v>99</v>
      </c>
      <c r="D85" s="17"/>
      <c r="E85" s="6">
        <f ca="1">IF((OFFSET($A$1, 73 - 1, 4 - 1) + OFFSET($A$1, 73 - 1, 5 - 1)) = 0,"Undefined",OFFSET($A$1, 73 - 1, 5 - 1)/(OFFSET($A$1, 73 - 1, 4 - 1) + OFFSET($A$1, 73 - 1, 5 - 1)))</f>
        <v>0.75</v>
      </c>
    </row>
    <row r="86" spans="2:13" x14ac:dyDescent="0.35">
      <c r="C86" s="15" t="s">
        <v>100</v>
      </c>
      <c r="D86" s="17"/>
      <c r="E86" s="6">
        <f ca="1">IF(OR(OFFSET($A$1, 83 - 1, 5 - 1)="Undefined",OFFSET($A$1, 84 - 1, 5 - 1)="Undefined"),"Undefined",IF((OFFSET($A$1, 83 - 1, 5 - 1) + OFFSET($A$1, 84 - 1, 5 - 1))=0,"Undefined",2*OFFSET($A$1, 83 - 1, 5 - 1)*OFFSET($A$1, 84 - 1, 5 - 1)/(OFFSET($A$1, 83 - 1, 5 - 1)+OFFSET($A$1, 84 - 1, 5 - 1))))</f>
        <v>0.75</v>
      </c>
    </row>
    <row r="89" spans="2:13" ht="18.5" x14ac:dyDescent="0.45">
      <c r="B89" s="5" t="s">
        <v>101</v>
      </c>
    </row>
    <row r="91" spans="2:13" x14ac:dyDescent="0.35">
      <c r="C91" s="29" t="s">
        <v>85</v>
      </c>
      <c r="D91" s="30"/>
      <c r="E91" s="30"/>
      <c r="F91" s="31"/>
      <c r="G91" s="11">
        <v>0.5</v>
      </c>
      <c r="H91" s="29" t="s">
        <v>86</v>
      </c>
      <c r="I91" s="30"/>
      <c r="J91" s="30"/>
      <c r="K91" s="30"/>
      <c r="L91" s="30"/>
      <c r="M91" s="31"/>
    </row>
    <row r="93" spans="2:13" ht="15.5" x14ac:dyDescent="0.35">
      <c r="C93" s="12" t="s">
        <v>87</v>
      </c>
      <c r="D93" s="13"/>
      <c r="E93" s="14"/>
    </row>
    <row r="94" spans="2:13" x14ac:dyDescent="0.35">
      <c r="C94" s="7"/>
      <c r="D94" s="32" t="s">
        <v>88</v>
      </c>
      <c r="E94" s="33"/>
    </row>
    <row r="95" spans="2:13" x14ac:dyDescent="0.35">
      <c r="C95" s="3" t="s">
        <v>89</v>
      </c>
      <c r="D95" s="7" t="s">
        <v>4</v>
      </c>
      <c r="E95" s="7" t="s">
        <v>5</v>
      </c>
    </row>
    <row r="96" spans="2:13" x14ac:dyDescent="0.35">
      <c r="C96" s="3" t="s">
        <v>4</v>
      </c>
      <c r="D96" s="2">
        <f ca="1" xml:space="preserve"> COUNTIF( OFFSET($A$1, 1 - 1, 60 - 1, 5, 1), 1 )</f>
        <v>1</v>
      </c>
      <c r="E96" s="2">
        <f ca="1" xml:space="preserve"> COUNTIF( OFFSET($A$1, 1 - 1, 60 - 1, 5, 1), 2 )</f>
        <v>0</v>
      </c>
    </row>
    <row r="97" spans="3:6" x14ac:dyDescent="0.35">
      <c r="C97" s="3" t="s">
        <v>5</v>
      </c>
      <c r="D97" s="2">
        <f ca="1" xml:space="preserve"> COUNTIF( OFFSET($A$1, 1 - 1, 60 - 1, 5, 1), 3 )</f>
        <v>1</v>
      </c>
      <c r="E97" s="2">
        <f ca="1" xml:space="preserve"> COUNTIF( OFFSET($A$1, 1 - 1, 60 - 1, 5, 1), 4 )</f>
        <v>2</v>
      </c>
    </row>
    <row r="99" spans="3:6" ht="15.5" x14ac:dyDescent="0.35">
      <c r="C99" s="12" t="s">
        <v>90</v>
      </c>
      <c r="D99" s="13"/>
      <c r="E99" s="13"/>
      <c r="F99" s="14"/>
    </row>
    <row r="100" spans="3:6" x14ac:dyDescent="0.35">
      <c r="C100" s="7" t="s">
        <v>62</v>
      </c>
      <c r="D100" s="7" t="s">
        <v>91</v>
      </c>
      <c r="E100" s="7" t="s">
        <v>92</v>
      </c>
      <c r="F100" s="7" t="s">
        <v>93</v>
      </c>
    </row>
    <row r="101" spans="3:6" x14ac:dyDescent="0.35">
      <c r="C101" s="3" t="s">
        <v>4</v>
      </c>
      <c r="D101" s="2">
        <f ca="1">SUM(OFFSET($A$1, 96 - 1, 4 - 1, 1, 2))</f>
        <v>1</v>
      </c>
      <c r="E101" s="2">
        <f ca="1">SUM(OFFSET($A$1, 96 - 1, 4 - 1, 1, 2)) - OFFSET($A$1, 96 - 1, 4 - 1)</f>
        <v>0</v>
      </c>
      <c r="F101" s="2">
        <f ca="1">IF(OFFSET($A$1, 101 - 1, 4 - 1)=0,"Undefined",((OFFSET($A$1, 101 - 1, 5 - 1))*100) / (OFFSET($A$1, 101 - 1, 4 - 1)))</f>
        <v>0</v>
      </c>
    </row>
    <row r="102" spans="3:6" x14ac:dyDescent="0.35">
      <c r="C102" s="3" t="s">
        <v>5</v>
      </c>
      <c r="D102" s="2">
        <f ca="1">SUM(OFFSET($A$1, 97 - 1, 4 - 1, 1, 2))</f>
        <v>3</v>
      </c>
      <c r="E102" s="2">
        <f ca="1">SUM(OFFSET($A$1, 97 - 1, 4 - 1, 1, 2)) - OFFSET($A$1, 97 - 1, 5 - 1)</f>
        <v>1</v>
      </c>
      <c r="F102" s="2">
        <f ca="1">IF(OFFSET($A$1, 102 - 1, 4 - 1)=0,"Undefined",((OFFSET($A$1, 102 - 1, 5 - 1))*100) / (OFFSET($A$1, 102 - 1, 4 - 1)))</f>
        <v>33.333333333333336</v>
      </c>
    </row>
    <row r="103" spans="3:6" x14ac:dyDescent="0.35">
      <c r="C103" s="3" t="s">
        <v>94</v>
      </c>
      <c r="D103" s="2">
        <f ca="1">SUM(OFFSET($A$1, 101 - 1, 4 - 1, 2, 1))</f>
        <v>4</v>
      </c>
      <c r="E103" s="2">
        <f ca="1">SUM(OFFSET($A$1, 101 - 1, 5 - 1, 2, 1))</f>
        <v>1</v>
      </c>
      <c r="F103" s="2">
        <f ca="1">IF(OFFSET($A$1, 103 - 1, 4 - 1)=0,"Undefined",((OFFSET($A$1, 103 - 1, 5 - 1))*100) / (OFFSET($A$1, 103 - 1, 4 - 1)))</f>
        <v>25</v>
      </c>
    </row>
    <row r="105" spans="3:6" ht="15.5" x14ac:dyDescent="0.35">
      <c r="C105" s="12" t="s">
        <v>95</v>
      </c>
      <c r="D105" s="13"/>
      <c r="E105" s="14"/>
    </row>
    <row r="106" spans="3:6" x14ac:dyDescent="0.35">
      <c r="C106" s="15" t="s">
        <v>96</v>
      </c>
      <c r="D106" s="17"/>
      <c r="E106" s="6" t="s">
        <v>4</v>
      </c>
    </row>
    <row r="107" spans="3:6" x14ac:dyDescent="0.35">
      <c r="C107" s="15" t="s">
        <v>97</v>
      </c>
      <c r="D107" s="17"/>
      <c r="E107" s="6">
        <f ca="1">IF((OFFSET($A$1, 96 - 1, 4 - 1) + OFFSET($A$1, 97 - 1, 4 - 1)) = 0,"Undefined",OFFSET($A$1, 96 - 1, 4 - 1)/(OFFSET($A$1, 96 - 1, 4 - 1) + OFFSET($A$1, 97 - 1, 4 - 1)))</f>
        <v>0.5</v>
      </c>
    </row>
    <row r="108" spans="3:6" x14ac:dyDescent="0.35">
      <c r="C108" s="15" t="s">
        <v>98</v>
      </c>
      <c r="D108" s="17"/>
      <c r="E108" s="6">
        <f ca="1">IF((OFFSET($A$1, 96 - 1, 4 - 1) + OFFSET($A$1, 96 - 1, 5 - 1)) = 0,"Undefined",OFFSET($A$1, 96 - 1, 4 - 1)/(OFFSET($A$1, 96 - 1, 4 - 1) + OFFSET($A$1, 96 - 1, 5 - 1)))</f>
        <v>1</v>
      </c>
    </row>
    <row r="109" spans="3:6" x14ac:dyDescent="0.35">
      <c r="C109" s="15" t="s">
        <v>99</v>
      </c>
      <c r="D109" s="17"/>
      <c r="E109" s="6">
        <f ca="1">IF((OFFSET($A$1, 97 - 1, 4 - 1) + OFFSET($A$1, 97 - 1, 5 - 1)) = 0,"Undefined",OFFSET($A$1, 97 - 1, 5 - 1)/(OFFSET($A$1, 97 - 1, 4 - 1) + OFFSET($A$1, 97 - 1, 5 - 1)))</f>
        <v>0.66666666666666663</v>
      </c>
    </row>
    <row r="110" spans="3:6" x14ac:dyDescent="0.35">
      <c r="C110" s="15" t="s">
        <v>100</v>
      </c>
      <c r="D110" s="17"/>
      <c r="E110" s="6">
        <f ca="1">IF(OR(OFFSET($A$1, 107 - 1, 5 - 1)="Undefined",OFFSET($A$1, 108 - 1, 5 - 1)="Undefined"),"Undefined",IF((OFFSET($A$1, 107 - 1, 5 - 1) + OFFSET($A$1, 108 - 1, 5 - 1))=0,"Undefined",2*OFFSET($A$1, 107 - 1, 5 - 1)*OFFSET($A$1, 108 - 1, 5 - 1)/(OFFSET($A$1, 107 - 1, 5 - 1)+OFFSET($A$1, 108 - 1, 5 - 1))))</f>
        <v>0.66666666666666663</v>
      </c>
    </row>
  </sheetData>
  <mergeCells count="68">
    <mergeCell ref="B3:I3"/>
    <mergeCell ref="L3:O3"/>
    <mergeCell ref="B4:C4"/>
    <mergeCell ref="D4:E4"/>
    <mergeCell ref="F4:G4"/>
    <mergeCell ref="H4:I4"/>
    <mergeCell ref="B5:C5"/>
    <mergeCell ref="D5:E5"/>
    <mergeCell ref="F5:G5"/>
    <mergeCell ref="H5:I5"/>
    <mergeCell ref="C105:E105"/>
    <mergeCell ref="C106:D106"/>
    <mergeCell ref="C107:D107"/>
    <mergeCell ref="C108:D108"/>
    <mergeCell ref="C109:D109"/>
    <mergeCell ref="C110:D110"/>
    <mergeCell ref="C86:D86"/>
    <mergeCell ref="C91:F91"/>
    <mergeCell ref="H91:M91"/>
    <mergeCell ref="C93:E93"/>
    <mergeCell ref="D94:E94"/>
    <mergeCell ref="C99:F99"/>
    <mergeCell ref="C75:F75"/>
    <mergeCell ref="C81:E81"/>
    <mergeCell ref="C82:D82"/>
    <mergeCell ref="C83:D83"/>
    <mergeCell ref="C84:D84"/>
    <mergeCell ref="C85:D85"/>
    <mergeCell ref="C50:D50"/>
    <mergeCell ref="E50:F50"/>
    <mergeCell ref="C67:F67"/>
    <mergeCell ref="H67:M67"/>
    <mergeCell ref="C69:E69"/>
    <mergeCell ref="D70:E70"/>
    <mergeCell ref="C31:G31"/>
    <mergeCell ref="C32:G32"/>
    <mergeCell ref="C33:G33"/>
    <mergeCell ref="C34:G34"/>
    <mergeCell ref="C39:G39"/>
    <mergeCell ref="C48:E48"/>
    <mergeCell ref="C29:F29"/>
    <mergeCell ref="G24:J24"/>
    <mergeCell ref="G25:J25"/>
    <mergeCell ref="G26:J26"/>
    <mergeCell ref="G27:J27"/>
    <mergeCell ref="G28:J28"/>
    <mergeCell ref="G29:J29"/>
    <mergeCell ref="C23:J23"/>
    <mergeCell ref="C24:F24"/>
    <mergeCell ref="C25:F25"/>
    <mergeCell ref="C26:F26"/>
    <mergeCell ref="C27:F27"/>
    <mergeCell ref="C28:F28"/>
    <mergeCell ref="C18:F18"/>
    <mergeCell ref="C19:D19"/>
    <mergeCell ref="C20:D20"/>
    <mergeCell ref="C21:D21"/>
    <mergeCell ref="E19:F19"/>
    <mergeCell ref="E21:F21"/>
    <mergeCell ref="C12:K12"/>
    <mergeCell ref="C13:F13"/>
    <mergeCell ref="C14:F14"/>
    <mergeCell ref="C15:F15"/>
    <mergeCell ref="C16:F16"/>
    <mergeCell ref="G13:K13"/>
    <mergeCell ref="G14:K14"/>
    <mergeCell ref="G15:K15"/>
    <mergeCell ref="G16:K16"/>
  </mergeCells>
  <hyperlinks>
    <hyperlink ref="B4" location="'LR_Output'!$B$10:$B$10" display="Inputs"/>
    <hyperlink ref="D4" location="'LR_Output'!$B$37:$B$37" display="Prior Class Prob."/>
    <hyperlink ref="F4" location="'LR_Output'!$B$46:$B$46" display="Predictors"/>
    <hyperlink ref="H4" location="'LR_Output'!$B$57:$B$57" display="Regress. Model"/>
    <hyperlink ref="B5" location="'LR_Output'!$B$65:$B$65" display="Train. Score Summary"/>
    <hyperlink ref="D5" location="'LR_Output'!$B$89:$B$89" display="Valid. Score Summary"/>
    <hyperlink ref="F5" location="'LR_ValidationScore'!$B$10:$B$10" display="Valid. Score - Detailed Rep.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showGridLines="0" workbookViewId="0">
      <selection activeCell="B14" sqref="B14:G15"/>
    </sheetView>
  </sheetViews>
  <sheetFormatPr defaultRowHeight="14.5" x14ac:dyDescent="0.35"/>
  <cols>
    <col min="4" max="4" width="11.81640625" bestFit="1" customWidth="1"/>
    <col min="7" max="7" width="10.453125" bestFit="1" customWidth="1"/>
    <col min="12" max="12" width="13" bestFit="1" customWidth="1"/>
  </cols>
  <sheetData>
    <row r="1" spans="2:15" ht="18.5" x14ac:dyDescent="0.45">
      <c r="B1" s="4" t="s">
        <v>108</v>
      </c>
      <c r="N1" t="s">
        <v>107</v>
      </c>
    </row>
    <row r="3" spans="2:15" ht="15.5" x14ac:dyDescent="0.35">
      <c r="B3" s="12" t="s">
        <v>33</v>
      </c>
      <c r="C3" s="13"/>
      <c r="D3" s="13"/>
      <c r="E3" s="13"/>
      <c r="F3" s="13"/>
      <c r="G3" s="13"/>
      <c r="H3" s="13"/>
      <c r="I3" s="14"/>
      <c r="L3" s="12" t="s">
        <v>34</v>
      </c>
      <c r="M3" s="13"/>
      <c r="N3" s="13"/>
      <c r="O3" s="14"/>
    </row>
    <row r="4" spans="2:15" x14ac:dyDescent="0.35">
      <c r="B4" s="34" t="s">
        <v>39</v>
      </c>
      <c r="C4" s="22"/>
      <c r="D4" s="34" t="s">
        <v>102</v>
      </c>
      <c r="E4" s="22"/>
      <c r="F4" s="34" t="s">
        <v>103</v>
      </c>
      <c r="G4" s="22"/>
      <c r="H4" s="34" t="s">
        <v>104</v>
      </c>
      <c r="I4" s="22"/>
      <c r="L4" s="7" t="s">
        <v>35</v>
      </c>
      <c r="M4" s="7" t="s">
        <v>36</v>
      </c>
      <c r="N4" s="7" t="s">
        <v>37</v>
      </c>
      <c r="O4" s="7" t="s">
        <v>38</v>
      </c>
    </row>
    <row r="5" spans="2:15" x14ac:dyDescent="0.35">
      <c r="B5" s="34" t="s">
        <v>105</v>
      </c>
      <c r="C5" s="22"/>
      <c r="D5" s="34" t="s">
        <v>106</v>
      </c>
      <c r="E5" s="22"/>
      <c r="F5" s="34" t="s">
        <v>113</v>
      </c>
      <c r="G5" s="22"/>
      <c r="H5" s="21"/>
      <c r="I5" s="22"/>
      <c r="L5" s="2">
        <v>0</v>
      </c>
      <c r="M5" s="2">
        <v>0</v>
      </c>
      <c r="N5" s="2">
        <v>15</v>
      </c>
      <c r="O5" s="2">
        <v>15</v>
      </c>
    </row>
    <row r="10" spans="2:15" x14ac:dyDescent="0.35">
      <c r="B10" s="3" t="s">
        <v>41</v>
      </c>
      <c r="C10" s="21" t="s">
        <v>42</v>
      </c>
      <c r="D10" s="23"/>
      <c r="E10" s="23"/>
      <c r="F10" s="22"/>
    </row>
    <row r="11" spans="2:15" x14ac:dyDescent="0.35">
      <c r="B11" s="3" t="s">
        <v>43</v>
      </c>
      <c r="C11" s="21" t="s">
        <v>40</v>
      </c>
      <c r="D11" s="23"/>
      <c r="E11" s="23"/>
      <c r="F11" s="22"/>
    </row>
    <row r="14" spans="2:15" ht="39" x14ac:dyDescent="0.35">
      <c r="B14" s="10" t="s">
        <v>109</v>
      </c>
      <c r="C14" s="10" t="s">
        <v>110</v>
      </c>
      <c r="D14" s="10" t="s">
        <v>111</v>
      </c>
      <c r="E14" s="8" t="s">
        <v>112</v>
      </c>
      <c r="F14" s="8" t="s">
        <v>2</v>
      </c>
      <c r="G14" s="8" t="s">
        <v>3</v>
      </c>
    </row>
    <row r="15" spans="2:15" x14ac:dyDescent="0.35">
      <c r="B15" s="2" t="s">
        <v>5</v>
      </c>
      <c r="C15" s="2" t="s">
        <v>5</v>
      </c>
      <c r="D15" s="2">
        <v>0.11194796617574579</v>
      </c>
      <c r="E15" s="2">
        <v>-2.0710000000000002</v>
      </c>
      <c r="F15" s="2">
        <v>30.71</v>
      </c>
      <c r="G15" s="2">
        <v>61.57</v>
      </c>
    </row>
    <row r="16" spans="2:15" x14ac:dyDescent="0.35">
      <c r="B16" s="2" t="s">
        <v>4</v>
      </c>
      <c r="C16" s="2" t="s">
        <v>4</v>
      </c>
      <c r="D16" s="2">
        <v>0.70213139762697208</v>
      </c>
      <c r="E16" s="2">
        <v>0.85750000000000004</v>
      </c>
      <c r="F16" s="2">
        <v>33.07</v>
      </c>
      <c r="G16" s="2">
        <v>59.76</v>
      </c>
    </row>
    <row r="17" spans="2:7" x14ac:dyDescent="0.35">
      <c r="B17" s="35" t="s">
        <v>4</v>
      </c>
      <c r="C17" s="35" t="s">
        <v>5</v>
      </c>
      <c r="D17" s="35">
        <v>0.57053909194425678</v>
      </c>
      <c r="E17" s="35">
        <v>0.28410000000000002</v>
      </c>
      <c r="F17" s="35">
        <v>31.5</v>
      </c>
      <c r="G17" s="35">
        <v>68.290000000000006</v>
      </c>
    </row>
    <row r="18" spans="2:7" x14ac:dyDescent="0.35">
      <c r="B18" s="2" t="s">
        <v>5</v>
      </c>
      <c r="C18" s="2" t="s">
        <v>5</v>
      </c>
      <c r="D18" s="2">
        <v>0.38948805658019786</v>
      </c>
      <c r="E18" s="2">
        <v>-0.44950000000000001</v>
      </c>
      <c r="F18" s="2">
        <v>29.5</v>
      </c>
      <c r="G18" s="2">
        <v>79.14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LR_Output'!$B$10:$B$10" display="Inputs"/>
    <hyperlink ref="D4" location="'LR_Output'!$B$37:$B$37" display="Prior Class Prob."/>
    <hyperlink ref="F4" location="'LR_Output'!$B$46:$B$46" display="Predictors"/>
    <hyperlink ref="H4" location="'LR_Output'!$B$57:$B$57" display="Regress. Model"/>
    <hyperlink ref="B5" location="'LR_Output'!$B$65:$B$65" display="Train. Score Summary"/>
    <hyperlink ref="D5" location="'LR_Output'!$B$89:$B$89" display="Valid. Score Summary"/>
    <hyperlink ref="F5" location="'LR_ValidationScore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LR_Output2</vt:lpstr>
      <vt:lpstr>LR_ValidationScore2</vt:lpstr>
      <vt:lpstr>LR_Stored2</vt:lpstr>
      <vt:lpstr>LR_Output1</vt:lpstr>
      <vt:lpstr>LR_ValidationScore1</vt:lpstr>
      <vt:lpstr>LR_Stored1</vt:lpstr>
      <vt:lpstr>LR_Output</vt:lpstr>
      <vt:lpstr>LR_ValidationScore</vt:lpstr>
      <vt:lpstr>LR_Stored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 Shmueli</dc:creator>
  <cp:lastModifiedBy>Galit Shmueli</cp:lastModifiedBy>
  <dcterms:created xsi:type="dcterms:W3CDTF">2015-02-03T10:28:41Z</dcterms:created>
  <dcterms:modified xsi:type="dcterms:W3CDTF">2015-02-03T11:47:46Z</dcterms:modified>
</cp:coreProperties>
</file>